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80" windowWidth="17400" windowHeight="13080" tabRatio="458" activeTab="0"/>
  </bookViews>
  <sheets>
    <sheet name="Front Sheet" sheetId="1" r:id="rId1"/>
    <sheet name="Change Sheet" sheetId="2" r:id="rId2"/>
    <sheet name="Thermometry" sheetId="3" r:id="rId3"/>
    <sheet name="C - FPU to CVV" sheetId="4" r:id="rId4"/>
    <sheet name="I - CVV to SVM-CB" sheetId="5" r:id="rId5"/>
    <sheet name="R, L &amp; C Design Guidelines" sheetId="6" r:id="rId6"/>
    <sheet name="I &amp; Duty Cycle Assumptions" sheetId="7" r:id="rId7"/>
  </sheets>
  <definedNames>
    <definedName name="AVG_I_BOLSIG">'I &amp; Duty Cycle Assumptions'!$D$2</definedName>
    <definedName name="AVG_I_PLWBIAS">'I &amp; Duty Cycle Assumptions'!$D$45</definedName>
    <definedName name="AVG_I_PLWHEAT">'I &amp; Duty Cycle Assumptions'!$D$98</definedName>
    <definedName name="AVG_I_PLWJFET">'I &amp; Duty Cycle Assumptions'!$D$140</definedName>
    <definedName name="AVG_I_PMWBIAS">'I &amp; Duty Cycle Assumptions'!$D$38</definedName>
    <definedName name="AVG_I_PMWHEAT">'I &amp; Duty Cycle Assumptions'!$D$93</definedName>
    <definedName name="AVG_I_PMWJFET">'I &amp; Duty Cycle Assumptions'!$D$134</definedName>
    <definedName name="AVG_I_PSWBIAS">'I &amp; Duty Cycle Assumptions'!$D$52</definedName>
    <definedName name="AVG_I_PSWHEAT">'I &amp; Duty Cycle Assumptions'!$D$103</definedName>
    <definedName name="AVG_I_PSWJFET">'I &amp; Duty Cycle Assumptions'!$D$146</definedName>
    <definedName name="AVG_I_SLWBIAS">'I &amp; Duty Cycle Assumptions'!$D$16</definedName>
    <definedName name="AVG_I_SLWHEAT">'I &amp; Duty Cycle Assumptions'!$D$83</definedName>
    <definedName name="AVG_I_SLWJFET">'I &amp; Duty Cycle Assumptions'!$D$125</definedName>
    <definedName name="AVG_I_SSWBIAS">'I &amp; Duty Cycle Assumptions'!$D$23</definedName>
    <definedName name="AVG_I_SSWHEAT">'I &amp; Duty Cycle Assumptions'!$D$77</definedName>
    <definedName name="AVG_I_SSWJFET">'I &amp; Duty Cycle Assumptions'!$D$118</definedName>
    <definedName name="AVG_I_TCBIAS">'I &amp; Duty Cycle Assumptions'!$D$67</definedName>
    <definedName name="AVG_I_TCHEAT">'I &amp; Duty Cycle Assumptions'!$D$109</definedName>
    <definedName name="AVG_I_TCJFET">'I &amp; Duty Cycle Assumptions'!$D$153</definedName>
    <definedName name="BSM_AVGI_CDRV">'I &amp; Duty Cycle Assumptions'!$D$160</definedName>
    <definedName name="BSM_AVGI_JDRV">'I &amp; Duty Cycle Assumptions'!$D$162</definedName>
    <definedName name="BSM_DC">'I &amp; Duty Cycle Assumptions'!$D$156</definedName>
    <definedName name="BSM_I_LLD">'I &amp; Duty Cycle Assumptions'!$D$155</definedName>
    <definedName name="BSM_I_LLS">'I &amp; Duty Cycle Assumptions'!$D$157</definedName>
    <definedName name="BSM_I_SNS">'I &amp; Duty Cycle Assumptions'!$D$154</definedName>
    <definedName name="BSM_MAXI_DRV">'I &amp; Duty Cycle Assumptions'!$D$158</definedName>
    <definedName name="CC_BOL_BIAS">'R, L &amp; C Design Guidelines'!$C$4</definedName>
    <definedName name="CC_BOL_SIG">'R, L &amp; C Design Guidelines'!$C$6</definedName>
    <definedName name="CC_BSM_DRV">'R, L &amp; C Design Guidelines'!$C$21</definedName>
    <definedName name="CC_BSM_SNS">'R, L &amp; C Design Guidelines'!$C$19</definedName>
    <definedName name="CC_CERNOX">'R, L &amp; C Design Guidelines'!$C$15</definedName>
    <definedName name="CC_FTS_LLP">'R, L &amp; C Design Guidelines'!$C$24</definedName>
    <definedName name="CC_FTS_LLS">'R, L &amp; C Design Guidelines'!$C$25</definedName>
    <definedName name="CC_FTS_LVDT_P">'R, L &amp; C Design Guidelines'!$C$26</definedName>
    <definedName name="CC_FTS_LVDT_S">'R, L &amp; C Design Guidelines'!$C$27</definedName>
    <definedName name="CC_GND">'R, L &amp; C Design Guidelines'!$C$3</definedName>
    <definedName name="CC_JFET_BIAS">'R, L &amp; C Design Guidelines'!$C$7</definedName>
    <definedName name="CC_JFET_HEAT">'R, L &amp; C Design Guidelines'!$C$8</definedName>
    <definedName name="CC_PCAL">'R, L &amp; C Design Guidelines'!$C$20</definedName>
    <definedName name="CC_SCAL_2">'R, L &amp; C Design Guidelines'!$C$17</definedName>
    <definedName name="CC_SCAL_4">'R, L &amp; C Design Guidelines'!$C$16</definedName>
    <definedName name="CC_SCO_HSH">'R, L &amp; C Design Guidelines'!$C$14</definedName>
    <definedName name="CC_SCO_SPH">'R, L &amp; C Design Guidelines'!$C$13</definedName>
    <definedName name="CC_TC">'R, L &amp; C Design Guidelines'!$C$18</definedName>
    <definedName name="CC_TC_BIAS">'R, L &amp; C Design Guidelines'!$C$5</definedName>
    <definedName name="Checked__by">'Front Sheet'!$C$6</definedName>
    <definedName name="CI_BOL_BIAS">'R, L &amp; C Design Guidelines'!$F$4</definedName>
    <definedName name="CI_BOL_SIG">'R, L &amp; C Design Guidelines'!$F$6</definedName>
    <definedName name="CI_BSM_DRV">'R, L &amp; C Design Guidelines'!$F$21</definedName>
    <definedName name="CI_BSM_SNS">'R, L &amp; C Design Guidelines'!$F$19</definedName>
    <definedName name="CI_CERNOX">'R, L &amp; C Design Guidelines'!$F$15</definedName>
    <definedName name="CI_FTS_LLP">'R, L &amp; C Design Guidelines'!$F$24</definedName>
    <definedName name="CI_FTS_LLS">'R, L &amp; C Design Guidelines'!$F$25</definedName>
    <definedName name="CI_FTS_LVDT_P">'R, L &amp; C Design Guidelines'!$F$26</definedName>
    <definedName name="CI_FTS_LVDT_S">'R, L &amp; C Design Guidelines'!$F$27</definedName>
    <definedName name="CI_GND">'R, L &amp; C Design Guidelines'!$F$3</definedName>
    <definedName name="CI_JFET_BIAS">'R, L &amp; C Design Guidelines'!$F$7</definedName>
    <definedName name="CI_JFET_HEAT">'R, L &amp; C Design Guidelines'!$F$8</definedName>
    <definedName name="CI_PCAL">'R, L &amp; C Design Guidelines'!$F$20</definedName>
    <definedName name="CI_SCAL_2">'R, L &amp; C Design Guidelines'!$F$17</definedName>
    <definedName name="CI_SCAL_4">'R, L &amp; C Design Guidelines'!$F$16</definedName>
    <definedName name="CI_SCO_HSH">'R, L &amp; C Design Guidelines'!$F$14</definedName>
    <definedName name="CI_SCO_SPH">'R, L &amp; C Design Guidelines'!$F$13</definedName>
    <definedName name="CI_TC">'R, L &amp; C Design Guidelines'!$F$18</definedName>
    <definedName name="CI_TC_BIAS">'R, L &amp; C Design Guidelines'!$F$5</definedName>
    <definedName name="Date">'Front Sheet'!$C$3</definedName>
    <definedName name="DC_BOL">'I &amp; Duty Cycle Assumptions'!#REF!</definedName>
    <definedName name="DC_P_HEAT">'I &amp; Duty Cycle Assumptions'!$D$85</definedName>
    <definedName name="DC_PHOT">'I &amp; Duty Cycle Assumptions'!$D$53</definedName>
    <definedName name="DC_S_HEAT">'I &amp; Duty Cycle Assumptions'!$D$69</definedName>
    <definedName name="DC_SCAL">'I &amp; Duty Cycle Assumptions'!$D$194</definedName>
    <definedName name="DC_SPECT">'I &amp; Duty Cycle Assumptions'!$D$24</definedName>
    <definedName name="Document_name">'Front Sheet'!$C$1</definedName>
    <definedName name="Document_Number">'Front Sheet'!$C$2</definedName>
    <definedName name="FT_MAXI_LLP">'I &amp; Duty Cycle Assumptions'!$D$211</definedName>
    <definedName name="FTS_AVGI_LVDTP">'I &amp; Duty Cycle Assumptions'!$D$214</definedName>
    <definedName name="FTS_AVGI_LVDTS">'I &amp; Duty Cycle Assumptions'!$D$215</definedName>
    <definedName name="FTS_I_DRV_SNS">'I &amp; Duty Cycle Assumptions'!$D$218</definedName>
    <definedName name="FTS_I_DRVA">'I &amp; Duty Cycle Assumptions'!$D$217</definedName>
    <definedName name="FTS_I_DRVM">'I &amp; Duty Cycle Assumptions'!$D$216</definedName>
    <definedName name="FTS_LED_IA">'I &amp; Duty Cycle Assumptions'!$D$221</definedName>
    <definedName name="FTS_LED_IM">'I &amp; Duty Cycle Assumptions'!$D$219</definedName>
    <definedName name="FTS_MAXI_LLS">'I &amp; Duty Cycle Assumptions'!$D$210</definedName>
    <definedName name="FTS_MAXI_LVDTP">'I &amp; Duty Cycle Assumptions'!$D$212</definedName>
    <definedName name="FTS_PS_FB_I">'I &amp; Duty Cycle Assumptions'!$D$224</definedName>
    <definedName name="FTS_PS_PHOT_I">'I &amp; Duty Cycle Assumptions'!$D$223</definedName>
    <definedName name="FTS_PSP_I">'I &amp; Duty Cycle Assumptions'!$D$222</definedName>
    <definedName name="I_CERNOX">'I &amp; Duty Cycle Assumptions'!$D$179</definedName>
    <definedName name="Isuue">'Front Sheet'!#REF!</definedName>
    <definedName name="LC_BOL_BIAS">'R, L &amp; C Design Guidelines'!$D$4</definedName>
    <definedName name="LC_BOL_SIG">'R, L &amp; C Design Guidelines'!$D$6</definedName>
    <definedName name="LC_BSM_DRV">'R, L &amp; C Design Guidelines'!$D$21</definedName>
    <definedName name="LC_BSM_SNS">'R, L &amp; C Design Guidelines'!$D$19</definedName>
    <definedName name="LC_CERNOX">'R, L &amp; C Design Guidelines'!$D$15</definedName>
    <definedName name="LC_FTS_LLP">'R, L &amp; C Design Guidelines'!$D$24</definedName>
    <definedName name="LC_FTS_LLS">'R, L &amp; C Design Guidelines'!$D$25</definedName>
    <definedName name="LC_FTS_LVDT_P">'R, L &amp; C Design Guidelines'!$D$26</definedName>
    <definedName name="LC_FTS_LVDT_S">'R, L &amp; C Design Guidelines'!$D$27</definedName>
    <definedName name="LC_GND">'R, L &amp; C Design Guidelines'!$D$3</definedName>
    <definedName name="LC_JFET_BIAS">'R, L &amp; C Design Guidelines'!$D$7</definedName>
    <definedName name="LC_JFET_HEAT">'R, L &amp; C Design Guidelines'!$D$8</definedName>
    <definedName name="LC_PCAL">'R, L &amp; C Design Guidelines'!$D$20</definedName>
    <definedName name="LC_SCAL_2">'R, L &amp; C Design Guidelines'!$D$17</definedName>
    <definedName name="LC_SCAL_4">'R, L &amp; C Design Guidelines'!$D$16</definedName>
    <definedName name="LC_SCO_HSH">'R, L &amp; C Design Guidelines'!$D$14</definedName>
    <definedName name="LC_SCO_SPH">'R, L &amp; C Design Guidelines'!$D$13</definedName>
    <definedName name="LC_TC">'R, L &amp; C Design Guidelines'!$D$18</definedName>
    <definedName name="LC_TC_BIAS">'R, L &amp; C Design Guidelines'!$D$5</definedName>
    <definedName name="LI_BOL_BIAS">'R, L &amp; C Design Guidelines'!$G$4</definedName>
    <definedName name="LI_BOL_SIG">'R, L &amp; C Design Guidelines'!$G$6</definedName>
    <definedName name="LI_BSM_DRV">'R, L &amp; C Design Guidelines'!$G$21</definedName>
    <definedName name="LI_BSM_SNS">'R, L &amp; C Design Guidelines'!$G$19</definedName>
    <definedName name="LI_CERNOX">'R, L &amp; C Design Guidelines'!$G$15</definedName>
    <definedName name="LI_FTS_LLP">'R, L &amp; C Design Guidelines'!$G$24</definedName>
    <definedName name="LI_FTS_LLS">'R, L &amp; C Design Guidelines'!$G$25</definedName>
    <definedName name="LI_FTS_LVDT_P">'R, L &amp; C Design Guidelines'!$G$26</definedName>
    <definedName name="LI_FTS_LVDT_S">'R, L &amp; C Design Guidelines'!$G$27</definedName>
    <definedName name="LI_GND">'R, L &amp; C Design Guidelines'!$G$3</definedName>
    <definedName name="LI_JFET_BIAS">'R, L &amp; C Design Guidelines'!$G$7</definedName>
    <definedName name="LI_JFET_HEAT">'R, L &amp; C Design Guidelines'!$G$8</definedName>
    <definedName name="LI_PCAL">'R, L &amp; C Design Guidelines'!$G$20</definedName>
    <definedName name="LI_SCAL_2">'R, L &amp; C Design Guidelines'!$G$17</definedName>
    <definedName name="LI_SCAL_4">'R, L &amp; C Design Guidelines'!$G$16</definedName>
    <definedName name="LI_SCO_HSH">'R, L &amp; C Design Guidelines'!$G$14</definedName>
    <definedName name="LI_SCO_SPH">'R, L &amp; C Design Guidelines'!$G$13</definedName>
    <definedName name="LI_TC">'R, L &amp; C Design Guidelines'!$G$18</definedName>
    <definedName name="LI_TC_BIAS">'R, L &amp; C Design Guidelines'!$G$5</definedName>
    <definedName name="MAX_I_BOLSIG">'I &amp; Duty Cycle Assumptions'!$D$1</definedName>
    <definedName name="MAX_I_PLWBIAS">'I &amp; Duty Cycle Assumptions'!$D$44</definedName>
    <definedName name="MAX_I_PLWHEAT">'I &amp; Duty Cycle Assumptions'!$D$97</definedName>
    <definedName name="MAX_I_PLWJFET">'I &amp; Duty Cycle Assumptions'!$D$139</definedName>
    <definedName name="MAX_I_PMWBIAS">'I &amp; Duty Cycle Assumptions'!$D$37</definedName>
    <definedName name="MAX_I_PMWHEAT">'I &amp; Duty Cycle Assumptions'!$D$92</definedName>
    <definedName name="MAX_I_PMWJFET">'I &amp; Duty Cycle Assumptions'!$D$133</definedName>
    <definedName name="MAX_I_PSWBIAS">'I &amp; Duty Cycle Assumptions'!$D$51</definedName>
    <definedName name="MAX_I_PSWHEAT">'I &amp; Duty Cycle Assumptions'!$D$102</definedName>
    <definedName name="MAX_I_PSWJFET">'I &amp; Duty Cycle Assumptions'!$D$145</definedName>
    <definedName name="MAX_I_SLWBIAS">'I &amp; Duty Cycle Assumptions'!$D$15</definedName>
    <definedName name="MAX_I_SLWHEAT">'I &amp; Duty Cycle Assumptions'!$D$82</definedName>
    <definedName name="MAX_I_SLWJFET">'I &amp; Duty Cycle Assumptions'!$D$124</definedName>
    <definedName name="MAX_I_SSWBIAS">'I &amp; Duty Cycle Assumptions'!$D$118</definedName>
    <definedName name="MAX_I_SSWHEAT">'I &amp; Duty Cycle Assumptions'!$D$76</definedName>
    <definedName name="MAX_I_SSWJFET">'I &amp; Duty Cycle Assumptions'!$D$117</definedName>
    <definedName name="MAX_I_TCBIAS">'I &amp; Duty Cycle Assumptions'!$D$66</definedName>
    <definedName name="MAX_I_TCHEAT">'I &amp; Duty Cycle Assumptions'!$D$108</definedName>
    <definedName name="MAX_I_TCJFET">'I &amp; Duty Cycle Assumptions'!$D$152</definedName>
    <definedName name="PCAL_AVGI">'I &amp; Duty Cycle Assumptions'!$D$185</definedName>
    <definedName name="PCAL_DC">'I &amp; Duty Cycle Assumptions'!$D$186</definedName>
    <definedName name="PCAL_MAXI">'I &amp; Duty Cycle Assumptions'!$D$182</definedName>
    <definedName name="Prepared_by">'Front Sheet'!$C$5</definedName>
    <definedName name="_xlnm.Print_Area" localSheetId="3">'C - FPU to CVV'!$A$1:$S$188</definedName>
    <definedName name="_xlnm.Print_Area" localSheetId="4">'I - CVV to SVM-CB'!$A$1:$S$194</definedName>
    <definedName name="_xlnm.Print_Titles" localSheetId="3">'C - FPU to CVV'!$1:$2</definedName>
    <definedName name="_xlnm.Print_Titles" localSheetId="4">'I - CVV to SVM-CB'!$1:$2</definedName>
    <definedName name="RC_BOL_BIAS">'R, L &amp; C Design Guidelines'!$B$4</definedName>
    <definedName name="RC_BOL_SIG">'R, L &amp; C Design Guidelines'!$B$6</definedName>
    <definedName name="RC_BSM_DRV">'R, L &amp; C Design Guidelines'!$B$21</definedName>
    <definedName name="RC_BSM_LL_CNF">'R, L &amp; C Design Guidelines'!$B$23</definedName>
    <definedName name="RC_BSM_LL_DRV">'R, L &amp; C Design Guidelines'!$B$22</definedName>
    <definedName name="RC_BSM_SNS">'R, L &amp; C Design Guidelines'!$B$19</definedName>
    <definedName name="RC_CERNOX">'R, L &amp; C Design Guidelines'!$B$15</definedName>
    <definedName name="RC_FTS_DRV">'R, L &amp; C Design Guidelines'!$B$29</definedName>
    <definedName name="RC_FTS_DRV_SNS">'R, L &amp; C Design Guidelines'!$B$30</definedName>
    <definedName name="RC_FTS_LED_PWR">'R, L &amp; C Design Guidelines'!$B$28</definedName>
    <definedName name="RC_FTS_LLP">'R, L &amp; C Design Guidelines'!$B$24</definedName>
    <definedName name="RC_FTS_LLS">'R, L &amp; C Design Guidelines'!$B$25</definedName>
    <definedName name="RC_FTS_LVDT_P">'R, L &amp; C Design Guidelines'!$B$26</definedName>
    <definedName name="RC_FTS_LVDT_S">'R, L &amp; C Design Guidelines'!$B$27</definedName>
    <definedName name="RC_FTS_PS_FB">'R, L &amp; C Design Guidelines'!$B$33</definedName>
    <definedName name="RC_FTS_PS_PHOT">'R, L &amp; C Design Guidelines'!$B$32</definedName>
    <definedName name="RC_FTS_PS_PWR">'R, L &amp; C Design Guidelines'!$B$31</definedName>
    <definedName name="RC_GND">'R, L &amp; C Design Guidelines'!$B$3</definedName>
    <definedName name="RC_JFET_BIAS">'R, L &amp; C Design Guidelines'!$B$7</definedName>
    <definedName name="RC_JFET_HEAT">'R, L &amp; C Design Guidelines'!$B$8</definedName>
    <definedName name="RC_PCAL">'R, L &amp; C Design Guidelines'!$B$20</definedName>
    <definedName name="RC_SCAL_2">'R, L &amp; C Design Guidelines'!$B$17</definedName>
    <definedName name="RC_SCAL_4">'R, L &amp; C Design Guidelines'!$B$16</definedName>
    <definedName name="RC_SCO_HSH">'R, L &amp; C Design Guidelines'!$B$14</definedName>
    <definedName name="RC_SCO_SPH">'R, L &amp; C Design Guidelines'!$B$13</definedName>
    <definedName name="RC_SHUT_PWR">'R, L &amp; C Design Guidelines'!$B$9</definedName>
    <definedName name="RC_SHUT_RET">'R, L &amp; C Design Guidelines'!$B$10</definedName>
    <definedName name="RC_SHUT_SNS">'R, L &amp; C Design Guidelines'!$B$12</definedName>
    <definedName name="RC_SHUT_TEMP">'R, L &amp; C Design Guidelines'!$B$11</definedName>
    <definedName name="RC_TC">'R, L &amp; C Design Guidelines'!$B$18</definedName>
    <definedName name="RC_TC_BIAS">'R, L &amp; C Design Guidelines'!$B$5</definedName>
    <definedName name="RI_BOL_BIAS">'R, L &amp; C Design Guidelines'!$E$4</definedName>
    <definedName name="RI_BOL_SIG">'R, L &amp; C Design Guidelines'!$E$6</definedName>
    <definedName name="RI_BSM_DRV">'R, L &amp; C Design Guidelines'!$E$21</definedName>
    <definedName name="RI_BSM_LL_CNF">'R, L &amp; C Design Guidelines'!$E$23</definedName>
    <definedName name="RI_BSM_LL_DRV">'R, L &amp; C Design Guidelines'!$E$22</definedName>
    <definedName name="RI_BSM_SNS">'R, L &amp; C Design Guidelines'!$E$19</definedName>
    <definedName name="RI_CERNOX">'R, L &amp; C Design Guidelines'!$E$15</definedName>
    <definedName name="RI_FTS_DRV">'R, L &amp; C Design Guidelines'!$E$29</definedName>
    <definedName name="RI_FTS_DRV_SNS">'R, L &amp; C Design Guidelines'!$E$30</definedName>
    <definedName name="RI_FTS_LED_PWR">'R, L &amp; C Design Guidelines'!$E$28</definedName>
    <definedName name="RI_FTS_LLP">'R, L &amp; C Design Guidelines'!$E$24</definedName>
    <definedName name="RI_FTS_LLS">'R, L &amp; C Design Guidelines'!$E$25</definedName>
    <definedName name="RI_FTS_LVDT_P">'R, L &amp; C Design Guidelines'!$E$26</definedName>
    <definedName name="RI_FTS_LVDT_S">'R, L &amp; C Design Guidelines'!$E$27</definedName>
    <definedName name="RI_FTS_PS_FB">'R, L &amp; C Design Guidelines'!$E$33</definedName>
    <definedName name="RI_FTS_PS_PHOT">'R, L &amp; C Design Guidelines'!$E$32</definedName>
    <definedName name="RI_FTS_PS_PWR">'R, L &amp; C Design Guidelines'!$E$31</definedName>
    <definedName name="RI_GND">'R, L &amp; C Design Guidelines'!$E$3</definedName>
    <definedName name="RI_JFET_BIAS">'R, L &amp; C Design Guidelines'!$E$7</definedName>
    <definedName name="RI_JFET_HEAT">'R, L &amp; C Design Guidelines'!$E$8</definedName>
    <definedName name="RI_PCAL">'R, L &amp; C Design Guidelines'!$E$20</definedName>
    <definedName name="RI_SCAL_2">'R, L &amp; C Design Guidelines'!$E$17</definedName>
    <definedName name="RI_SCAL_4">'R, L &amp; C Design Guidelines'!$E$16</definedName>
    <definedName name="RI_SCO_HSH">'R, L &amp; C Design Guidelines'!$E$14</definedName>
    <definedName name="RI_SCO_SPH">'R, L &amp; C Design Guidelines'!$E$13</definedName>
    <definedName name="RI_SHUT_PWR">'R, L &amp; C Design Guidelines'!$E$9</definedName>
    <definedName name="RI_SHUT_RET">'R, L &amp; C Design Guidelines'!$E$10</definedName>
    <definedName name="RI_SHUT_SNS">'R, L &amp; C Design Guidelines'!$E$12</definedName>
    <definedName name="RI_SHUT_TEMP">'R, L &amp; C Design Guidelines'!$E$11</definedName>
    <definedName name="RI_TC">'R, L &amp; C Design Guidelines'!$E$18</definedName>
    <definedName name="RI_TC_BIAS">'R, L &amp; C Design Guidelines'!$E$5</definedName>
    <definedName name="SCAL_AVGI_2">'I &amp; Duty Cycle Assumptions'!$D$198</definedName>
    <definedName name="SCAL_AVGI_4">'I &amp; Duty Cycle Assumptions'!$D$193</definedName>
    <definedName name="SCAL_MAXI_2">'I &amp; Duty Cycle Assumptions'!$D$195</definedName>
    <definedName name="SCAL_MAXI_4">'I &amp; Duty Cycle Assumptions'!$D$190</definedName>
    <definedName name="SCO_AVGI_HSH">'I &amp; Duty Cycle Assumptions'!$D$177</definedName>
    <definedName name="SCO_AVGI_SPH">'I &amp; Duty Cycle Assumptions'!$D$172</definedName>
    <definedName name="SCO_DC_HSH">'I &amp; Duty Cycle Assumptions'!$D$178</definedName>
    <definedName name="SCO_DC_SPH">'I &amp; Duty Cycle Assumptions'!$D$173</definedName>
    <definedName name="SCO_MAXI_HSH">'I &amp; Duty Cycle Assumptions'!$D$174</definedName>
    <definedName name="SCO_MAXI_SPH">'I &amp; Duty Cycle Assumptions'!$D$169</definedName>
    <definedName name="SHUT_I_PWR">'I &amp; Duty Cycle Assumptions'!$D$166</definedName>
    <definedName name="SHUT_I_RET">'I &amp; Duty Cycle Assumptions'!$D$168</definedName>
    <definedName name="SHUT_I_SNS">'I &amp; Duty Cycle Assumptions'!$D$165</definedName>
    <definedName name="SHUT_I_TEMP">'I &amp; Duty Cycle Assumptions'!$D$167</definedName>
    <definedName name="TC_AVGI">'I &amp; Duty Cycle Assumptions'!$D$206</definedName>
    <definedName name="TC_MAXI">'I &amp; Duty Cycle Assumptions'!$D$203</definedName>
    <definedName name="Z_67805D02_CBAA_4359_B0BC_497C3C1F98B9_.wvu.PrintArea" localSheetId="3" hidden="1">'C - FPU to CVV'!$A$1:$Y$191</definedName>
    <definedName name="Z_67805D02_CBAA_4359_B0BC_497C3C1F98B9_.wvu.PrintArea" localSheetId="4" hidden="1">'I - CVV to SVM-CB'!$A$1:$V$195</definedName>
    <definedName name="Z_67805D02_CBAA_4359_B0BC_497C3C1F98B9_.wvu.PrintTitles" localSheetId="3" hidden="1">'C - FPU to CVV'!$1:$2</definedName>
    <definedName name="Z_67805D02_CBAA_4359_B0BC_497C3C1F98B9_.wvu.PrintTitles" localSheetId="4" hidden="1">'I - CVV to SVM-CB'!$1:$2</definedName>
  </definedNames>
  <calcPr fullCalcOnLoad="1"/>
</workbook>
</file>

<file path=xl/comments4.xml><?xml version="1.0" encoding="utf-8"?>
<comments xmlns="http://schemas.openxmlformats.org/spreadsheetml/2006/main">
  <authors>
    <author>Douglas Griffin</author>
  </authors>
  <commentList>
    <comment ref="C142" authorId="0">
      <text>
        <r>
          <rPr>
            <b/>
            <sz val="8"/>
            <rFont val="Tahoma"/>
            <family val="0"/>
          </rPr>
          <t>SMEC Launch/Thermal Tail</t>
        </r>
        <r>
          <rPr>
            <sz val="8"/>
            <rFont val="Tahoma"/>
            <family val="0"/>
          </rPr>
          <t xml:space="preserve">
</t>
        </r>
      </text>
    </comment>
    <comment ref="C148" authorId="0">
      <text>
        <r>
          <rPr>
            <b/>
            <sz val="8"/>
            <rFont val="Tahoma"/>
            <family val="0"/>
          </rPr>
          <t>SMEC Control Tail</t>
        </r>
      </text>
    </comment>
    <comment ref="C132" authorId="0">
      <text>
        <r>
          <rPr>
            <b/>
            <sz val="8"/>
            <rFont val="Tahoma"/>
            <family val="0"/>
          </rPr>
          <t>BSM Tail</t>
        </r>
      </text>
    </comment>
    <comment ref="C122" authorId="0">
      <text>
        <r>
          <rPr>
            <b/>
            <sz val="8"/>
            <rFont val="Tahoma"/>
            <family val="0"/>
          </rPr>
          <t xml:space="preserve">Cooler Tail
</t>
        </r>
        <r>
          <rPr>
            <sz val="8"/>
            <rFont val="Tahoma"/>
            <family val="0"/>
          </rPr>
          <t xml:space="preserve">
</t>
        </r>
      </text>
    </comment>
    <comment ref="C126" authorId="0">
      <text>
        <r>
          <rPr>
            <b/>
            <sz val="8"/>
            <rFont val="Tahoma"/>
            <family val="0"/>
          </rPr>
          <t>Spectrometer Stimulus Heater</t>
        </r>
        <r>
          <rPr>
            <sz val="8"/>
            <rFont val="Tahoma"/>
            <family val="0"/>
          </rPr>
          <t xml:space="preserve">
</t>
        </r>
      </text>
    </comment>
    <comment ref="C129" authorId="0">
      <text>
        <r>
          <rPr>
            <b/>
            <sz val="8"/>
            <rFont val="Tahoma"/>
            <family val="0"/>
          </rPr>
          <t>Thermometry Tail</t>
        </r>
        <r>
          <rPr>
            <sz val="8"/>
            <rFont val="Tahoma"/>
            <family val="0"/>
          </rPr>
          <t xml:space="preserve">
</t>
        </r>
      </text>
    </comment>
  </commentList>
</comments>
</file>

<file path=xl/comments5.xml><?xml version="1.0" encoding="utf-8"?>
<comments xmlns="http://schemas.openxmlformats.org/spreadsheetml/2006/main">
  <authors>
    <author>Douglas Griffin</author>
  </authors>
  <commentList>
    <comment ref="C141" authorId="0">
      <text>
        <r>
          <rPr>
            <b/>
            <sz val="8"/>
            <rFont val="Tahoma"/>
            <family val="0"/>
          </rPr>
          <t>BSM Tail</t>
        </r>
        <r>
          <rPr>
            <sz val="8"/>
            <rFont val="Tahoma"/>
            <family val="0"/>
          </rPr>
          <t xml:space="preserve">
</t>
        </r>
      </text>
    </comment>
    <comment ref="C147" authorId="0">
      <text>
        <r>
          <rPr>
            <b/>
            <sz val="8"/>
            <rFont val="Tahoma"/>
            <family val="0"/>
          </rPr>
          <t>SMEC Launch Tail</t>
        </r>
        <r>
          <rPr>
            <sz val="8"/>
            <rFont val="Tahoma"/>
            <family val="0"/>
          </rPr>
          <t xml:space="preserve">
</t>
        </r>
      </text>
    </comment>
    <comment ref="C163" authorId="0">
      <text>
        <r>
          <rPr>
            <b/>
            <sz val="8"/>
            <rFont val="Tahoma"/>
            <family val="0"/>
          </rPr>
          <t>Cooler Tail</t>
        </r>
        <r>
          <rPr>
            <sz val="8"/>
            <rFont val="Tahoma"/>
            <family val="0"/>
          </rPr>
          <t xml:space="preserve">
</t>
        </r>
      </text>
    </comment>
    <comment ref="C173" authorId="0">
      <text>
        <r>
          <rPr>
            <b/>
            <sz val="8"/>
            <rFont val="Tahoma"/>
            <family val="0"/>
          </rPr>
          <t>BSM Tail</t>
        </r>
        <r>
          <rPr>
            <sz val="8"/>
            <rFont val="Tahoma"/>
            <family val="0"/>
          </rPr>
          <t xml:space="preserve">
</t>
        </r>
      </text>
    </comment>
    <comment ref="C179" authorId="0">
      <text>
        <r>
          <rPr>
            <b/>
            <sz val="8"/>
            <rFont val="Tahoma"/>
            <family val="0"/>
          </rPr>
          <t>SMEC Launch Tail</t>
        </r>
        <r>
          <rPr>
            <sz val="8"/>
            <rFont val="Tahoma"/>
            <family val="0"/>
          </rPr>
          <t xml:space="preserve">
</t>
        </r>
      </text>
    </comment>
  </commentList>
</comments>
</file>

<file path=xl/sharedStrings.xml><?xml version="1.0" encoding="utf-8"?>
<sst xmlns="http://schemas.openxmlformats.org/spreadsheetml/2006/main" count="1770" uniqueCount="744">
  <si>
    <t>Checked  by</t>
  </si>
  <si>
    <t>Type3</t>
  </si>
  <si>
    <t>Type2</t>
  </si>
  <si>
    <t>Type1</t>
  </si>
  <si>
    <t>Aux-P</t>
  </si>
  <si>
    <t>Drive-P</t>
  </si>
  <si>
    <t>Aux-R</t>
  </si>
  <si>
    <t>Drive-R</t>
  </si>
  <si>
    <t>FCU J17</t>
  </si>
  <si>
    <t>FCU J19</t>
  </si>
  <si>
    <t>FCU J29</t>
  </si>
  <si>
    <t>FCU J20</t>
  </si>
  <si>
    <t>FCU J30</t>
  </si>
  <si>
    <t>FCU J18</t>
  </si>
  <si>
    <t>HSFPU Opt. Bench</t>
  </si>
  <si>
    <t>Spectrometer 2K box</t>
  </si>
  <si>
    <t>Photometer 2K box</t>
  </si>
  <si>
    <t>HSFPU Input Baffle</t>
  </si>
  <si>
    <t>BSM/SOB I/F</t>
  </si>
  <si>
    <t>M3,5,7 Optical SubBench</t>
  </si>
  <si>
    <t>J23/24</t>
  </si>
  <si>
    <t>J25/26</t>
  </si>
  <si>
    <t>Sorption Pump</t>
  </si>
  <si>
    <t>Evaporator</t>
  </si>
  <si>
    <t xml:space="preserve">Sorption Pump Heat Switch </t>
  </si>
  <si>
    <t>Evaporator Heat Switch</t>
  </si>
  <si>
    <t xml:space="preserve">Thermal Shunt </t>
  </si>
  <si>
    <t xml:space="preserve">HS Spect. 4% </t>
  </si>
  <si>
    <t>HS Spect. 2%</t>
  </si>
  <si>
    <t>HS Spect. Stimulus nr. HOB</t>
  </si>
  <si>
    <t>J21/22</t>
  </si>
  <si>
    <t xml:space="preserve">SMEC/HOB I/F </t>
  </si>
  <si>
    <t>FCU A Set</t>
  </si>
  <si>
    <t>FCU B Set</t>
  </si>
  <si>
    <t>FCU C Set</t>
  </si>
  <si>
    <t>FPU  Connector</t>
  </si>
  <si>
    <t>J19/20</t>
  </si>
  <si>
    <t>J27/28</t>
  </si>
  <si>
    <t>AVG_I_SSWBIAS</t>
  </si>
  <si>
    <t>MAX_I_PMWBIAS</t>
  </si>
  <si>
    <t>Sorption Pump Heater</t>
  </si>
  <si>
    <t>L(uH)</t>
  </si>
  <si>
    <t>Document name</t>
  </si>
  <si>
    <t>Document Number</t>
  </si>
  <si>
    <t>Date</t>
  </si>
  <si>
    <t>SPIRE Cryoharness Specifications</t>
  </si>
  <si>
    <t>Douglas Griffin</t>
  </si>
  <si>
    <t>John Delderfield</t>
  </si>
  <si>
    <t>Type 3</t>
  </si>
  <si>
    <t>Type4</t>
  </si>
  <si>
    <t>MDM 25S</t>
  </si>
  <si>
    <t>Heat switch heaters</t>
  </si>
  <si>
    <t>Various cooler thermistors</t>
  </si>
  <si>
    <t>300mK Thermal Control Heater</t>
  </si>
  <si>
    <t>CVV 4</t>
  </si>
  <si>
    <t>DCU J20</t>
  </si>
  <si>
    <t>MDM 37P</t>
  </si>
  <si>
    <t>Photometer Stimulus Heater</t>
  </si>
  <si>
    <t xml:space="preserve">BSM Chopper Sensors </t>
  </si>
  <si>
    <t>BSM Jiggle Sensors</t>
  </si>
  <si>
    <t>Spectrometer Stimulus Thermistors</t>
  </si>
  <si>
    <t xml:space="preserve">SMEC Launch Latch1 </t>
  </si>
  <si>
    <t>SMEC Launch Latch1 Confirm</t>
  </si>
  <si>
    <t xml:space="preserve">SMEC Launch Latch2 </t>
  </si>
  <si>
    <t>SMEC Launch Latch2 Confirm</t>
  </si>
  <si>
    <t>SMEC LVDT Primary</t>
  </si>
  <si>
    <t>SMEC LVDT Secondary</t>
  </si>
  <si>
    <t>SMEC Position sensor supplies</t>
  </si>
  <si>
    <t>C1</t>
  </si>
  <si>
    <t>C2</t>
  </si>
  <si>
    <t>C3</t>
  </si>
  <si>
    <t>C4</t>
  </si>
  <si>
    <t>C5</t>
  </si>
  <si>
    <t>C6</t>
  </si>
  <si>
    <t>C7</t>
  </si>
  <si>
    <t>C8</t>
  </si>
  <si>
    <t>C9</t>
  </si>
  <si>
    <t>C10</t>
  </si>
  <si>
    <t>C11</t>
  </si>
  <si>
    <t>C12</t>
  </si>
  <si>
    <t>C13</t>
  </si>
  <si>
    <t>CVV13</t>
  </si>
  <si>
    <t>CVV 13</t>
  </si>
  <si>
    <t>12-ax</t>
  </si>
  <si>
    <t>TT=Twisted Triple</t>
  </si>
  <si>
    <t>STP = Screened Twisted Pair (c/w insultion over shield)</t>
  </si>
  <si>
    <t>S = Single insulated wire (c/w insulation)</t>
  </si>
  <si>
    <t>STT = Screened Twisted Triple (c/w insulation)</t>
  </si>
  <si>
    <t>16 ch. PMW (1-16)</t>
  </si>
  <si>
    <t>DCU J21</t>
  </si>
  <si>
    <t>DCU J22</t>
  </si>
  <si>
    <t>16 ch. PMW (17-32)</t>
  </si>
  <si>
    <t>16 ch. PMW (33-48)</t>
  </si>
  <si>
    <t xml:space="preserve">CVV 5 </t>
  </si>
  <si>
    <t>CVV 6</t>
  </si>
  <si>
    <t>CVV 7</t>
  </si>
  <si>
    <t>CVV 8</t>
  </si>
  <si>
    <t>CVV 9</t>
  </si>
  <si>
    <t>DCU J16</t>
  </si>
  <si>
    <t>DCU J17</t>
  </si>
  <si>
    <t>DCU J18</t>
  </si>
  <si>
    <t>Number of Conductors excl. shlds</t>
  </si>
  <si>
    <t>Number of inner Shields</t>
  </si>
  <si>
    <t>no</t>
  </si>
  <si>
    <t>Single</t>
  </si>
  <si>
    <t>Date of change</t>
  </si>
  <si>
    <t>Document version being edited</t>
  </si>
  <si>
    <t>Worksheet</t>
  </si>
  <si>
    <t>Change/Comment</t>
  </si>
  <si>
    <t>FPU to CVV</t>
  </si>
  <si>
    <t>Connector reference</t>
  </si>
  <si>
    <t>Peak Dissipation</t>
  </si>
  <si>
    <t>Average Dissipation</t>
  </si>
  <si>
    <t>NA</t>
  </si>
  <si>
    <t>Average Current (see note 9)</t>
  </si>
  <si>
    <t>Peak and Average Dissipation with numerically formatted fields added</t>
  </si>
  <si>
    <t>Different categories of wires on the same connector split into different rows</t>
  </si>
  <si>
    <t>Anti-cross talk ground wires.</t>
  </si>
  <si>
    <t>Front Sheet</t>
  </si>
  <si>
    <t>Improved description of 12-ax</t>
  </si>
  <si>
    <t>more detail is found in the Harness Defintition Document, Annex 4.</t>
  </si>
  <si>
    <t>0.2 Draft</t>
  </si>
  <si>
    <t>Both the Average and Peak current are the rms values</t>
  </si>
  <si>
    <t>SMEC Thermometry</t>
  </si>
  <si>
    <t>CVV 12</t>
  </si>
  <si>
    <t>STQ = Screened Twisted Quad (c/w insulation)</t>
  </si>
  <si>
    <t>12-ax = 4 sets of twisted triples covered in a common shield and overall insulation</t>
  </si>
  <si>
    <t>Notes</t>
  </si>
  <si>
    <t>Prepared by</t>
  </si>
  <si>
    <t>There is a degree of robustness designed into the harnessing whereby current is sometimes shared by one or more conductors. It has been assumed in the calculations of Maximum and Average current that there have not been any breakages of the harnessing and the current is distriubuted between the conductors according to the ratios of their nominal DC resistances.</t>
  </si>
  <si>
    <r>
      <t xml:space="preserve">The shielding effectiveness is </t>
    </r>
    <r>
      <rPr>
        <b/>
        <sz val="12"/>
        <color indexed="10"/>
        <rFont val="Arial"/>
        <family val="2"/>
      </rPr>
      <t>TBC</t>
    </r>
  </si>
  <si>
    <t>0.1 Draft</t>
  </si>
  <si>
    <t>October 1, 2001</t>
  </si>
  <si>
    <t xml:space="preserve">The implementation of the </t>
  </si>
  <si>
    <r>
      <t xml:space="preserve">Average current = The average current in the conductor </t>
    </r>
    <r>
      <rPr>
        <i/>
        <sz val="10"/>
        <rFont val="Arial"/>
        <family val="2"/>
      </rPr>
      <t xml:space="preserve">while the device is being used </t>
    </r>
    <r>
      <rPr>
        <sz val="10"/>
        <rFont val="Arial"/>
        <family val="2"/>
      </rPr>
      <t>during a given 48 hour cooler hold time observation period. The mission average is this current times the duty cycle</t>
    </r>
  </si>
  <si>
    <t>There are also vane temperatures that are not part of the flight hardware.</t>
  </si>
  <si>
    <t>by the platform.</t>
  </si>
  <si>
    <t>Note that the IID-B defines cryostat temperatures that are relevant to Spire and monitored</t>
  </si>
  <si>
    <t>SMEC</t>
  </si>
  <si>
    <t>BSM</t>
  </si>
  <si>
    <t>Spectrometer Stimulus Heater 4%</t>
  </si>
  <si>
    <t>Spectrometer Stimulus Heater 2%</t>
  </si>
  <si>
    <t>DCU J11</t>
  </si>
  <si>
    <t>DCU J12</t>
  </si>
  <si>
    <t>DCU J13</t>
  </si>
  <si>
    <t>DCU J19</t>
  </si>
  <si>
    <t>DCU J14</t>
  </si>
  <si>
    <t>DCU J15</t>
  </si>
  <si>
    <t>DCU J8</t>
  </si>
  <si>
    <t>DCU J9</t>
  </si>
  <si>
    <t>DCU J10</t>
  </si>
  <si>
    <t>DCU 5</t>
  </si>
  <si>
    <t>DCU J6</t>
  </si>
  <si>
    <t>DCU J7</t>
  </si>
  <si>
    <t>CVV 10</t>
  </si>
  <si>
    <t>STQ</t>
  </si>
  <si>
    <t>Max.Current per Conductor</t>
  </si>
  <si>
    <t>FCU J11</t>
  </si>
  <si>
    <t>TQ</t>
  </si>
  <si>
    <t>FPU Thermometry A</t>
  </si>
  <si>
    <t>FPU Thermometry B</t>
  </si>
  <si>
    <t>CVV 11</t>
  </si>
  <si>
    <t>FPU Thermometry C</t>
  </si>
  <si>
    <t>STT</t>
  </si>
  <si>
    <t>SMEC Drive Coil</t>
  </si>
  <si>
    <t>Ground Wires</t>
  </si>
  <si>
    <t>FCU J12</t>
  </si>
  <si>
    <t>FCU J14</t>
  </si>
  <si>
    <t>R (W)</t>
  </si>
  <si>
    <t>Revised and expanded to reflect most recent design</t>
  </si>
  <si>
    <t>Phot JFET Heater</t>
  </si>
  <si>
    <t>Spect JFET Heater</t>
  </si>
  <si>
    <t>Maximum total current</t>
  </si>
  <si>
    <t>Total Membranes</t>
  </si>
  <si>
    <t>SSW Membranes</t>
  </si>
  <si>
    <t>Avg./Max. Current</t>
  </si>
  <si>
    <t>Avg. Current</t>
  </si>
  <si>
    <t>SLW Membranes</t>
  </si>
  <si>
    <t>PMW Membranes</t>
  </si>
  <si>
    <t>PLW Membranes</t>
  </si>
  <si>
    <t>PSW Membranes</t>
  </si>
  <si>
    <t>300-mK TC Membranes</t>
  </si>
  <si>
    <t>SLW Bolometer Bias</t>
  </si>
  <si>
    <t>SLW JFET Bias</t>
  </si>
  <si>
    <t>SSW Bolometer Bias</t>
  </si>
  <si>
    <t>SSW JFET Bias</t>
  </si>
  <si>
    <t>SLW JFET Heater</t>
  </si>
  <si>
    <t>SSW JFET Heater</t>
  </si>
  <si>
    <t>C-Harness</t>
  </si>
  <si>
    <t>I-Harness</t>
  </si>
  <si>
    <t>R</t>
  </si>
  <si>
    <t>L</t>
  </si>
  <si>
    <t>C</t>
  </si>
  <si>
    <t>SLW Ground wire</t>
  </si>
  <si>
    <t>Bolometer Bias</t>
  </si>
  <si>
    <t>NTD Thermistor Bias</t>
  </si>
  <si>
    <t>S</t>
  </si>
  <si>
    <t>Bolometer Signal</t>
  </si>
  <si>
    <t>JFET Bias</t>
  </si>
  <si>
    <t>1000pF</t>
  </si>
  <si>
    <t>AVG_I_TC_BIAS</t>
  </si>
  <si>
    <t>MAX_I_TC_BIAS</t>
  </si>
  <si>
    <t>AVG_I_BOLSIG</t>
  </si>
  <si>
    <t>MAX_I_BOLSIG</t>
  </si>
  <si>
    <t>MAX_I_SLWBIAS</t>
  </si>
  <si>
    <t>AVG_I_SLWBIAS</t>
  </si>
  <si>
    <t>MAX_I_SSWBIAS</t>
  </si>
  <si>
    <t>MAX_I_SSWJFET</t>
  </si>
  <si>
    <t>MAX_I_SLWJFET</t>
  </si>
  <si>
    <t>AVG_I_SLWJFET</t>
  </si>
  <si>
    <t>MAX_I_PMWJFET</t>
  </si>
  <si>
    <t>AVG_I_PMWJFET</t>
  </si>
  <si>
    <t>DC_SPECT</t>
  </si>
  <si>
    <t>DC_PHOT</t>
  </si>
  <si>
    <t>DC_S_HEAT</t>
  </si>
  <si>
    <t>DC_P_HEAT</t>
  </si>
  <si>
    <t>MAX_I_PLWJFET</t>
  </si>
  <si>
    <t>AVG_I_PLWJFET</t>
  </si>
  <si>
    <t>AVG_I_PSWJFET</t>
  </si>
  <si>
    <t>MAX_I_TCJFET</t>
  </si>
  <si>
    <t>AVG_I_TCJFET</t>
  </si>
  <si>
    <t>SSW Ground Wire</t>
  </si>
  <si>
    <t>JFET Heater</t>
  </si>
  <si>
    <t>Average Current/Wire pair</t>
  </si>
  <si>
    <t>MAX_I_SSWHEAT</t>
  </si>
  <si>
    <t>AVG_I_SSWHEAT</t>
  </si>
  <si>
    <t>MAX_I_SLWHEAT</t>
  </si>
  <si>
    <t>AVG_I_SLWHEAT</t>
  </si>
  <si>
    <t>MAX_I_PMWHEAT</t>
  </si>
  <si>
    <t>AVG_I_PMWHEAT</t>
  </si>
  <si>
    <t>MAX_I_PLWHEAT</t>
  </si>
  <si>
    <t>AVG_I_PLWHEAT</t>
  </si>
  <si>
    <t>AVG_I_PSWHEAT</t>
  </si>
  <si>
    <t>MAX_I_TCHEAT</t>
  </si>
  <si>
    <t>AVG_I_TCHEAT</t>
  </si>
  <si>
    <t>Maximum total current/membrane</t>
  </si>
  <si>
    <t>Avg. Current/Bol Pair</t>
  </si>
  <si>
    <t>(DRCU Spec. BDA-DRCU_08)</t>
  </si>
  <si>
    <t>MAX_I_PSWHEAT</t>
  </si>
  <si>
    <t>MAX_I_PSWJFET</t>
  </si>
  <si>
    <t>SMEC Position sensor photodiodes</t>
  </si>
  <si>
    <t>SMEC Position sensor photodiodes FB</t>
  </si>
  <si>
    <t xml:space="preserve">TQ = Twisted Quad </t>
  </si>
  <si>
    <t>FPU Thermometry</t>
  </si>
  <si>
    <t>BSM Temperature</t>
  </si>
  <si>
    <t>BSM Launch latch sense</t>
  </si>
  <si>
    <t>BSM Launch latch solenoid</t>
  </si>
  <si>
    <t>BSM Chop motor drive</t>
  </si>
  <si>
    <t>BSM Jiggle motor drive</t>
  </si>
  <si>
    <t>SMEC Drive coil voltage sensor</t>
  </si>
  <si>
    <t>FCU J21</t>
  </si>
  <si>
    <t>FCUJ25</t>
  </si>
  <si>
    <t>FCUJ23</t>
  </si>
  <si>
    <t>FCUJ24</t>
  </si>
  <si>
    <t>FCUJ26</t>
  </si>
  <si>
    <t>FCU J22</t>
  </si>
  <si>
    <t>Name</t>
  </si>
  <si>
    <t>Description</t>
  </si>
  <si>
    <t>DCU J28</t>
  </si>
  <si>
    <t>DCU J29</t>
  </si>
  <si>
    <t>DCU J30</t>
  </si>
  <si>
    <t>STP</t>
  </si>
  <si>
    <t>Max. Impedance Requirements</t>
  </si>
  <si>
    <t>Duty Cycle</t>
  </si>
  <si>
    <t>T</t>
  </si>
  <si>
    <t>t</t>
  </si>
  <si>
    <t>C(pF)</t>
  </si>
  <si>
    <t>Max. Volts</t>
  </si>
  <si>
    <t>(t x T)</t>
  </si>
  <si>
    <t>CVV 1</t>
  </si>
  <si>
    <t>CVV 2</t>
  </si>
  <si>
    <t>DCU J23</t>
  </si>
  <si>
    <t>DCU J24</t>
  </si>
  <si>
    <t>DCU J25</t>
  </si>
  <si>
    <t>DCU J26</t>
  </si>
  <si>
    <t>CVV 3</t>
  </si>
  <si>
    <t>DCU J31</t>
  </si>
  <si>
    <t>DCU J32</t>
  </si>
  <si>
    <t>Ground Wire</t>
  </si>
  <si>
    <t>PLW Ground</t>
  </si>
  <si>
    <t>Bolometer signals from JFP (PMW 1-12)</t>
  </si>
  <si>
    <t>Bolometer signals from JFP (PMW 13-24)</t>
  </si>
  <si>
    <t>Bolometer signals from JFP (PMW 25-36)</t>
  </si>
  <si>
    <t>Bolometer signals from JFP (PMW 37-48)</t>
  </si>
  <si>
    <t>Bolometer signals from JFP (PMW 49-60)</t>
  </si>
  <si>
    <t>Bolometer signals from JFP (PMW 61-72)</t>
  </si>
  <si>
    <t>Bolometer signals from JFP (PMW 73-84)</t>
  </si>
  <si>
    <t>Bolometer signals from JFP (PMW 85-96)</t>
  </si>
  <si>
    <t>Bolometer signals from JFP (PLW 1-12)</t>
  </si>
  <si>
    <t>Bolometer signals from JFP (PLW 13-24)</t>
  </si>
  <si>
    <t>Bolometer signals from JFP (PLW 25-36)</t>
  </si>
  <si>
    <t>Bolometer signals from JFP (PLW 37-48)</t>
  </si>
  <si>
    <t>Bolometer signals from JFP (PSW 1-12)</t>
  </si>
  <si>
    <t>Bolometer signals from JFP (PSW 13-24)</t>
  </si>
  <si>
    <t>Bolometer signals from JFP (PSW 25-36)</t>
  </si>
  <si>
    <t>Bolometer signals from JFP (PSW 37-48)</t>
  </si>
  <si>
    <t>Bolometer signals from JFP (PSW 85-96)</t>
  </si>
  <si>
    <t>Bolometer signals from JFP (PSW 97-108)</t>
  </si>
  <si>
    <t>Bolometer signals from JFP (PSW 109-120)</t>
  </si>
  <si>
    <t>Bolometer signals from JFP (PSW 121-132)</t>
  </si>
  <si>
    <t xml:space="preserve">Bolometer signals from JFP (PSW 133-144) </t>
  </si>
  <si>
    <t>SLW Ground</t>
  </si>
  <si>
    <t>RC_TC_BIAS</t>
  </si>
  <si>
    <t>0.08uH</t>
  </si>
  <si>
    <t>1500pF</t>
  </si>
  <si>
    <t>FPU Faraday Shield Link</t>
  </si>
  <si>
    <t>MDM 25 S</t>
  </si>
  <si>
    <t>HSJFS J5</t>
  </si>
  <si>
    <t>HSJFS J6</t>
  </si>
  <si>
    <t>HSJFS J9</t>
  </si>
  <si>
    <t>HSJFS J10</t>
  </si>
  <si>
    <t>16 ch. PMW (49-64)</t>
  </si>
  <si>
    <t>16 ch. PMW (65-80)</t>
  </si>
  <si>
    <t>16 ch. PMW (81-96)</t>
  </si>
  <si>
    <t>16 ch. PLW (1-16)</t>
  </si>
  <si>
    <t>16 ch. PLW (17-32)</t>
  </si>
  <si>
    <t>16 ch. PLW (33-48)</t>
  </si>
  <si>
    <t>16 ch. PSW (1-16)</t>
  </si>
  <si>
    <t>16 ch. PSW (17-32)</t>
  </si>
  <si>
    <t>16 ch. PSW (33-48)</t>
  </si>
  <si>
    <t>16 ch. PSW (49-64)</t>
  </si>
  <si>
    <t>16 ch. PSW (65-80)</t>
  </si>
  <si>
    <t>Bolometer Signals</t>
  </si>
  <si>
    <t>Max Current/Bol</t>
  </si>
  <si>
    <t>Max Voltage</t>
  </si>
  <si>
    <t>R Bol</t>
  </si>
  <si>
    <t>R Bias</t>
  </si>
  <si>
    <t>Avg Current/Bol</t>
  </si>
  <si>
    <t>SLW</t>
  </si>
  <si>
    <t>Membranes</t>
  </si>
  <si>
    <t>Wire pairs (A)</t>
  </si>
  <si>
    <t>Wire pairs (B)</t>
  </si>
  <si>
    <t>Total JFET pairs</t>
  </si>
  <si>
    <t>Max Current/Wire pair</t>
  </si>
  <si>
    <t>SSW</t>
  </si>
  <si>
    <t>Average Voltage</t>
  </si>
  <si>
    <t>Avg Current/Wire Pair</t>
  </si>
  <si>
    <t>PMW</t>
  </si>
  <si>
    <t>PLW</t>
  </si>
  <si>
    <t>PSW</t>
  </si>
  <si>
    <t>300-mK TC</t>
  </si>
  <si>
    <t>Spect. Bolometer Biases</t>
  </si>
  <si>
    <t>Phot. Bolometer Biases</t>
  </si>
  <si>
    <t>300-mK TC Bias</t>
  </si>
  <si>
    <t>Avg/Max</t>
  </si>
  <si>
    <t>R NTD Thermistor</t>
  </si>
  <si>
    <t>Max Current/Thermistor</t>
  </si>
  <si>
    <t>Powered JFET Pairs/Membrane</t>
  </si>
  <si>
    <t>Avg/Max Voltage</t>
  </si>
  <si>
    <t>Max</t>
  </si>
  <si>
    <t>Avg</t>
  </si>
  <si>
    <t>I&amp;Duty Cycle Assumptions</t>
  </si>
  <si>
    <t>Added worksheet to help explain rationale for the asumptions</t>
  </si>
  <si>
    <t>All</t>
  </si>
  <si>
    <t>Sorption Pump Heater Average Current</t>
  </si>
  <si>
    <t>Sorption Pump Heater Duty Cycle</t>
  </si>
  <si>
    <t>SCO_AVGI_SPH</t>
  </si>
  <si>
    <t>SCO_DC_SPH</t>
  </si>
  <si>
    <t>Heat Switch Heaters Duty Cycle</t>
  </si>
  <si>
    <t>SCO_DC_HSH</t>
  </si>
  <si>
    <t>Cernox Thermistors</t>
  </si>
  <si>
    <t>RC_CERNOX</t>
  </si>
  <si>
    <t>I_CERNOX</t>
  </si>
  <si>
    <t>Heat Switch Heaters (Max Current)</t>
  </si>
  <si>
    <t>Heat Switch Heaters (Avg Current)</t>
  </si>
  <si>
    <t>SC_AVGI_HSH</t>
  </si>
  <si>
    <t>Avg. Current / Max Current</t>
  </si>
  <si>
    <t>Wire Pairs</t>
  </si>
  <si>
    <t>4% Heater Max current</t>
  </si>
  <si>
    <t>SCAL_MAXI_4</t>
  </si>
  <si>
    <t>SCAL_AVGI_4</t>
  </si>
  <si>
    <t>SCAL_MAXI_2</t>
  </si>
  <si>
    <t>SCAL_AVGI_2</t>
  </si>
  <si>
    <t>DC_SCAL</t>
  </si>
  <si>
    <t>SCAL 4% Heat</t>
  </si>
  <si>
    <t>SCAL 2% Heat</t>
  </si>
  <si>
    <t>RC_SCAL_4</t>
  </si>
  <si>
    <t>RC_SCAL_2</t>
  </si>
  <si>
    <t>300-mK Heater</t>
  </si>
  <si>
    <t>Max current</t>
  </si>
  <si>
    <t>TC_MAXI</t>
  </si>
  <si>
    <t>TC_AVGI</t>
  </si>
  <si>
    <t>300-mK TC Heater</t>
  </si>
  <si>
    <t>RC_TC</t>
  </si>
  <si>
    <t xml:space="preserve">BSM Sensors </t>
  </si>
  <si>
    <t>BSM_I_SNS</t>
  </si>
  <si>
    <t>BSM Launch Latch Drive</t>
  </si>
  <si>
    <t>BSM_I_LLD</t>
  </si>
  <si>
    <t>BSM Sensors</t>
  </si>
  <si>
    <t>RC_BSM_SNS</t>
  </si>
  <si>
    <t>AVG_I_PMWBIAS</t>
  </si>
  <si>
    <t>MAX_I_PLWBIAS</t>
  </si>
  <si>
    <t>AVG_I_PLWBIAS</t>
  </si>
  <si>
    <t>MAX_I_PSWBIAS</t>
  </si>
  <si>
    <t>AVG_I_PSWBIAS</t>
  </si>
  <si>
    <t>AVG_I_SSWJFET</t>
  </si>
  <si>
    <t>BSM_I_LLS</t>
  </si>
  <si>
    <t>BSM Drives</t>
  </si>
  <si>
    <t>RC_BSM_DRV</t>
  </si>
  <si>
    <t>BSM_MAXI_DRV</t>
  </si>
  <si>
    <t>BSM_AVGI_DRV</t>
  </si>
  <si>
    <t>BSM Motor Avg/Max (chop)</t>
  </si>
  <si>
    <t>BSM chop motor drive (Avg.)</t>
  </si>
  <si>
    <t>BSM Motor Avg/Max (jiggle)</t>
  </si>
  <si>
    <t>BSM jiggle motor drive (Avg.)</t>
  </si>
  <si>
    <t>SMEC Launch Latch Sense</t>
  </si>
  <si>
    <t>FTS_MAXI_LLS</t>
  </si>
  <si>
    <t>SMEC Launch Latch Power Supply</t>
  </si>
  <si>
    <t>SMEC Launch Latch Power</t>
  </si>
  <si>
    <t>SMEC Launch Latch</t>
  </si>
  <si>
    <t>SMEC Launch Latch Confirm</t>
  </si>
  <si>
    <t>RC_FTS_LLP</t>
  </si>
  <si>
    <t>RC_FTS_LLS</t>
  </si>
  <si>
    <t>RC_FTS_LVDT_P</t>
  </si>
  <si>
    <t>RC_FTS_LVDT_S</t>
  </si>
  <si>
    <t>FTS_MAXI_LVDTP</t>
  </si>
  <si>
    <t>FTS_AVGI_LVDTP</t>
  </si>
  <si>
    <t>FST_AVGI_LVDTS</t>
  </si>
  <si>
    <t>SMEC Drive (Max)</t>
  </si>
  <si>
    <t>SMEC Drive (avg.)</t>
  </si>
  <si>
    <t>FTS_I_DRVM</t>
  </si>
  <si>
    <t>FTS_I_DRVA</t>
  </si>
  <si>
    <t xml:space="preserve">BSM Chop/Jiggle  Sensors </t>
  </si>
  <si>
    <t>FTS_MAXI_LLP</t>
  </si>
  <si>
    <t>Shutter</t>
  </si>
  <si>
    <t>P-Cal</t>
  </si>
  <si>
    <t>S-Cal</t>
  </si>
  <si>
    <t>Spect. JFET Power</t>
  </si>
  <si>
    <t>Phot JFET Power</t>
  </si>
  <si>
    <t>Bolometer signals from JFS (SLW 1-12)</t>
  </si>
  <si>
    <t>Bolometer signals from JFS (SLW 13-24)</t>
  </si>
  <si>
    <t>Bolometer signals from JFS (300-mK TC 1-3)</t>
  </si>
  <si>
    <t>PSW JFET Bias</t>
  </si>
  <si>
    <t>RC_JFET_BIAS</t>
  </si>
  <si>
    <t>LC_JFET_BIAS</t>
  </si>
  <si>
    <t>CC_JFET_BIAS</t>
  </si>
  <si>
    <t>PSW Ground</t>
  </si>
  <si>
    <t>RC_GND</t>
  </si>
  <si>
    <t>CC_GND</t>
  </si>
  <si>
    <t>LC_GND</t>
  </si>
  <si>
    <t>PSW Bolometer Bias</t>
  </si>
  <si>
    <t>RC_BOL_BIAS</t>
  </si>
  <si>
    <t>CC_BOL_BIAS</t>
  </si>
  <si>
    <t>LC_BOL_BIAS</t>
  </si>
  <si>
    <t>PSW Heater</t>
  </si>
  <si>
    <t>RC_JFET_HEAT</t>
  </si>
  <si>
    <t>CC_JFET_HEAT</t>
  </si>
  <si>
    <t>LC_JFET_HEAT</t>
  </si>
  <si>
    <t>PMW JFET Bias</t>
  </si>
  <si>
    <t>PMW Bolometer Bias</t>
  </si>
  <si>
    <t>PMW Ground</t>
  </si>
  <si>
    <t>PMW JFET Heater</t>
  </si>
  <si>
    <t>PLW JFET Heater</t>
  </si>
  <si>
    <t>PLW JFET Bias</t>
  </si>
  <si>
    <t>PLW Bolometer Bias</t>
  </si>
  <si>
    <t>RC_FTS_PS_PWR</t>
  </si>
  <si>
    <t>RC_FTS_PS_FB</t>
  </si>
  <si>
    <t>Position Sensor Photodiode</t>
  </si>
  <si>
    <t>Position Sensor Feedback Photodiode</t>
  </si>
  <si>
    <t>FTS_PS_PHOT_I</t>
  </si>
  <si>
    <t>FTS_PS_FB_I</t>
  </si>
  <si>
    <t>BSM Chop and Jiggle motor drive (Max.)</t>
  </si>
  <si>
    <t>BSM Launch Latch Confirm</t>
  </si>
  <si>
    <t>RC_BSM_LL_DRV</t>
  </si>
  <si>
    <t>RC_BSM_LL_CNF</t>
  </si>
  <si>
    <t>FCU J13</t>
  </si>
  <si>
    <t>DEMA 9P</t>
  </si>
  <si>
    <t>P-Cal Heater</t>
  </si>
  <si>
    <t>Insert E Harness</t>
  </si>
  <si>
    <t>Corrected J33/J34 to be J31/J32</t>
  </si>
  <si>
    <t>CVV to SVM</t>
  </si>
  <si>
    <t xml:space="preserve">Corrected shield termination on at CVV connector </t>
  </si>
  <si>
    <t>128 Way Connector</t>
  </si>
  <si>
    <t>Number of Conductors excl. shields</t>
  </si>
  <si>
    <t>Max.  Impedance Requirements</t>
  </si>
  <si>
    <t>Implementation</t>
  </si>
  <si>
    <t>DRCU Connector Type</t>
  </si>
  <si>
    <t>Mechanisms Launch Lock Confirm</t>
  </si>
  <si>
    <t>DCMA 37 P</t>
  </si>
  <si>
    <t>DCMA 37 S</t>
  </si>
  <si>
    <t>DCU J27</t>
  </si>
  <si>
    <t>DCMA37 P</t>
  </si>
  <si>
    <t>DCU  P27</t>
  </si>
  <si>
    <t>DCMA 37S</t>
  </si>
  <si>
    <t>DCU P28</t>
  </si>
  <si>
    <t>DCU P31</t>
  </si>
  <si>
    <t xml:space="preserve">Bolometer signals from JFP (PSW 49-60) </t>
  </si>
  <si>
    <t>Bolometer signals from JFP (PSW 61-72)</t>
  </si>
  <si>
    <t>Bolometer signals from JFP (PSW 73-84)</t>
  </si>
  <si>
    <t>DCU P26</t>
  </si>
  <si>
    <t>DDMA 50 P</t>
  </si>
  <si>
    <t>DCU P20</t>
  </si>
  <si>
    <t>DCU P21</t>
  </si>
  <si>
    <t>DCU P22</t>
  </si>
  <si>
    <t>DDMA 50 S</t>
  </si>
  <si>
    <t>DCU P17</t>
  </si>
  <si>
    <t>DCU P18</t>
  </si>
  <si>
    <t>DCU P19</t>
  </si>
  <si>
    <t>DCU P14</t>
  </si>
  <si>
    <t>DCU P15</t>
  </si>
  <si>
    <t>DCU P16</t>
  </si>
  <si>
    <t>DCU P11</t>
  </si>
  <si>
    <t>DCU P12</t>
  </si>
  <si>
    <t>DCU P13</t>
  </si>
  <si>
    <t>DCU P8</t>
  </si>
  <si>
    <t>DCU P9</t>
  </si>
  <si>
    <t>DCU P10</t>
  </si>
  <si>
    <t>DCU P5</t>
  </si>
  <si>
    <t>DCU P6</t>
  </si>
  <si>
    <t>DCU P7</t>
  </si>
  <si>
    <t>JB</t>
  </si>
  <si>
    <t>10/35</t>
  </si>
  <si>
    <t>JD</t>
  </si>
  <si>
    <t>DBMA 25 S</t>
  </si>
  <si>
    <t>DAMA 15 S</t>
  </si>
  <si>
    <t>DEMA 9 S</t>
  </si>
  <si>
    <t>MDM 37 S</t>
  </si>
  <si>
    <t>DEMA 9S</t>
  </si>
  <si>
    <t>FCU P14</t>
  </si>
  <si>
    <t>FCU P11</t>
  </si>
  <si>
    <t>FCU P23</t>
  </si>
  <si>
    <t>FCU P25</t>
  </si>
  <si>
    <t>DAMA 15 P</t>
  </si>
  <si>
    <t>DAMA 50 P</t>
  </si>
  <si>
    <t>DBMA 25 P</t>
  </si>
  <si>
    <t>FCU P21</t>
  </si>
  <si>
    <t>FCU P19</t>
  </si>
  <si>
    <t>FCU P29</t>
  </si>
  <si>
    <t>FCU P17</t>
  </si>
  <si>
    <t>FCU P13</t>
  </si>
  <si>
    <t>FCU P12</t>
  </si>
  <si>
    <t>FCU P24</t>
  </si>
  <si>
    <t>FCU P26</t>
  </si>
  <si>
    <t>FCU P22</t>
  </si>
  <si>
    <t>FCU P20</t>
  </si>
  <si>
    <t>FCU P30</t>
  </si>
  <si>
    <t>FCU P18</t>
  </si>
  <si>
    <t>FPU/JFS/JFP Connector Label</t>
  </si>
  <si>
    <t>16 ch. PSW (81-96)</t>
  </si>
  <si>
    <t>16 ch. PMW (97-112)</t>
  </si>
  <si>
    <t>16 ch. PMW (113-128)</t>
  </si>
  <si>
    <t>16 ch. PMW (129-144)</t>
  </si>
  <si>
    <t>Actuator Pos.n and Latch Sense</t>
  </si>
  <si>
    <t>SHUT_I_SNS</t>
  </si>
  <si>
    <t>Drives</t>
  </si>
  <si>
    <t>SHUT_I_PWR</t>
  </si>
  <si>
    <t>Shutter Temp.</t>
  </si>
  <si>
    <t>SHUT_I_TEMP</t>
  </si>
  <si>
    <t>Drive Ret</t>
  </si>
  <si>
    <t>SHUT_I_RET</t>
  </si>
  <si>
    <t>Shutter Power</t>
  </si>
  <si>
    <t>Shutter Power Return</t>
  </si>
  <si>
    <t>Shutter Temperature Sense</t>
  </si>
  <si>
    <t>Shutter Sensors</t>
  </si>
  <si>
    <t>RC_SHUT_PWR</t>
  </si>
  <si>
    <t>RC_SHUT_RET</t>
  </si>
  <si>
    <t>RC_SHUT_SNS</t>
  </si>
  <si>
    <t>RC_SHUT_TEMP</t>
  </si>
  <si>
    <t>Cooler</t>
  </si>
  <si>
    <t>SCO Sorption Pump Heater</t>
  </si>
  <si>
    <t>RC_SCO_SPH</t>
  </si>
  <si>
    <t>SCO Heat Switch Heater</t>
  </si>
  <si>
    <t>RC_SCO_HSH</t>
  </si>
  <si>
    <t>Thermistors</t>
  </si>
  <si>
    <t>SCO_MAXI_SPH</t>
  </si>
  <si>
    <t>SCO_MAXI_HSH</t>
  </si>
  <si>
    <t>Sorption Pump Heater Max Current</t>
  </si>
  <si>
    <t>HSJFP J16</t>
  </si>
  <si>
    <t>HSJFP J9</t>
  </si>
  <si>
    <t>HSJFP J10</t>
  </si>
  <si>
    <t>HSJFP J11</t>
  </si>
  <si>
    <t>HSJFP J12</t>
  </si>
  <si>
    <t>HSJFP P13</t>
  </si>
  <si>
    <t>HSJFP P14</t>
  </si>
  <si>
    <t>HSJFP P15</t>
  </si>
  <si>
    <t>HSJFP P16</t>
  </si>
  <si>
    <t>HSJFP P9</t>
  </si>
  <si>
    <t>HSJFP P10</t>
  </si>
  <si>
    <t>HSJFP P11</t>
  </si>
  <si>
    <t>HSJFP P12</t>
  </si>
  <si>
    <t>HSJFP J5</t>
  </si>
  <si>
    <t>HSJFP J6</t>
  </si>
  <si>
    <t>HSJFP J7</t>
  </si>
  <si>
    <t>HSJFP J8</t>
  </si>
  <si>
    <t>HSJFP P5</t>
  </si>
  <si>
    <t>HSJFP P6</t>
  </si>
  <si>
    <t>HSJFP P7</t>
  </si>
  <si>
    <t>HSJFP P8</t>
  </si>
  <si>
    <t>HSJFP J1</t>
  </si>
  <si>
    <t>HSJFP J2</t>
  </si>
  <si>
    <t>HSJFP J3</t>
  </si>
  <si>
    <t>HSJFP J4</t>
  </si>
  <si>
    <t>HSJFP P1</t>
  </si>
  <si>
    <t>HSJFP P2</t>
  </si>
  <si>
    <t>HSJFP P3</t>
  </si>
  <si>
    <t>HSJFP P4</t>
  </si>
  <si>
    <t>HSFPU J19</t>
  </si>
  <si>
    <t>HSFPU J21</t>
  </si>
  <si>
    <t>HSFPU J23</t>
  </si>
  <si>
    <t>HSFPU P19</t>
  </si>
  <si>
    <t>HSFPU P21</t>
  </si>
  <si>
    <t>HSFPU P23</t>
  </si>
  <si>
    <t>HSFPU J25</t>
  </si>
  <si>
    <t>HSFPU J27</t>
  </si>
  <si>
    <t>HSFPU J29</t>
  </si>
  <si>
    <t>HSFPU P25</t>
  </si>
  <si>
    <t>HSFPU P27</t>
  </si>
  <si>
    <t>HSFPU P29</t>
  </si>
  <si>
    <t>HSFPU J20</t>
  </si>
  <si>
    <t>HSFPU J22</t>
  </si>
  <si>
    <t>HSFPU J24</t>
  </si>
  <si>
    <t>HSFPU J26</t>
  </si>
  <si>
    <t>HSFPU P26</t>
  </si>
  <si>
    <t>HSFPU J28</t>
  </si>
  <si>
    <t>HSFPU J30</t>
  </si>
  <si>
    <t>HSFPU P28</t>
  </si>
  <si>
    <t>HSFPU P30</t>
  </si>
  <si>
    <t>Maximum Current</t>
  </si>
  <si>
    <t>PCAL Average Current</t>
  </si>
  <si>
    <t>PCAL_MAXI</t>
  </si>
  <si>
    <t>PCAL_AVGI</t>
  </si>
  <si>
    <t>PCAL_DC</t>
  </si>
  <si>
    <t>PCAL heater</t>
  </si>
  <si>
    <t>RC_PCAL</t>
  </si>
  <si>
    <t>BSM Duty Cycle</t>
  </si>
  <si>
    <t>BSM_DC</t>
  </si>
  <si>
    <t>BSM Launch Latch Sense</t>
  </si>
  <si>
    <t>Unit Connector Type</t>
  </si>
  <si>
    <t>HSJFS P5</t>
  </si>
  <si>
    <t>MDM 25 P</t>
  </si>
  <si>
    <t>HSJFS P6</t>
  </si>
  <si>
    <t>HSJFS P9</t>
  </si>
  <si>
    <t>HSJFS P10</t>
  </si>
  <si>
    <t>JFP P25</t>
  </si>
  <si>
    <t>JFP P27</t>
  </si>
  <si>
    <t>JFP P26</t>
  </si>
  <si>
    <t>JFP P28</t>
  </si>
  <si>
    <t>HSJFS J7</t>
  </si>
  <si>
    <t>HSJFS J2</t>
  </si>
  <si>
    <t>HSJFS J3</t>
  </si>
  <si>
    <t>HSJFS J4</t>
  </si>
  <si>
    <t>HSJFS J1</t>
  </si>
  <si>
    <t>HSJFS P4</t>
  </si>
  <si>
    <t>HSJFS P3</t>
  </si>
  <si>
    <t>HSJFS P2</t>
  </si>
  <si>
    <t>HSJFS P1</t>
  </si>
  <si>
    <t>HSJFS P7</t>
  </si>
  <si>
    <t>HSJFP J25</t>
  </si>
  <si>
    <t>HSJFP J27</t>
  </si>
  <si>
    <t>HSJFP J26</t>
  </si>
  <si>
    <t>HSJFP J28</t>
  </si>
  <si>
    <t>HSJFP J21</t>
  </si>
  <si>
    <t>HSJFP J23</t>
  </si>
  <si>
    <t>HSJFP J22</t>
  </si>
  <si>
    <t>HSJFP J24</t>
  </si>
  <si>
    <t>HSJFP P21</t>
  </si>
  <si>
    <t>HSJFP P22</t>
  </si>
  <si>
    <t>HSJFP P23</t>
  </si>
  <si>
    <t>HSJFP P24</t>
  </si>
  <si>
    <t>HSJFP J17</t>
  </si>
  <si>
    <t>HSJFP J18</t>
  </si>
  <si>
    <t>HSJFP J19</t>
  </si>
  <si>
    <t>HSJFP J20</t>
  </si>
  <si>
    <t>HSJFP P17</t>
  </si>
  <si>
    <t>HSJFP P18</t>
  </si>
  <si>
    <t>HSJFP J13</t>
  </si>
  <si>
    <t>HSJFP J14</t>
  </si>
  <si>
    <t>HSJFP J15</t>
  </si>
  <si>
    <t>Max.Current in A per Conductor</t>
  </si>
  <si>
    <t>0.12uH</t>
  </si>
  <si>
    <t>RC_FTC_DRV</t>
  </si>
  <si>
    <t>SMEC Drive Coil Sense</t>
  </si>
  <si>
    <t>RC_FTS_DRV_SNS</t>
  </si>
  <si>
    <t>FTS_I_DRV_SNS</t>
  </si>
  <si>
    <t>SMEC Drive Sense (Avg./Max.)</t>
  </si>
  <si>
    <t>SMEC LVDT Primary (Max.)</t>
  </si>
  <si>
    <t>SMEC LVDT Primary (Avg.)</t>
  </si>
  <si>
    <t>SMEC Launch Latch  (Rob.)</t>
  </si>
  <si>
    <t>SMEC Drive (Rob.)</t>
  </si>
  <si>
    <t>SMEC Drive Coil (Rob.)</t>
  </si>
  <si>
    <t>SMEC_LED_PWR</t>
  </si>
  <si>
    <t>RC_FTS_LED_PWR</t>
  </si>
  <si>
    <t>SMEC LED Power</t>
  </si>
  <si>
    <t>FTS_LED_IA</t>
  </si>
  <si>
    <t>SMEC_LED_PWR (Avg.)</t>
  </si>
  <si>
    <t>FTS_LED_IM</t>
  </si>
  <si>
    <t>SMEC_LED_PWR (Max.)</t>
  </si>
  <si>
    <t>SMEC_LED_PWR (Avg./Max.)</t>
  </si>
  <si>
    <t>SMEC Position Sensor Power</t>
  </si>
  <si>
    <t>FTS_PSP_I</t>
  </si>
  <si>
    <t>SMEC_Position Sensor Photodiodes</t>
  </si>
  <si>
    <t>SMEC_Position Sensor FB .Photodiodes</t>
  </si>
  <si>
    <t>RC_FTS_PS_PHOT</t>
  </si>
  <si>
    <t>HSFPU P24</t>
  </si>
  <si>
    <t>HSFPU P22</t>
  </si>
  <si>
    <t>HSFPU P20</t>
  </si>
  <si>
    <t>Operating Mode</t>
  </si>
  <si>
    <t>PTC Bias</t>
  </si>
  <si>
    <t>PTC Ground wire</t>
  </si>
  <si>
    <t>PTC JFET Bias</t>
  </si>
  <si>
    <t>PTC JFET Heater</t>
  </si>
  <si>
    <t>P</t>
  </si>
  <si>
    <t>Sp</t>
  </si>
  <si>
    <t>CR</t>
  </si>
  <si>
    <t>Bolometer signals from JFS (SSW 1-12)</t>
  </si>
  <si>
    <t>Bolometer signals from JFS (SSW 13-24)</t>
  </si>
  <si>
    <t xml:space="preserve">Bolometer signals from JFS (SSW 25-36) </t>
  </si>
  <si>
    <t>Bolometer signals from JFS (SSW 37-42)</t>
  </si>
  <si>
    <t>Evaporator HS Heater</t>
  </si>
  <si>
    <t>Sorption Pump HS heater</t>
  </si>
  <si>
    <r>
      <t xml:space="preserve">FPU Faraday Shield Link </t>
    </r>
    <r>
      <rPr>
        <b/>
        <sz val="10"/>
        <rFont val="Arial"/>
        <family val="2"/>
      </rPr>
      <t>#</t>
    </r>
  </si>
  <si>
    <t>#</t>
  </si>
  <si>
    <t>0.01uH</t>
  </si>
  <si>
    <t>FPU Faraday Shield Link #</t>
  </si>
  <si>
    <t>Shields*</t>
  </si>
  <si>
    <t xml:space="preserve">RF Overshield </t>
  </si>
  <si>
    <t>&gt;80%</t>
  </si>
  <si>
    <t>Blanking cover</t>
  </si>
  <si>
    <t>I13/S13</t>
  </si>
  <si>
    <t>I12/S12</t>
  </si>
  <si>
    <t>I11/S11</t>
  </si>
  <si>
    <t>I10/S10</t>
  </si>
  <si>
    <t>I9/S9</t>
  </si>
  <si>
    <t>I8/S8</t>
  </si>
  <si>
    <t>I7/S7</t>
  </si>
  <si>
    <t>I6/S6</t>
  </si>
  <si>
    <t>I5/S5</t>
  </si>
  <si>
    <t>I4/S4</t>
  </si>
  <si>
    <t>I3/S3</t>
  </si>
  <si>
    <t>I2/S2</t>
  </si>
  <si>
    <t>I1/S1</t>
  </si>
  <si>
    <t>Average Current per Conductor</t>
  </si>
  <si>
    <t>DCU P32</t>
  </si>
  <si>
    <t>DDMA 78S</t>
  </si>
  <si>
    <t>DCU P30</t>
  </si>
  <si>
    <t>DCU P29</t>
  </si>
  <si>
    <t>Harness Connector Type</t>
  </si>
  <si>
    <t>Harness Connector Label</t>
  </si>
  <si>
    <t>DRCU Connector Label</t>
  </si>
  <si>
    <t>DDMA 78 P</t>
  </si>
  <si>
    <t>DCU P23</t>
  </si>
  <si>
    <t>DCU P24</t>
  </si>
  <si>
    <t>DCU P25</t>
  </si>
  <si>
    <t>SPIRE-RAL-COM-001331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</si>
</sst>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00"/>
    <numFmt numFmtId="179" formatCode="0.0"/>
    <numFmt numFmtId="180" formatCode="0.00000"/>
    <numFmt numFmtId="181" formatCode="0.0000"/>
    <numFmt numFmtId="182" formatCode="0.000"/>
    <numFmt numFmtId="183" formatCode="mmmm\ d\,\ yyyy"/>
    <numFmt numFmtId="184" formatCode="0.0E+00"/>
    <numFmt numFmtId="185" formatCode="0.0%"/>
    <numFmt numFmtId="186" formatCode="0.00\ &quot;mW&quot;"/>
    <numFmt numFmtId="187" formatCode="0.00E+00\ &quot;A&quot;"/>
    <numFmt numFmtId="188" formatCode="General\ &quot;V&quot;"/>
    <numFmt numFmtId="189" formatCode="0.00E+00\ &quot;Ohm&quot;"/>
    <numFmt numFmtId="190" formatCode="0.00E+00\ &quot;nA&quot;"/>
    <numFmt numFmtId="191" formatCode="0.00\ &quot;nA&quot;"/>
    <numFmt numFmtId="192" formatCode="0.0\ &quot;nA&quot;"/>
    <numFmt numFmtId="193" formatCode="0\ &quot;nA&quot;"/>
    <numFmt numFmtId="194" formatCode="0.000%"/>
    <numFmt numFmtId="195" formatCode="&quot;(&quot;0.0\ &quot;)mA&quot;"/>
    <numFmt numFmtId="196" formatCode="&quot;(&quot;0.0\ &quot;) mA&quot;"/>
    <numFmt numFmtId="197" formatCode="&quot;(&quot;#&quot;) mA&quot;"/>
    <numFmt numFmtId="198" formatCode="&quot;(&quot;#.##&quot;) mA&quot;"/>
    <numFmt numFmtId="199" formatCode="&quot;(&quot;#.##&quot;) nA&quot;"/>
    <numFmt numFmtId="200" formatCode="&quot;(&quot;0.##&quot;) mA&quot;"/>
    <numFmt numFmtId="201" formatCode="&quot;(&quot;0.0&quot;) mA&quot;"/>
    <numFmt numFmtId="202" formatCode="&quot;(&quot;0.00&quot;) mA&quot;"/>
    <numFmt numFmtId="203" formatCode="&quot;(&quot;0.00&quot;) uA&quot;"/>
  </numFmts>
  <fonts count="15">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9"/>
      <name val="Arial"/>
      <family val="2"/>
    </font>
    <font>
      <sz val="10"/>
      <color indexed="8"/>
      <name val="Arial"/>
      <family val="0"/>
    </font>
    <font>
      <b/>
      <sz val="12"/>
      <color indexed="10"/>
      <name val="Arial"/>
      <family val="2"/>
    </font>
    <font>
      <b/>
      <sz val="9"/>
      <name val="Arial"/>
      <family val="2"/>
    </font>
    <font>
      <sz val="8.25"/>
      <name val="Arial"/>
      <family val="2"/>
    </font>
    <font>
      <sz val="11.25"/>
      <name val="Arial"/>
      <family val="0"/>
    </font>
    <font>
      <sz val="11.75"/>
      <name val="Arial"/>
      <family val="0"/>
    </font>
    <font>
      <sz val="8"/>
      <name val="Tahoma"/>
      <family val="0"/>
    </font>
    <font>
      <b/>
      <sz val="8"/>
      <name val="Tahoma"/>
      <family val="0"/>
    </font>
    <font>
      <b/>
      <sz val="8"/>
      <name val="Arial"/>
      <family val="2"/>
    </font>
  </fonts>
  <fills count="3">
    <fill>
      <patternFill/>
    </fill>
    <fill>
      <patternFill patternType="gray125"/>
    </fill>
    <fill>
      <patternFill patternType="solid">
        <fgColor indexed="11"/>
        <bgColor indexed="64"/>
      </patternFill>
    </fill>
  </fills>
  <borders count="28">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style="double"/>
    </border>
    <border>
      <left style="thin"/>
      <right>
        <color indexed="63"/>
      </right>
      <top>
        <color indexed="63"/>
      </top>
      <bottom style="double"/>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double"/>
    </border>
    <border>
      <left>
        <color indexed="63"/>
      </left>
      <right>
        <color indexed="63"/>
      </right>
      <top>
        <color indexed="63"/>
      </top>
      <bottom style="double"/>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style="thin"/>
      <top style="double"/>
      <bottom>
        <color indexed="63"/>
      </bottom>
    </border>
  </borders>
  <cellStyleXfs count="22">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vertical="top"/>
    </xf>
    <xf numFmtId="0" fontId="0" fillId="0" borderId="0" xfId="0" applyAlignment="1">
      <alignment horizontal="left" vertical="top"/>
    </xf>
    <xf numFmtId="0" fontId="0" fillId="0" borderId="0" xfId="0" applyAlignment="1">
      <alignment horizontal="center" vertical="top" wrapText="1"/>
    </xf>
    <xf numFmtId="0" fontId="3" fillId="0" borderId="0" xfId="0" applyFont="1" applyAlignment="1">
      <alignment horizontal="left" vertical="top"/>
    </xf>
    <xf numFmtId="183" fontId="0" fillId="0" borderId="0" xfId="0" applyNumberFormat="1" applyAlignment="1">
      <alignment horizontal="left" vertical="top"/>
    </xf>
    <xf numFmtId="0" fontId="0" fillId="0" borderId="0" xfId="0" applyAlignment="1">
      <alignment horizontal="center" vertical="top"/>
    </xf>
    <xf numFmtId="0" fontId="0" fillId="0" borderId="0" xfId="0" applyAlignment="1">
      <alignment horizontal="right" vertical="top"/>
    </xf>
    <xf numFmtId="0" fontId="3" fillId="0" borderId="0" xfId="0" applyFont="1" applyAlignment="1">
      <alignment horizontal="center" vertical="top"/>
    </xf>
    <xf numFmtId="0" fontId="0" fillId="0" borderId="0" xfId="0" applyFont="1" applyAlignment="1">
      <alignment horizontal="left" vertical="top"/>
    </xf>
    <xf numFmtId="0" fontId="6"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0" fontId="3" fillId="0" borderId="0" xfId="0" applyFont="1" applyAlignment="1">
      <alignment vertical="top"/>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Alignment="1">
      <alignment horizontal="center" vertical="top"/>
    </xf>
    <xf numFmtId="15" fontId="0" fillId="0" borderId="0" xfId="0" applyNumberFormat="1" applyAlignment="1">
      <alignment horizontal="center" vertical="top"/>
    </xf>
    <xf numFmtId="11" fontId="0" fillId="0" borderId="0" xfId="0" applyNumberFormat="1" applyAlignment="1">
      <alignment horizontal="center" vertical="top"/>
    </xf>
    <xf numFmtId="0" fontId="0" fillId="0" borderId="1" xfId="0" applyFont="1" applyBorder="1" applyAlignment="1">
      <alignment horizontal="left" vertical="top"/>
    </xf>
    <xf numFmtId="194" fontId="0" fillId="0" borderId="0" xfId="21" applyNumberFormat="1" applyAlignment="1">
      <alignment vertical="top"/>
    </xf>
    <xf numFmtId="0" fontId="0" fillId="0" borderId="0" xfId="0" applyAlignment="1">
      <alignment horizontal="left" vertical="top" wrapText="1"/>
    </xf>
    <xf numFmtId="0" fontId="0" fillId="0" borderId="0" xfId="0" applyAlignment="1">
      <alignment vertical="top" wrapText="1"/>
    </xf>
    <xf numFmtId="2" fontId="0" fillId="0" borderId="0" xfId="0" applyNumberFormat="1" applyAlignment="1">
      <alignment horizontal="center" vertical="top"/>
    </xf>
    <xf numFmtId="0" fontId="0" fillId="0" borderId="0" xfId="0" applyBorder="1" applyAlignment="1">
      <alignment vertical="top"/>
    </xf>
    <xf numFmtId="187" fontId="0" fillId="0" borderId="0" xfId="0" applyNumberFormat="1" applyAlignment="1">
      <alignment vertical="top"/>
    </xf>
    <xf numFmtId="188" fontId="0" fillId="0" borderId="0" xfId="0" applyNumberFormat="1" applyAlignment="1">
      <alignment vertical="top"/>
    </xf>
    <xf numFmtId="189" fontId="0" fillId="0" borderId="0" xfId="0" applyNumberFormat="1" applyAlignment="1">
      <alignment vertical="top"/>
    </xf>
    <xf numFmtId="0" fontId="0" fillId="0" borderId="0" xfId="0" applyNumberFormat="1" applyAlignment="1">
      <alignment vertical="top"/>
    </xf>
    <xf numFmtId="9" fontId="0" fillId="0" borderId="0" xfId="0" applyNumberFormat="1" applyAlignment="1">
      <alignment vertical="top"/>
    </xf>
    <xf numFmtId="0" fontId="0" fillId="0" borderId="1" xfId="0" applyBorder="1" applyAlignment="1">
      <alignment vertical="top"/>
    </xf>
    <xf numFmtId="188" fontId="0" fillId="0" borderId="1" xfId="0" applyNumberFormat="1" applyBorder="1" applyAlignment="1">
      <alignment vertical="top"/>
    </xf>
    <xf numFmtId="193" fontId="0" fillId="0" borderId="0" xfId="0" applyNumberFormat="1" applyAlignment="1">
      <alignment vertical="top"/>
    </xf>
    <xf numFmtId="193" fontId="0" fillId="0" borderId="0" xfId="0" applyNumberFormat="1" applyAlignment="1">
      <alignment horizontal="center" vertical="top"/>
    </xf>
    <xf numFmtId="14" fontId="0" fillId="0" borderId="0" xfId="0" applyNumberFormat="1" applyAlignment="1">
      <alignment horizontal="center" vertical="top" wrapText="1"/>
    </xf>
    <xf numFmtId="9" fontId="0" fillId="0" borderId="0" xfId="21" applyAlignment="1">
      <alignment vertical="top"/>
    </xf>
    <xf numFmtId="187" fontId="0" fillId="0" borderId="1" xfId="0" applyNumberFormat="1" applyBorder="1" applyAlignment="1">
      <alignment vertical="top"/>
    </xf>
    <xf numFmtId="198" fontId="0" fillId="0" borderId="0" xfId="0" applyNumberFormat="1" applyAlignment="1">
      <alignment vertical="top"/>
    </xf>
    <xf numFmtId="199" fontId="0" fillId="0" borderId="0" xfId="0" applyNumberFormat="1" applyAlignment="1">
      <alignment vertical="top"/>
    </xf>
    <xf numFmtId="9" fontId="0" fillId="0" borderId="0" xfId="21" applyNumberFormat="1" applyAlignment="1">
      <alignment vertical="top"/>
    </xf>
    <xf numFmtId="11" fontId="0" fillId="0" borderId="1" xfId="0" applyNumberFormat="1" applyBorder="1" applyAlignment="1">
      <alignment vertical="top"/>
    </xf>
    <xf numFmtId="0" fontId="0" fillId="0" borderId="0" xfId="0" applyFont="1" applyFill="1" applyBorder="1" applyAlignment="1">
      <alignment horizontal="left" vertical="top"/>
    </xf>
    <xf numFmtId="11" fontId="0" fillId="0" borderId="0" xfId="0" applyNumberFormat="1" applyAlignment="1">
      <alignment vertical="top"/>
    </xf>
    <xf numFmtId="11" fontId="0" fillId="0" borderId="0" xfId="0" applyNumberFormat="1" applyBorder="1" applyAlignment="1">
      <alignment vertical="top"/>
    </xf>
    <xf numFmtId="9" fontId="0" fillId="0" borderId="0" xfId="21" applyBorder="1" applyAlignment="1">
      <alignment vertical="top"/>
    </xf>
    <xf numFmtId="9" fontId="0" fillId="0" borderId="0" xfId="0" applyNumberFormat="1" applyBorder="1" applyAlignment="1">
      <alignment vertical="top"/>
    </xf>
    <xf numFmtId="0" fontId="0" fillId="0" borderId="0" xfId="0" applyNumberFormat="1" applyBorder="1" applyAlignment="1">
      <alignment vertical="top"/>
    </xf>
    <xf numFmtId="202" fontId="0" fillId="0" borderId="0" xfId="0" applyNumberFormat="1" applyAlignment="1">
      <alignment vertical="top"/>
    </xf>
    <xf numFmtId="203" fontId="0" fillId="0" borderId="0" xfId="0" applyNumberFormat="1" applyAlignment="1">
      <alignment vertical="top"/>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Fill="1" applyBorder="1" applyAlignment="1">
      <alignment horizontal="center" vertical="top"/>
    </xf>
    <xf numFmtId="49" fontId="3" fillId="0" borderId="0" xfId="0" applyNumberFormat="1" applyFont="1" applyFill="1" applyAlignment="1">
      <alignment horizontal="center" vertical="top" wrapText="1"/>
    </xf>
    <xf numFmtId="0" fontId="5" fillId="0" borderId="0" xfId="0" applyFont="1" applyFill="1" applyAlignment="1">
      <alignment horizontal="center" vertical="top" wrapText="1"/>
    </xf>
    <xf numFmtId="0" fontId="8" fillId="0" borderId="0" xfId="0" applyFont="1" applyFill="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Alignment="1">
      <alignment horizontal="left" vertical="top" wrapText="1"/>
    </xf>
    <xf numFmtId="9" fontId="5" fillId="0" borderId="0" xfId="21" applyFont="1" applyFill="1" applyAlignment="1">
      <alignment horizontal="center" vertical="top" wrapText="1"/>
    </xf>
    <xf numFmtId="0" fontId="0" fillId="2" borderId="0" xfId="0" applyFill="1" applyAlignment="1">
      <alignment horizontal="center" vertical="top"/>
    </xf>
    <xf numFmtId="0" fontId="0" fillId="0" borderId="2" xfId="0" applyFont="1" applyFill="1" applyBorder="1" applyAlignment="1">
      <alignment horizontal="center" vertical="top"/>
    </xf>
    <xf numFmtId="0" fontId="0" fillId="0" borderId="3" xfId="0" applyFont="1" applyFill="1" applyBorder="1" applyAlignment="1">
      <alignment horizontal="center" vertical="top"/>
    </xf>
    <xf numFmtId="0" fontId="5" fillId="0" borderId="0" xfId="0" applyNumberFormat="1" applyFont="1" applyFill="1" applyAlignment="1">
      <alignment horizontal="center" vertical="top" wrapText="1"/>
    </xf>
    <xf numFmtId="0" fontId="3" fillId="0" borderId="3" xfId="0"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6" xfId="0" applyFont="1" applyFill="1" applyBorder="1" applyAlignment="1">
      <alignment horizontal="left" vertical="top" wrapText="1"/>
    </xf>
    <xf numFmtId="0" fontId="0" fillId="0" borderId="6" xfId="0" applyNumberFormat="1" applyFont="1" applyFill="1" applyBorder="1" applyAlignment="1">
      <alignment horizontal="center" vertical="top" wrapText="1"/>
    </xf>
    <xf numFmtId="9" fontId="0" fillId="0" borderId="6" xfId="21" applyFont="1" applyFill="1" applyBorder="1" applyAlignment="1">
      <alignment horizontal="center" vertical="top"/>
    </xf>
    <xf numFmtId="9" fontId="0" fillId="0" borderId="6" xfId="21" applyFont="1" applyFill="1" applyBorder="1" applyAlignment="1">
      <alignment horizontal="center" vertical="top" wrapText="1"/>
    </xf>
    <xf numFmtId="11" fontId="0" fillId="0" borderId="6" xfId="0" applyNumberFormat="1" applyFont="1" applyFill="1" applyBorder="1" applyAlignment="1">
      <alignment horizontal="center" vertical="top"/>
    </xf>
    <xf numFmtId="185" fontId="0" fillId="0" borderId="7" xfId="21" applyNumberFormat="1" applyFont="1" applyFill="1" applyBorder="1" applyAlignment="1">
      <alignment horizontal="center" vertical="top"/>
    </xf>
    <xf numFmtId="0" fontId="0" fillId="0" borderId="4" xfId="0" applyFont="1" applyFill="1" applyBorder="1" applyAlignment="1">
      <alignment horizontal="center" vertical="top" wrapText="1"/>
    </xf>
    <xf numFmtId="0" fontId="0" fillId="0" borderId="4" xfId="0" applyFont="1" applyFill="1" applyBorder="1" applyAlignment="1">
      <alignment horizontal="left" vertical="top" wrapText="1"/>
    </xf>
    <xf numFmtId="11" fontId="0" fillId="0" borderId="4" xfId="0" applyNumberFormat="1" applyFont="1" applyFill="1" applyBorder="1" applyAlignment="1">
      <alignment horizontal="center" vertical="top" wrapText="1"/>
    </xf>
    <xf numFmtId="0" fontId="0" fillId="0" borderId="4" xfId="0" applyNumberFormat="1" applyFont="1" applyFill="1" applyBorder="1" applyAlignment="1">
      <alignment horizontal="center" vertical="top" wrapText="1"/>
    </xf>
    <xf numFmtId="9" fontId="0" fillId="0" borderId="4" xfId="21" applyFont="1" applyFill="1" applyBorder="1" applyAlignment="1">
      <alignment horizontal="center" vertical="top" wrapText="1"/>
    </xf>
    <xf numFmtId="11" fontId="0" fillId="0" borderId="4" xfId="0" applyNumberFormat="1" applyFont="1" applyFill="1" applyBorder="1" applyAlignment="1">
      <alignment horizontal="center" vertical="top"/>
    </xf>
    <xf numFmtId="185" fontId="0" fillId="0" borderId="2" xfId="21" applyNumberFormat="1" applyFont="1" applyFill="1" applyBorder="1" applyAlignment="1">
      <alignment horizontal="center" vertical="top"/>
    </xf>
    <xf numFmtId="9" fontId="0" fillId="0" borderId="4" xfId="0" applyNumberFormat="1" applyFont="1" applyFill="1" applyBorder="1" applyAlignment="1">
      <alignment horizontal="center" vertical="top" wrapText="1"/>
    </xf>
    <xf numFmtId="9" fontId="0" fillId="0" borderId="2" xfId="21"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4" xfId="0" applyNumberFormat="1" applyFont="1" applyFill="1" applyBorder="1" applyAlignment="1">
      <alignment horizontal="center" vertical="top" wrapText="1"/>
    </xf>
    <xf numFmtId="185" fontId="0" fillId="0" borderId="4" xfId="0" applyNumberFormat="1" applyFont="1" applyFill="1" applyBorder="1" applyAlignment="1">
      <alignment horizontal="center" vertical="top" wrapText="1"/>
    </xf>
    <xf numFmtId="11" fontId="0" fillId="0" borderId="6" xfId="0" applyNumberFormat="1" applyFont="1" applyFill="1" applyBorder="1" applyAlignment="1">
      <alignment horizontal="center" vertical="top" wrapText="1"/>
    </xf>
    <xf numFmtId="185" fontId="0" fillId="0" borderId="6" xfId="0" applyNumberFormat="1" applyFont="1" applyFill="1" applyBorder="1" applyAlignment="1">
      <alignment horizontal="center" vertical="top" wrapText="1"/>
    </xf>
    <xf numFmtId="9" fontId="0" fillId="0" borderId="6" xfId="0" applyNumberFormat="1" applyFont="1" applyFill="1" applyBorder="1" applyAlignment="1">
      <alignment horizontal="center" vertical="top" wrapText="1"/>
    </xf>
    <xf numFmtId="9" fontId="0" fillId="0" borderId="7" xfId="21" applyFont="1" applyFill="1" applyBorder="1" applyAlignment="1">
      <alignment horizontal="center" vertical="top" wrapText="1"/>
    </xf>
    <xf numFmtId="0" fontId="3" fillId="0" borderId="8"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8" xfId="0" applyFont="1" applyFill="1" applyBorder="1" applyAlignment="1">
      <alignment horizontal="left" vertical="top" wrapText="1"/>
    </xf>
    <xf numFmtId="49" fontId="0" fillId="0" borderId="8" xfId="0" applyNumberFormat="1" applyFont="1" applyFill="1" applyBorder="1" applyAlignment="1">
      <alignment horizontal="center" vertical="top" wrapText="1"/>
    </xf>
    <xf numFmtId="0" fontId="0" fillId="0" borderId="8" xfId="0" applyNumberFormat="1" applyFont="1" applyFill="1" applyBorder="1" applyAlignment="1">
      <alignment horizontal="center" vertical="top" wrapText="1"/>
    </xf>
    <xf numFmtId="9" fontId="0" fillId="0" borderId="8" xfId="21" applyFont="1" applyFill="1" applyBorder="1" applyAlignment="1">
      <alignment horizontal="center" vertical="top" wrapText="1"/>
    </xf>
    <xf numFmtId="11" fontId="0" fillId="0" borderId="8" xfId="0" applyNumberFormat="1" applyFont="1" applyFill="1" applyBorder="1" applyAlignment="1">
      <alignment horizontal="center" vertical="top"/>
    </xf>
    <xf numFmtId="185" fontId="0" fillId="0" borderId="9" xfId="21" applyNumberFormat="1" applyFont="1" applyFill="1" applyBorder="1" applyAlignment="1">
      <alignment horizontal="center" vertical="top"/>
    </xf>
    <xf numFmtId="179" fontId="0" fillId="0" borderId="4" xfId="0" applyNumberFormat="1" applyFont="1" applyFill="1" applyBorder="1" applyAlignment="1">
      <alignment horizontal="center" vertical="top" wrapText="1"/>
    </xf>
    <xf numFmtId="185" fontId="0" fillId="0" borderId="4" xfId="21" applyNumberFormat="1" applyFont="1" applyFill="1" applyBorder="1" applyAlignment="1">
      <alignment horizontal="center" vertical="top" wrapText="1"/>
    </xf>
    <xf numFmtId="0" fontId="0" fillId="0" borderId="4" xfId="0" applyFont="1" applyFill="1" applyBorder="1" applyAlignment="1">
      <alignment horizontal="center" vertical="top"/>
    </xf>
    <xf numFmtId="9" fontId="0" fillId="0" borderId="4" xfId="21" applyFont="1" applyFill="1" applyBorder="1" applyAlignment="1">
      <alignment horizontal="center" vertical="top"/>
    </xf>
    <xf numFmtId="12" fontId="0" fillId="0" borderId="4" xfId="21" applyNumberFormat="1" applyFont="1" applyFill="1" applyBorder="1" applyAlignment="1">
      <alignment horizontal="center" vertical="top" wrapText="1"/>
    </xf>
    <xf numFmtId="10" fontId="0" fillId="0" borderId="4" xfId="21"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9" fontId="0" fillId="0" borderId="10" xfId="0" applyNumberFormat="1" applyFont="1" applyFill="1" applyBorder="1" applyAlignment="1">
      <alignment horizontal="center" vertical="top" wrapText="1"/>
    </xf>
    <xf numFmtId="11"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center" vertical="top"/>
    </xf>
    <xf numFmtId="9" fontId="0" fillId="0" borderId="10" xfId="21" applyFont="1" applyFill="1" applyBorder="1" applyAlignment="1">
      <alignment horizontal="center" vertical="top" wrapText="1"/>
    </xf>
    <xf numFmtId="185" fontId="0" fillId="0" borderId="11" xfId="21" applyNumberFormat="1" applyFont="1" applyFill="1" applyBorder="1" applyAlignment="1">
      <alignment horizontal="center" vertical="top"/>
    </xf>
    <xf numFmtId="0" fontId="0" fillId="0" borderId="12" xfId="0" applyFont="1" applyFill="1" applyBorder="1" applyAlignment="1">
      <alignment horizontal="center" vertical="top" wrapText="1"/>
    </xf>
    <xf numFmtId="0" fontId="0" fillId="0" borderId="12" xfId="0" applyFont="1" applyFill="1" applyBorder="1" applyAlignment="1">
      <alignment horizontal="left" vertical="top" wrapText="1"/>
    </xf>
    <xf numFmtId="9" fontId="0" fillId="0" borderId="12" xfId="0" applyNumberFormat="1" applyFont="1" applyFill="1" applyBorder="1" applyAlignment="1">
      <alignment horizontal="center" vertical="top" wrapText="1"/>
    </xf>
    <xf numFmtId="11" fontId="0" fillId="0" borderId="12" xfId="0" applyNumberFormat="1" applyFont="1" applyFill="1" applyBorder="1" applyAlignment="1">
      <alignment horizontal="center" vertical="top"/>
    </xf>
    <xf numFmtId="0" fontId="0" fillId="0" borderId="12" xfId="0" applyNumberFormat="1" applyFont="1" applyFill="1" applyBorder="1" applyAlignment="1">
      <alignment horizontal="center" vertical="top"/>
    </xf>
    <xf numFmtId="9" fontId="0" fillId="0" borderId="12" xfId="21" applyFont="1" applyFill="1" applyBorder="1" applyAlignment="1">
      <alignment horizontal="center" vertical="top" wrapText="1"/>
    </xf>
    <xf numFmtId="185" fontId="0" fillId="0" borderId="13" xfId="21" applyNumberFormat="1" applyFont="1" applyFill="1" applyBorder="1" applyAlignment="1">
      <alignment horizontal="center" vertical="top"/>
    </xf>
    <xf numFmtId="0" fontId="3" fillId="0" borderId="3" xfId="0" applyFont="1" applyFill="1" applyBorder="1" applyAlignment="1">
      <alignment horizontal="center" vertical="top"/>
    </xf>
    <xf numFmtId="0" fontId="0" fillId="0" borderId="4" xfId="0" applyNumberFormat="1" applyFont="1" applyFill="1" applyBorder="1" applyAlignment="1">
      <alignment horizontal="center" vertical="top"/>
    </xf>
    <xf numFmtId="0" fontId="0" fillId="0" borderId="10" xfId="0" applyFont="1" applyFill="1" applyBorder="1" applyAlignment="1">
      <alignment horizontal="center" vertical="top"/>
    </xf>
    <xf numFmtId="0" fontId="0" fillId="0" borderId="10" xfId="0" applyFont="1" applyFill="1" applyBorder="1" applyAlignment="1">
      <alignment horizontal="left" vertical="top"/>
    </xf>
    <xf numFmtId="9" fontId="0" fillId="0" borderId="10" xfId="21" applyFont="1" applyFill="1" applyBorder="1" applyAlignment="1">
      <alignment horizontal="center" vertical="top"/>
    </xf>
    <xf numFmtId="0" fontId="0" fillId="0" borderId="4" xfId="0" applyFont="1" applyFill="1" applyBorder="1" applyAlignment="1">
      <alignment horizontal="left" vertical="top"/>
    </xf>
    <xf numFmtId="0" fontId="0" fillId="0" borderId="6" xfId="0" applyFont="1" applyFill="1" applyBorder="1" applyAlignment="1">
      <alignment horizontal="center" vertical="top"/>
    </xf>
    <xf numFmtId="0" fontId="0" fillId="0" borderId="6" xfId="0" applyFont="1" applyFill="1" applyBorder="1" applyAlignment="1">
      <alignment horizontal="left" vertical="top"/>
    </xf>
    <xf numFmtId="0" fontId="0" fillId="0" borderId="6" xfId="0" applyNumberFormat="1" applyFont="1" applyFill="1" applyBorder="1" applyAlignment="1">
      <alignment horizontal="center" vertical="top"/>
    </xf>
    <xf numFmtId="0" fontId="0" fillId="0" borderId="6" xfId="0" applyFont="1" applyFill="1" applyBorder="1" applyAlignment="1" quotePrefix="1">
      <alignment horizontal="center" vertical="top" wrapText="1"/>
    </xf>
    <xf numFmtId="0" fontId="8" fillId="0" borderId="3" xfId="0" applyFont="1" applyFill="1" applyBorder="1" applyAlignment="1">
      <alignment horizontal="center" vertical="top" wrapText="1"/>
    </xf>
    <xf numFmtId="0" fontId="5" fillId="0" borderId="4" xfId="0" applyFont="1" applyFill="1" applyBorder="1" applyAlignment="1">
      <alignment horizontal="left" vertical="top" wrapText="1"/>
    </xf>
    <xf numFmtId="9" fontId="5" fillId="0" borderId="4" xfId="21" applyFont="1" applyFill="1" applyBorder="1" applyAlignment="1">
      <alignment horizontal="center" vertical="top" wrapText="1"/>
    </xf>
    <xf numFmtId="186" fontId="0" fillId="0" borderId="4" xfId="0" applyNumberFormat="1" applyFont="1" applyFill="1" applyBorder="1" applyAlignment="1">
      <alignment horizontal="center" vertical="top"/>
    </xf>
    <xf numFmtId="0" fontId="3" fillId="0" borderId="14" xfId="0"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9" fontId="3" fillId="0" borderId="8" xfId="21" applyFont="1" applyFill="1" applyBorder="1" applyAlignment="1">
      <alignment horizontal="center" vertical="top" wrapText="1"/>
    </xf>
    <xf numFmtId="0" fontId="3" fillId="0" borderId="9" xfId="0" applyFont="1" applyFill="1" applyBorder="1" applyAlignment="1">
      <alignment horizontal="center" vertical="top" wrapText="1"/>
    </xf>
    <xf numFmtId="0" fontId="5" fillId="0" borderId="15" xfId="0" applyFont="1" applyFill="1" applyBorder="1" applyAlignment="1">
      <alignment horizontal="center" vertical="top" wrapText="1"/>
    </xf>
    <xf numFmtId="49" fontId="0" fillId="0" borderId="4" xfId="0" applyNumberFormat="1" applyFont="1" applyFill="1" applyBorder="1" applyAlignment="1">
      <alignment horizontal="center" vertical="top" wrapText="1"/>
    </xf>
    <xf numFmtId="0" fontId="3" fillId="0" borderId="14" xfId="0" applyFont="1" applyFill="1" applyBorder="1" applyAlignment="1">
      <alignment horizontal="center" vertical="top"/>
    </xf>
    <xf numFmtId="0" fontId="0" fillId="0" borderId="8" xfId="0" applyFont="1" applyFill="1" applyBorder="1" applyAlignment="1">
      <alignment horizontal="center" vertical="top"/>
    </xf>
    <xf numFmtId="9" fontId="0" fillId="0" borderId="8" xfId="0" applyNumberFormat="1" applyFont="1" applyFill="1" applyBorder="1" applyAlignment="1">
      <alignment horizontal="center" vertical="top" wrapText="1"/>
    </xf>
    <xf numFmtId="0" fontId="0" fillId="0" borderId="8" xfId="0" applyNumberFormat="1" applyFont="1" applyFill="1" applyBorder="1" applyAlignment="1">
      <alignment horizontal="center" vertical="top"/>
    </xf>
    <xf numFmtId="0" fontId="0" fillId="0" borderId="15" xfId="0" applyFont="1" applyFill="1" applyBorder="1" applyAlignment="1">
      <alignment horizontal="center" vertical="top"/>
    </xf>
    <xf numFmtId="49" fontId="3" fillId="0" borderId="16" xfId="0" applyNumberFormat="1" applyFont="1" applyFill="1" applyBorder="1" applyAlignment="1">
      <alignment horizontal="center" vertical="top" wrapText="1"/>
    </xf>
    <xf numFmtId="49" fontId="3" fillId="0" borderId="17" xfId="0" applyNumberFormat="1" applyFont="1" applyFill="1" applyBorder="1" applyAlignment="1">
      <alignment horizontal="center" vertical="top" wrapText="1"/>
    </xf>
    <xf numFmtId="0" fontId="3" fillId="0" borderId="18" xfId="0" applyFont="1" applyFill="1" applyBorder="1" applyAlignment="1">
      <alignment horizontal="center" vertical="top"/>
    </xf>
    <xf numFmtId="0" fontId="0" fillId="0" borderId="16" xfId="0" applyFont="1" applyFill="1" applyBorder="1" applyAlignment="1">
      <alignment horizontal="center" vertical="top"/>
    </xf>
    <xf numFmtId="0" fontId="0" fillId="0" borderId="16" xfId="0" applyFont="1" applyFill="1" applyBorder="1" applyAlignment="1">
      <alignment horizontal="left" vertical="top"/>
    </xf>
    <xf numFmtId="184" fontId="0" fillId="0" borderId="16"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9" fontId="0" fillId="0" borderId="16" xfId="21" applyFont="1" applyFill="1" applyBorder="1" applyAlignment="1">
      <alignment horizontal="center" vertical="top"/>
    </xf>
    <xf numFmtId="11" fontId="0" fillId="0" borderId="16" xfId="0" applyNumberFormat="1" applyFont="1" applyFill="1" applyBorder="1" applyAlignment="1">
      <alignment horizontal="center" vertical="top"/>
    </xf>
    <xf numFmtId="185" fontId="0" fillId="0" borderId="17" xfId="21" applyNumberFormat="1" applyFont="1" applyFill="1" applyBorder="1" applyAlignment="1">
      <alignment horizontal="center" vertical="top"/>
    </xf>
    <xf numFmtId="0" fontId="0" fillId="0" borderId="19" xfId="0" applyFont="1" applyFill="1" applyBorder="1" applyAlignment="1">
      <alignment horizontal="center" vertical="top"/>
    </xf>
    <xf numFmtId="0" fontId="0" fillId="0" borderId="19" xfId="0" applyFont="1" applyFill="1" applyBorder="1" applyAlignment="1">
      <alignment horizontal="left" vertical="top"/>
    </xf>
    <xf numFmtId="184" fontId="0" fillId="0" borderId="19" xfId="0" applyNumberFormat="1" applyFont="1" applyFill="1" applyBorder="1" applyAlignment="1">
      <alignment horizontal="center" vertical="top"/>
    </xf>
    <xf numFmtId="0" fontId="0" fillId="0" borderId="19" xfId="0" applyNumberFormat="1" applyFont="1" applyFill="1" applyBorder="1" applyAlignment="1">
      <alignment horizontal="center" vertical="top"/>
    </xf>
    <xf numFmtId="9" fontId="0" fillId="0" borderId="19" xfId="21" applyFont="1" applyFill="1" applyBorder="1" applyAlignment="1">
      <alignment horizontal="center" vertical="top"/>
    </xf>
    <xf numFmtId="11" fontId="0" fillId="0" borderId="19" xfId="0" applyNumberFormat="1" applyFont="1" applyFill="1" applyBorder="1" applyAlignment="1">
      <alignment horizontal="center" vertical="top"/>
    </xf>
    <xf numFmtId="185" fontId="0" fillId="0" borderId="20" xfId="21" applyNumberFormat="1" applyFont="1" applyFill="1" applyBorder="1" applyAlignment="1">
      <alignment horizontal="center" vertical="top"/>
    </xf>
    <xf numFmtId="0" fontId="0" fillId="0" borderId="21" xfId="0" applyFont="1" applyFill="1" applyBorder="1" applyAlignment="1">
      <alignment horizontal="center" vertical="top"/>
    </xf>
    <xf numFmtId="0" fontId="0" fillId="0" borderId="21" xfId="0" applyFont="1" applyFill="1" applyBorder="1" applyAlignment="1">
      <alignment horizontal="left" vertical="top"/>
    </xf>
    <xf numFmtId="11" fontId="0" fillId="0" borderId="21" xfId="0" applyNumberFormat="1" applyFont="1" applyFill="1" applyBorder="1" applyAlignment="1">
      <alignment horizontal="center" vertical="top"/>
    </xf>
    <xf numFmtId="185" fontId="0" fillId="0" borderId="22" xfId="21" applyNumberFormat="1" applyFont="1" applyFill="1" applyBorder="1" applyAlignment="1">
      <alignment horizontal="center" vertical="top"/>
    </xf>
    <xf numFmtId="184" fontId="0" fillId="0" borderId="21" xfId="0" applyNumberFormat="1" applyFont="1" applyFill="1" applyBorder="1" applyAlignment="1">
      <alignment horizontal="center" vertical="top"/>
    </xf>
    <xf numFmtId="9" fontId="0" fillId="0" borderId="21" xfId="21" applyFont="1" applyFill="1" applyBorder="1" applyAlignment="1">
      <alignment horizontal="center" vertical="top"/>
    </xf>
    <xf numFmtId="1" fontId="0" fillId="0" borderId="16" xfId="0" applyNumberFormat="1" applyFont="1" applyFill="1" applyBorder="1" applyAlignment="1">
      <alignment horizontal="center" vertical="top"/>
    </xf>
    <xf numFmtId="185" fontId="0" fillId="0" borderId="16" xfId="21" applyNumberFormat="1" applyFont="1" applyFill="1" applyBorder="1" applyAlignment="1">
      <alignment horizontal="center" vertical="top"/>
    </xf>
    <xf numFmtId="185" fontId="0" fillId="0" borderId="19" xfId="21" applyNumberFormat="1" applyFont="1" applyFill="1" applyBorder="1" applyAlignment="1">
      <alignment horizontal="center" vertical="top"/>
    </xf>
    <xf numFmtId="0" fontId="0" fillId="0" borderId="21" xfId="0" applyNumberFormat="1" applyFont="1" applyFill="1" applyBorder="1" applyAlignment="1">
      <alignment horizontal="center" vertical="top"/>
    </xf>
    <xf numFmtId="0" fontId="0" fillId="0" borderId="18" xfId="0" applyFont="1" applyFill="1" applyBorder="1" applyAlignment="1">
      <alignment horizontal="center" vertical="top"/>
    </xf>
    <xf numFmtId="1" fontId="0" fillId="0" borderId="19" xfId="0" applyNumberFormat="1" applyFont="1" applyFill="1" applyBorder="1" applyAlignment="1">
      <alignment horizontal="center" vertical="top"/>
    </xf>
    <xf numFmtId="0" fontId="0" fillId="0" borderId="16" xfId="0" applyFont="1" applyFill="1" applyBorder="1" applyAlignment="1">
      <alignment vertical="top"/>
    </xf>
    <xf numFmtId="0" fontId="0" fillId="0" borderId="17" xfId="0" applyFont="1" applyFill="1" applyBorder="1" applyAlignment="1">
      <alignment horizontal="center" vertical="top"/>
    </xf>
    <xf numFmtId="186" fontId="0" fillId="0" borderId="16" xfId="0" applyNumberFormat="1" applyFont="1" applyFill="1" applyBorder="1" applyAlignment="1">
      <alignment horizontal="center" vertical="top"/>
    </xf>
    <xf numFmtId="0" fontId="3" fillId="0" borderId="23" xfId="0"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0" borderId="26"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23" xfId="0" applyFont="1" applyFill="1" applyBorder="1" applyAlignment="1">
      <alignment horizontal="left" vertical="top" wrapText="1"/>
    </xf>
    <xf numFmtId="49" fontId="0" fillId="0" borderId="23" xfId="0" applyNumberFormat="1" applyFont="1" applyFill="1" applyBorder="1" applyAlignment="1">
      <alignment horizontal="center" vertical="top" wrapText="1"/>
    </xf>
    <xf numFmtId="184" fontId="0" fillId="0" borderId="23" xfId="0" applyNumberFormat="1" applyFont="1" applyFill="1" applyBorder="1" applyAlignment="1">
      <alignment horizontal="center" vertical="top" wrapText="1"/>
    </xf>
    <xf numFmtId="0" fontId="0" fillId="0" borderId="23" xfId="0" applyNumberFormat="1" applyFont="1" applyFill="1" applyBorder="1" applyAlignment="1">
      <alignment horizontal="center" vertical="top" wrapText="1"/>
    </xf>
    <xf numFmtId="9" fontId="0" fillId="0" borderId="23" xfId="21" applyFont="1" applyFill="1" applyBorder="1" applyAlignment="1">
      <alignment horizontal="center" vertical="top" wrapText="1"/>
    </xf>
    <xf numFmtId="11" fontId="0" fillId="0" borderId="23" xfId="0" applyNumberFormat="1" applyFont="1" applyFill="1" applyBorder="1" applyAlignment="1">
      <alignment horizontal="center" vertical="top"/>
    </xf>
    <xf numFmtId="185" fontId="0" fillId="0" borderId="24" xfId="21" applyNumberFormat="1" applyFont="1" applyFill="1" applyBorder="1" applyAlignment="1">
      <alignment horizontal="center" vertical="top"/>
    </xf>
    <xf numFmtId="0" fontId="0" fillId="0" borderId="25" xfId="0" applyFont="1" applyFill="1" applyBorder="1" applyAlignment="1">
      <alignment horizontal="center" vertical="top" wrapText="1"/>
    </xf>
    <xf numFmtId="0" fontId="0" fillId="0" borderId="25" xfId="0" applyFont="1" applyFill="1" applyBorder="1" applyAlignment="1">
      <alignment horizontal="center" vertical="top"/>
    </xf>
    <xf numFmtId="0" fontId="0" fillId="0" borderId="0" xfId="0" applyFont="1" applyFill="1" applyBorder="1" applyAlignment="1">
      <alignment horizontal="center" vertical="top" wrapText="1"/>
    </xf>
    <xf numFmtId="0" fontId="3" fillId="0" borderId="0" xfId="0" applyFont="1" applyAlignment="1">
      <alignment horizontal="left" vertical="top"/>
    </xf>
    <xf numFmtId="0" fontId="0" fillId="0" borderId="0" xfId="0" applyAlignment="1">
      <alignment horizontal="left" vertical="top"/>
    </xf>
    <xf numFmtId="49" fontId="3" fillId="0" borderId="18" xfId="0" applyNumberFormat="1" applyFont="1" applyFill="1" applyBorder="1" applyAlignment="1">
      <alignment horizontal="center" vertical="top" wrapText="1"/>
    </xf>
    <xf numFmtId="49" fontId="3" fillId="0" borderId="26"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49" fontId="3" fillId="0" borderId="23" xfId="0" applyNumberFormat="1" applyFont="1" applyFill="1" applyBorder="1" applyAlignment="1">
      <alignment horizontal="center" vertical="top" wrapText="1"/>
    </xf>
    <xf numFmtId="184" fontId="3" fillId="0" borderId="16" xfId="0" applyNumberFormat="1" applyFont="1" applyFill="1" applyBorder="1" applyAlignment="1">
      <alignment horizontal="center" vertical="top" wrapText="1"/>
    </xf>
    <xf numFmtId="184" fontId="3" fillId="0" borderId="23"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8" xfId="0"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9" fontId="3" fillId="0" borderId="4" xfId="2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7" xfId="0" applyBorder="1" applyAlignment="1">
      <alignment horizontal="center" vertical="top" wrapText="1"/>
    </xf>
    <xf numFmtId="0" fontId="0" fillId="0" borderId="0" xfId="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Bias Current per Wire Pair</a:t>
            </a:r>
          </a:p>
        </c:rich>
      </c:tx>
      <c:layout/>
      <c:spPr>
        <a:noFill/>
        <a:ln>
          <a:noFill/>
        </a:ln>
      </c:spPr>
    </c:title>
    <c:plotArea>
      <c:layout>
        <c:manualLayout>
          <c:xMode val="edge"/>
          <c:yMode val="edge"/>
          <c:x val="0.01575"/>
          <c:y val="0.08075"/>
          <c:w val="0.88625"/>
          <c:h val="0.89025"/>
        </c:manualLayout>
      </c:layout>
      <c:barChart>
        <c:barDir val="col"/>
        <c:grouping val="clustered"/>
        <c:varyColors val="0"/>
        <c:ser>
          <c:idx val="1"/>
          <c:order val="0"/>
          <c:tx>
            <c:v>Max.</c:v>
          </c:tx>
          <c:invertIfNegative val="0"/>
          <c:extLst>
            <c:ext xmlns:c14="http://schemas.microsoft.com/office/drawing/2007/8/2/chart" uri="{6F2FDCE9-48DA-4B69-8628-5D25D57E5C99}">
              <c14:invertSolidFillFmt>
                <c14:spPr>
                  <a:solidFill>
                    <a:srgbClr val="000000"/>
                  </a:solidFill>
                </c14:spPr>
              </c14:invertSolidFillFmt>
            </c:ext>
          </c:extLst>
          <c:cat>
            <c:strRef>
              <c:f>'I &amp; Duty Cycle Assumptions'!$H$5:$M$5</c:f>
              <c:strCache/>
            </c:strRef>
          </c:cat>
          <c:val>
            <c:numRef>
              <c:f>'I &amp; Duty Cycle Assumptions'!$H$6:$M$6</c:f>
              <c:numCache>
                <c:ptCount val="6"/>
                <c:pt idx="0">
                  <c:v>0</c:v>
                </c:pt>
                <c:pt idx="1">
                  <c:v>0</c:v>
                </c:pt>
                <c:pt idx="2">
                  <c:v>0</c:v>
                </c:pt>
                <c:pt idx="3">
                  <c:v>0</c:v>
                </c:pt>
                <c:pt idx="4">
                  <c:v>0</c:v>
                </c:pt>
                <c:pt idx="5">
                  <c:v>0</c:v>
                </c:pt>
              </c:numCache>
            </c:numRef>
          </c:val>
        </c:ser>
        <c:ser>
          <c:idx val="2"/>
          <c:order val="1"/>
          <c:tx>
            <c:v>Avg.</c:v>
          </c:tx>
          <c:invertIfNegative val="0"/>
          <c:extLst>
            <c:ext xmlns:c14="http://schemas.microsoft.com/office/drawing/2007/8/2/chart" uri="{6F2FDCE9-48DA-4B69-8628-5D25D57E5C99}">
              <c14:invertSolidFillFmt>
                <c14:spPr>
                  <a:solidFill>
                    <a:srgbClr val="000000"/>
                  </a:solidFill>
                </c14:spPr>
              </c14:invertSolidFillFmt>
            </c:ext>
          </c:extLst>
          <c:cat>
            <c:strRef>
              <c:f>'I &amp; Duty Cycle Assumptions'!$H$5:$M$5</c:f>
              <c:strCache/>
            </c:strRef>
          </c:cat>
          <c:val>
            <c:numRef>
              <c:f>'I &amp; Duty Cycle Assumptions'!$H$7:$M$7</c:f>
              <c:numCache>
                <c:ptCount val="6"/>
                <c:pt idx="0">
                  <c:v>0</c:v>
                </c:pt>
                <c:pt idx="1">
                  <c:v>0</c:v>
                </c:pt>
                <c:pt idx="2">
                  <c:v>0</c:v>
                </c:pt>
                <c:pt idx="3">
                  <c:v>0</c:v>
                </c:pt>
                <c:pt idx="4">
                  <c:v>0</c:v>
                </c:pt>
                <c:pt idx="5">
                  <c:v>0</c:v>
                </c:pt>
              </c:numCache>
            </c:numRef>
          </c:val>
        </c:ser>
        <c:axId val="58373699"/>
        <c:axId val="55601244"/>
      </c:barChart>
      <c:catAx>
        <c:axId val="58373699"/>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5601244"/>
        <c:crosses val="autoZero"/>
        <c:auto val="1"/>
        <c:lblOffset val="100"/>
        <c:noMultiLvlLbl val="0"/>
      </c:catAx>
      <c:valAx>
        <c:axId val="55601244"/>
        <c:scaling>
          <c:orientation val="minMax"/>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8373699"/>
        <c:crossesAt val="1"/>
        <c:crossBetween val="between"/>
        <c:dispUnits/>
      </c:valAx>
      <c:spPr>
        <a:solidFill>
          <a:srgbClr val="C0C0C0"/>
        </a:solidFill>
        <a:ln w="12700">
          <a:solidFill>
            <a:srgbClr val="808080"/>
          </a:solidFill>
        </a:ln>
      </c:spPr>
    </c:plotArea>
    <c:legend>
      <c:legendPos val="r"/>
      <c:layout>
        <c:manualLayout>
          <c:xMode val="edge"/>
          <c:yMode val="edge"/>
          <c:x val="0.93025"/>
          <c:y val="0.494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8</xdr:row>
      <xdr:rowOff>66675</xdr:rowOff>
    </xdr:from>
    <xdr:to>
      <xdr:col>15</xdr:col>
      <xdr:colOff>209550</xdr:colOff>
      <xdr:row>28</xdr:row>
      <xdr:rowOff>28575</xdr:rowOff>
    </xdr:to>
    <xdr:graphicFrame>
      <xdr:nvGraphicFramePr>
        <xdr:cNvPr id="1" name="Chart 1"/>
        <xdr:cNvGraphicFramePr/>
      </xdr:nvGraphicFramePr>
      <xdr:xfrm>
        <a:off x="8743950" y="1381125"/>
        <a:ext cx="6210300" cy="3219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32"/>
  <sheetViews>
    <sheetView tabSelected="1" workbookViewId="0" topLeftCell="A1">
      <selection activeCell="C2" sqref="C2"/>
    </sheetView>
  </sheetViews>
  <sheetFormatPr defaultColWidth="9.140625" defaultRowHeight="12.75"/>
  <cols>
    <col min="1" max="1" width="6.7109375" style="1" customWidth="1"/>
    <col min="2" max="2" width="75.7109375" style="1" customWidth="1"/>
    <col min="3" max="3" width="40.7109375" style="1" customWidth="1"/>
    <col min="4" max="16384" width="9.140625" style="1" customWidth="1"/>
  </cols>
  <sheetData>
    <row r="1" spans="2:3" ht="12.75">
      <c r="B1" s="1" t="s">
        <v>42</v>
      </c>
      <c r="C1" s="1" t="s">
        <v>45</v>
      </c>
    </row>
    <row r="2" spans="2:3" ht="12.75">
      <c r="B2" s="1" t="s">
        <v>43</v>
      </c>
      <c r="C2" s="1" t="s">
        <v>743</v>
      </c>
    </row>
    <row r="3" spans="2:4" ht="12.75">
      <c r="B3" s="1" t="s">
        <v>44</v>
      </c>
      <c r="C3" s="4">
        <v>37108</v>
      </c>
      <c r="D3" s="1" t="s">
        <v>131</v>
      </c>
    </row>
    <row r="4" spans="3:4" ht="12.75">
      <c r="C4" s="4" t="s">
        <v>132</v>
      </c>
      <c r="D4" s="1" t="s">
        <v>121</v>
      </c>
    </row>
    <row r="5" spans="2:3" ht="12.75">
      <c r="B5" s="1" t="s">
        <v>128</v>
      </c>
      <c r="C5" s="1" t="s">
        <v>46</v>
      </c>
    </row>
    <row r="6" spans="2:3" ht="12.75">
      <c r="B6" s="1" t="s">
        <v>0</v>
      </c>
      <c r="C6" s="1" t="s">
        <v>47</v>
      </c>
    </row>
    <row r="9" ht="12.75">
      <c r="A9" s="3"/>
    </row>
    <row r="12" spans="1:2" ht="12.75">
      <c r="A12" s="189" t="s">
        <v>127</v>
      </c>
      <c r="B12" s="190"/>
    </row>
    <row r="13" spans="1:2" ht="12.75">
      <c r="A13" s="20">
        <v>1</v>
      </c>
      <c r="B13" s="21" t="s">
        <v>85</v>
      </c>
    </row>
    <row r="14" spans="1:2" ht="12.75">
      <c r="A14" s="20">
        <v>2</v>
      </c>
      <c r="B14" s="21" t="s">
        <v>86</v>
      </c>
    </row>
    <row r="15" spans="1:2" ht="12.75">
      <c r="A15" s="20">
        <v>3</v>
      </c>
      <c r="B15" s="21" t="s">
        <v>87</v>
      </c>
    </row>
    <row r="16" spans="1:2" ht="12.75">
      <c r="A16" s="20">
        <v>4</v>
      </c>
      <c r="B16" s="21" t="s">
        <v>125</v>
      </c>
    </row>
    <row r="17" spans="1:2" ht="12.75">
      <c r="A17" s="20">
        <v>5</v>
      </c>
      <c r="B17" s="21" t="s">
        <v>84</v>
      </c>
    </row>
    <row r="18" spans="1:2" ht="12.75">
      <c r="A18" s="20">
        <v>6</v>
      </c>
      <c r="B18" s="21" t="s">
        <v>126</v>
      </c>
    </row>
    <row r="19" spans="1:2" ht="12.75">
      <c r="A19" s="20"/>
      <c r="B19" s="20" t="s">
        <v>120</v>
      </c>
    </row>
    <row r="20" spans="1:2" ht="12.75">
      <c r="A20" s="20">
        <v>8</v>
      </c>
      <c r="B20" s="20" t="s">
        <v>242</v>
      </c>
    </row>
    <row r="21" spans="1:2" ht="38.25">
      <c r="A21" s="20">
        <v>9</v>
      </c>
      <c r="B21" s="20" t="s">
        <v>134</v>
      </c>
    </row>
    <row r="22" spans="1:2" ht="12.75">
      <c r="A22" s="20">
        <v>10</v>
      </c>
      <c r="B22" s="20" t="s">
        <v>122</v>
      </c>
    </row>
    <row r="23" spans="1:2" ht="63.75">
      <c r="A23" s="20">
        <v>11</v>
      </c>
      <c r="B23" s="20" t="s">
        <v>129</v>
      </c>
    </row>
    <row r="24" spans="1:2" ht="15.75">
      <c r="A24" s="20">
        <v>12</v>
      </c>
      <c r="B24" s="20" t="s">
        <v>130</v>
      </c>
    </row>
    <row r="25" spans="1:2" ht="12.75">
      <c r="A25" s="20">
        <v>13</v>
      </c>
      <c r="B25" s="20" t="s">
        <v>133</v>
      </c>
    </row>
    <row r="26" spans="1:2" ht="12.75">
      <c r="A26" s="20">
        <v>14</v>
      </c>
      <c r="B26" s="20"/>
    </row>
    <row r="27" spans="1:2" ht="12.75">
      <c r="A27" s="20">
        <v>15</v>
      </c>
      <c r="B27" s="20"/>
    </row>
    <row r="28" spans="1:2" ht="12.75">
      <c r="A28" s="20">
        <v>16</v>
      </c>
      <c r="B28" s="20"/>
    </row>
    <row r="29" spans="1:2" ht="12.75">
      <c r="A29" s="20">
        <v>17</v>
      </c>
      <c r="B29" s="20"/>
    </row>
    <row r="30" spans="1:2" ht="12.75">
      <c r="A30" s="20">
        <v>18</v>
      </c>
      <c r="B30" s="20"/>
    </row>
    <row r="31" spans="1:2" ht="12.75">
      <c r="A31" s="20"/>
      <c r="B31" s="20"/>
    </row>
    <row r="32" spans="1:2" ht="12.75">
      <c r="A32" s="20"/>
      <c r="B32" s="20"/>
    </row>
  </sheetData>
  <mergeCells count="1">
    <mergeCell ref="A12:B1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9"/>
  <sheetViews>
    <sheetView workbookViewId="0" topLeftCell="B1">
      <selection activeCell="F10" sqref="F10"/>
    </sheetView>
  </sheetViews>
  <sheetFormatPr defaultColWidth="9.140625" defaultRowHeight="12.75"/>
  <cols>
    <col min="1" max="1" width="15.421875" style="5" customWidth="1"/>
    <col min="2" max="3" width="9.8515625" style="2" customWidth="1"/>
    <col min="4" max="4" width="23.7109375" style="5" bestFit="1" customWidth="1"/>
    <col min="5" max="5" width="10.421875" style="5" customWidth="1"/>
    <col min="6" max="6" width="85.421875" style="0" customWidth="1"/>
    <col min="7" max="16384" width="8.8515625" style="0" customWidth="1"/>
  </cols>
  <sheetData>
    <row r="1" spans="1:10" ht="51">
      <c r="A1" s="15" t="s">
        <v>105</v>
      </c>
      <c r="B1" s="13" t="s">
        <v>106</v>
      </c>
      <c r="C1" s="13" t="s">
        <v>44</v>
      </c>
      <c r="D1" s="15" t="s">
        <v>107</v>
      </c>
      <c r="E1" s="13" t="s">
        <v>110</v>
      </c>
      <c r="F1" s="14" t="s">
        <v>108</v>
      </c>
      <c r="G1" s="14"/>
      <c r="H1" s="14"/>
      <c r="I1" s="14"/>
      <c r="J1" s="14"/>
    </row>
    <row r="2" spans="1:6" ht="12.75">
      <c r="A2" s="16">
        <v>37161</v>
      </c>
      <c r="B2" s="2">
        <v>0.1</v>
      </c>
      <c r="D2" s="5" t="s">
        <v>109</v>
      </c>
      <c r="E2" s="5" t="s">
        <v>113</v>
      </c>
      <c r="F2" t="s">
        <v>115</v>
      </c>
    </row>
    <row r="3" spans="1:6" ht="12.75">
      <c r="A3" s="16">
        <v>37164</v>
      </c>
      <c r="B3" s="2">
        <v>0.1</v>
      </c>
      <c r="D3" s="5" t="s">
        <v>109</v>
      </c>
      <c r="E3" s="5" t="s">
        <v>113</v>
      </c>
      <c r="F3" t="s">
        <v>116</v>
      </c>
    </row>
    <row r="4" spans="1:6" ht="12.75">
      <c r="A4" s="16">
        <v>37164</v>
      </c>
      <c r="B4" s="2">
        <v>0.1</v>
      </c>
      <c r="D4" s="5" t="s">
        <v>118</v>
      </c>
      <c r="E4" s="5" t="s">
        <v>113</v>
      </c>
      <c r="F4" t="s">
        <v>119</v>
      </c>
    </row>
    <row r="5" spans="2:6" ht="12.75">
      <c r="B5" s="2">
        <v>0.2</v>
      </c>
      <c r="D5" s="5" t="s">
        <v>351</v>
      </c>
      <c r="E5" s="5" t="s">
        <v>113</v>
      </c>
      <c r="F5" t="s">
        <v>352</v>
      </c>
    </row>
    <row r="6" spans="2:6" ht="12.75">
      <c r="B6" s="2">
        <v>0.2</v>
      </c>
      <c r="C6" s="33">
        <v>37214</v>
      </c>
      <c r="D6" s="5" t="s">
        <v>353</v>
      </c>
      <c r="E6" s="5" t="s">
        <v>113</v>
      </c>
      <c r="F6" t="s">
        <v>169</v>
      </c>
    </row>
    <row r="7" spans="2:6" ht="12.75">
      <c r="B7" s="2">
        <v>0.3</v>
      </c>
      <c r="C7" s="33">
        <v>37319</v>
      </c>
      <c r="F7" t="s">
        <v>468</v>
      </c>
    </row>
    <row r="8" spans="4:6" ht="12.75">
      <c r="D8" s="5" t="s">
        <v>470</v>
      </c>
      <c r="F8" t="s">
        <v>469</v>
      </c>
    </row>
    <row r="9" spans="4:6" ht="12.75">
      <c r="D9" s="5" t="s">
        <v>109</v>
      </c>
      <c r="F9" t="s">
        <v>471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N27"/>
  <sheetViews>
    <sheetView workbookViewId="0" topLeftCell="A1">
      <selection activeCell="A24" sqref="A24"/>
    </sheetView>
  </sheetViews>
  <sheetFormatPr defaultColWidth="9.140625" defaultRowHeight="12.75"/>
  <cols>
    <col min="1" max="1" width="8.8515625" style="0" customWidth="1"/>
    <col min="2" max="2" width="11.00390625" style="6" customWidth="1"/>
    <col min="3" max="3" width="26.140625" style="0" customWidth="1"/>
    <col min="4" max="4" width="15.00390625" style="5" customWidth="1"/>
    <col min="5" max="5" width="13.140625" style="5" customWidth="1"/>
    <col min="6" max="14" width="9.140625" style="5" customWidth="1"/>
    <col min="15" max="16384" width="8.8515625" style="0" customWidth="1"/>
  </cols>
  <sheetData>
    <row r="3" spans="3:4" ht="12.75">
      <c r="C3" s="12" t="s">
        <v>257</v>
      </c>
      <c r="D3" s="7" t="s">
        <v>35</v>
      </c>
    </row>
    <row r="4" spans="1:4" ht="12.75">
      <c r="A4" t="s">
        <v>32</v>
      </c>
      <c r="C4" s="9" t="s">
        <v>14</v>
      </c>
      <c r="D4" s="5" t="s">
        <v>20</v>
      </c>
    </row>
    <row r="5" spans="1:4" ht="12.75">
      <c r="A5" t="s">
        <v>20</v>
      </c>
      <c r="C5" s="9" t="s">
        <v>15</v>
      </c>
      <c r="D5" s="5" t="s">
        <v>20</v>
      </c>
    </row>
    <row r="6" spans="3:4" ht="12.75">
      <c r="C6" s="9" t="s">
        <v>16</v>
      </c>
      <c r="D6" s="5" t="s">
        <v>20</v>
      </c>
    </row>
    <row r="7" spans="3:4" ht="12.75">
      <c r="C7" s="9" t="s">
        <v>19</v>
      </c>
      <c r="D7" s="5" t="s">
        <v>20</v>
      </c>
    </row>
    <row r="8" spans="3:4" ht="12.75">
      <c r="C8" s="9" t="s">
        <v>17</v>
      </c>
      <c r="D8" s="5" t="s">
        <v>20</v>
      </c>
    </row>
    <row r="9" spans="3:4" ht="12.75">
      <c r="C9" s="9" t="s">
        <v>18</v>
      </c>
      <c r="D9" s="5" t="s">
        <v>20</v>
      </c>
    </row>
    <row r="10" spans="3:4" ht="12.75">
      <c r="C10" s="10" t="s">
        <v>29</v>
      </c>
      <c r="D10" s="5" t="s">
        <v>30</v>
      </c>
    </row>
    <row r="12" spans="1:4" ht="12.75">
      <c r="A12" t="s">
        <v>33</v>
      </c>
      <c r="C12" s="11" t="s">
        <v>22</v>
      </c>
      <c r="D12" s="5" t="s">
        <v>36</v>
      </c>
    </row>
    <row r="13" spans="1:4" ht="12.75">
      <c r="A13" t="s">
        <v>21</v>
      </c>
      <c r="C13" s="11" t="s">
        <v>23</v>
      </c>
      <c r="D13" s="5" t="s">
        <v>36</v>
      </c>
    </row>
    <row r="14" spans="3:4" ht="12.75">
      <c r="C14" s="11" t="s">
        <v>24</v>
      </c>
      <c r="D14" s="5" t="s">
        <v>36</v>
      </c>
    </row>
    <row r="15" spans="3:4" ht="12.75">
      <c r="C15" s="11" t="s">
        <v>25</v>
      </c>
      <c r="D15" s="5" t="s">
        <v>36</v>
      </c>
    </row>
    <row r="16" spans="3:4" ht="12.75">
      <c r="C16" s="11" t="s">
        <v>26</v>
      </c>
      <c r="D16" s="5" t="s">
        <v>36</v>
      </c>
    </row>
    <row r="17" spans="3:4" ht="12.75">
      <c r="C17" s="11" t="s">
        <v>27</v>
      </c>
      <c r="D17" s="5" t="s">
        <v>30</v>
      </c>
    </row>
    <row r="18" spans="3:14" ht="12.75">
      <c r="C18" s="11" t="s">
        <v>28</v>
      </c>
      <c r="D18" s="5" t="s">
        <v>30</v>
      </c>
      <c r="L18"/>
      <c r="M18"/>
      <c r="N18"/>
    </row>
    <row r="19" spans="3:14" ht="12.75">
      <c r="C19" s="11"/>
      <c r="L19"/>
      <c r="M19"/>
      <c r="N19"/>
    </row>
    <row r="20" spans="1:4" ht="12.75">
      <c r="A20" t="s">
        <v>34</v>
      </c>
      <c r="C20" s="11" t="s">
        <v>139</v>
      </c>
      <c r="D20" s="5" t="s">
        <v>21</v>
      </c>
    </row>
    <row r="21" spans="1:4" ht="12.75">
      <c r="A21" t="s">
        <v>30</v>
      </c>
      <c r="C21" s="11" t="s">
        <v>138</v>
      </c>
      <c r="D21" s="5" t="s">
        <v>37</v>
      </c>
    </row>
    <row r="22" spans="3:4" ht="12.75">
      <c r="C22" s="11" t="s">
        <v>31</v>
      </c>
      <c r="D22" s="5" t="s">
        <v>37</v>
      </c>
    </row>
    <row r="24" ht="12.75">
      <c r="A24" t="s">
        <v>135</v>
      </c>
    </row>
    <row r="26" ht="12.75">
      <c r="A26" t="s">
        <v>137</v>
      </c>
    </row>
    <row r="27" ht="12.75">
      <c r="A27" t="s">
        <v>136</v>
      </c>
    </row>
  </sheetData>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AE190"/>
  <sheetViews>
    <sheetView showGridLines="0" defaultGridColor="0" zoomScale="70" zoomScaleNormal="70" colorId="22" workbookViewId="0" topLeftCell="A1">
      <pane xSplit="7" ySplit="2" topLeftCell="H3" activePane="bottomRight" state="frozen"/>
      <selection pane="topLeft" activeCell="A1" sqref="A1"/>
      <selection pane="topRight" activeCell="F1" sqref="F1"/>
      <selection pane="bottomLeft" activeCell="A3" sqref="A3"/>
      <selection pane="bottomRight" activeCell="D1" sqref="D1:D2"/>
    </sheetView>
  </sheetViews>
  <sheetFormatPr defaultColWidth="9.140625" defaultRowHeight="12.75"/>
  <cols>
    <col min="1" max="1" width="7.28125" style="143" customWidth="1"/>
    <col min="2" max="2" width="9.28125" style="144" customWidth="1"/>
    <col min="3" max="3" width="12.28125" style="144" customWidth="1"/>
    <col min="4" max="4" width="11.140625" style="144" customWidth="1"/>
    <col min="5" max="5" width="10.7109375" style="144" customWidth="1"/>
    <col min="6" max="6" width="11.00390625" style="144" customWidth="1"/>
    <col min="7" max="7" width="35.28125" style="145" customWidth="1"/>
    <col min="8" max="8" width="14.8515625" style="144" customWidth="1"/>
    <col min="9" max="9" width="9.7109375" style="144" customWidth="1"/>
    <col min="10" max="10" width="13.7109375" style="144" customWidth="1"/>
    <col min="11" max="11" width="7.8515625" style="144" customWidth="1"/>
    <col min="12" max="13" width="7.140625" style="144" bestFit="1" customWidth="1"/>
    <col min="14" max="14" width="11.7109375" style="144" customWidth="1"/>
    <col min="15" max="15" width="10.7109375" style="146" customWidth="1"/>
    <col min="16" max="16" width="2.28125" style="147" hidden="1" customWidth="1"/>
    <col min="17" max="17" width="3.28125" style="147" hidden="1" customWidth="1"/>
    <col min="18" max="18" width="3.421875" style="147" hidden="1" customWidth="1"/>
    <col min="19" max="19" width="7.28125" style="144" customWidth="1"/>
    <col min="20" max="21" width="5.8515625" style="144" hidden="1" customWidth="1"/>
    <col min="22" max="22" width="7.421875" style="144" hidden="1" customWidth="1"/>
    <col min="23" max="23" width="12.421875" style="144" hidden="1" customWidth="1"/>
    <col min="24" max="24" width="12.8515625" style="144" hidden="1" customWidth="1"/>
    <col min="25" max="25" width="7.00390625" style="171" hidden="1" customWidth="1"/>
    <col min="26" max="16384" width="9.140625" style="48" customWidth="1"/>
  </cols>
  <sheetData>
    <row r="1" spans="1:25" s="51" customFormat="1" ht="25.5">
      <c r="A1" s="191" t="s">
        <v>256</v>
      </c>
      <c r="B1" s="193" t="s">
        <v>472</v>
      </c>
      <c r="C1" s="193" t="s">
        <v>537</v>
      </c>
      <c r="D1" s="193" t="s">
        <v>627</v>
      </c>
      <c r="E1" s="193" t="s">
        <v>737</v>
      </c>
      <c r="F1" s="193" t="s">
        <v>736</v>
      </c>
      <c r="G1" s="193" t="s">
        <v>257</v>
      </c>
      <c r="H1" s="193" t="s">
        <v>473</v>
      </c>
      <c r="I1" s="193" t="s">
        <v>102</v>
      </c>
      <c r="J1" s="193" t="s">
        <v>475</v>
      </c>
      <c r="K1" s="193" t="s">
        <v>474</v>
      </c>
      <c r="L1" s="193"/>
      <c r="M1" s="193"/>
      <c r="N1" s="193" t="s">
        <v>668</v>
      </c>
      <c r="O1" s="195" t="s">
        <v>114</v>
      </c>
      <c r="P1" s="197" t="s">
        <v>696</v>
      </c>
      <c r="Q1" s="197"/>
      <c r="R1" s="197"/>
      <c r="S1" s="193" t="s">
        <v>267</v>
      </c>
      <c r="T1" s="193" t="s">
        <v>263</v>
      </c>
      <c r="U1" s="193"/>
      <c r="V1" s="193"/>
      <c r="W1" s="141" t="s">
        <v>111</v>
      </c>
      <c r="X1" s="141" t="s">
        <v>112</v>
      </c>
      <c r="Y1" s="142"/>
    </row>
    <row r="2" spans="1:25" s="176" customFormat="1" ht="15.75" customHeight="1" thickBot="1">
      <c r="A2" s="192"/>
      <c r="B2" s="194"/>
      <c r="C2" s="194"/>
      <c r="D2" s="194"/>
      <c r="E2" s="194"/>
      <c r="F2" s="194"/>
      <c r="G2" s="194"/>
      <c r="H2" s="194"/>
      <c r="I2" s="194"/>
      <c r="J2" s="194"/>
      <c r="K2" s="173" t="s">
        <v>168</v>
      </c>
      <c r="L2" s="173" t="s">
        <v>266</v>
      </c>
      <c r="M2" s="173" t="s">
        <v>41</v>
      </c>
      <c r="N2" s="194"/>
      <c r="O2" s="196"/>
      <c r="P2" s="174" t="s">
        <v>701</v>
      </c>
      <c r="Q2" s="174" t="s">
        <v>702</v>
      </c>
      <c r="R2" s="174" t="s">
        <v>703</v>
      </c>
      <c r="S2" s="194"/>
      <c r="T2" s="173" t="s">
        <v>265</v>
      </c>
      <c r="U2" s="173" t="s">
        <v>264</v>
      </c>
      <c r="V2" s="173" t="s">
        <v>268</v>
      </c>
      <c r="W2" s="173"/>
      <c r="X2" s="173"/>
      <c r="Y2" s="175"/>
    </row>
    <row r="3" spans="1:25" ht="13.5" thickTop="1">
      <c r="A3" s="143" t="s">
        <v>68</v>
      </c>
      <c r="B3" s="144" t="s">
        <v>269</v>
      </c>
      <c r="C3" s="144" t="s">
        <v>307</v>
      </c>
      <c r="D3" s="144" t="s">
        <v>629</v>
      </c>
      <c r="E3" s="144" t="s">
        <v>628</v>
      </c>
      <c r="F3" s="144" t="s">
        <v>306</v>
      </c>
      <c r="G3" s="145" t="s">
        <v>429</v>
      </c>
      <c r="H3" s="144">
        <v>24</v>
      </c>
      <c r="I3" s="144">
        <v>3</v>
      </c>
      <c r="J3" s="144" t="s">
        <v>83</v>
      </c>
      <c r="K3" s="144">
        <f>+RC_BOL_SIG</f>
        <v>500</v>
      </c>
      <c r="L3" s="144" t="str">
        <f>+CC_BOL_SIG</f>
        <v>1000pF</v>
      </c>
      <c r="M3" s="144" t="str">
        <f>+LC_BOL_SIG</f>
        <v>0.08uH</v>
      </c>
      <c r="N3" s="146">
        <f>+MAX_I_BOLSIG</f>
        <v>1E-09</v>
      </c>
      <c r="O3" s="146">
        <f>+AVG_I_BOLSIG</f>
        <v>5E-10</v>
      </c>
      <c r="P3" s="147">
        <v>0</v>
      </c>
      <c r="Q3" s="147">
        <v>1</v>
      </c>
      <c r="R3" s="147">
        <v>0</v>
      </c>
      <c r="S3" s="144">
        <v>0.1</v>
      </c>
      <c r="T3" s="148">
        <f>+DC_SPECT</f>
        <v>0.5</v>
      </c>
      <c r="U3" s="148">
        <v>0.3333333333333333</v>
      </c>
      <c r="V3" s="148">
        <f>+U3*T3</f>
        <v>0.16666666666666666</v>
      </c>
      <c r="W3" s="149">
        <f aca="true" t="shared" si="0" ref="W3:W15">+N3^2*K3*H3</f>
        <v>1.2000000000000001E-14</v>
      </c>
      <c r="X3" s="149">
        <f aca="true" t="shared" si="1" ref="X3:X30">+O3^2*K3*V3*H3</f>
        <v>5E-16</v>
      </c>
      <c r="Y3" s="150">
        <f aca="true" t="shared" si="2" ref="Y3:Y9">+X3/$X$189</f>
        <v>5.157387100121526E-15</v>
      </c>
    </row>
    <row r="4" spans="1:25" ht="12.75">
      <c r="A4" s="143" t="s">
        <v>48</v>
      </c>
      <c r="C4" s="151"/>
      <c r="D4" s="151"/>
      <c r="E4" s="151"/>
      <c r="F4" s="151"/>
      <c r="G4" s="152" t="s">
        <v>117</v>
      </c>
      <c r="H4" s="151">
        <v>12</v>
      </c>
      <c r="I4" s="151" t="s">
        <v>113</v>
      </c>
      <c r="J4" s="151"/>
      <c r="K4" s="151">
        <f>+RC_BOL_SIG</f>
        <v>500</v>
      </c>
      <c r="L4" s="151" t="str">
        <f>+CC_BOL_SIG</f>
        <v>1000pF</v>
      </c>
      <c r="M4" s="151" t="str">
        <f>+LC_BOL_SIG</f>
        <v>0.08uH</v>
      </c>
      <c r="N4" s="153">
        <v>0</v>
      </c>
      <c r="O4" s="153">
        <v>0</v>
      </c>
      <c r="P4" s="154">
        <v>0</v>
      </c>
      <c r="Q4" s="154">
        <v>0</v>
      </c>
      <c r="R4" s="154">
        <v>0</v>
      </c>
      <c r="S4" s="151">
        <v>0.1</v>
      </c>
      <c r="T4" s="155">
        <f>+DC_SPECT</f>
        <v>0.5</v>
      </c>
      <c r="U4" s="155">
        <v>0</v>
      </c>
      <c r="V4" s="155">
        <v>0</v>
      </c>
      <c r="W4" s="156">
        <f t="shared" si="0"/>
        <v>0</v>
      </c>
      <c r="X4" s="156">
        <f t="shared" si="1"/>
        <v>0</v>
      </c>
      <c r="Y4" s="157">
        <f t="shared" si="2"/>
        <v>0</v>
      </c>
    </row>
    <row r="5" spans="3:25" ht="12.75">
      <c r="C5" s="158" t="s">
        <v>308</v>
      </c>
      <c r="D5" s="158" t="s">
        <v>629</v>
      </c>
      <c r="E5" s="158" t="s">
        <v>630</v>
      </c>
      <c r="F5" s="158" t="s">
        <v>50</v>
      </c>
      <c r="G5" s="159" t="s">
        <v>430</v>
      </c>
      <c r="H5" s="158">
        <v>24</v>
      </c>
      <c r="I5" s="158">
        <v>3</v>
      </c>
      <c r="J5" s="158" t="s">
        <v>83</v>
      </c>
      <c r="K5" s="144">
        <f>+RC_BOL_SIG</f>
        <v>500</v>
      </c>
      <c r="L5" s="144" t="str">
        <f>+CC_BOL_SIG</f>
        <v>1000pF</v>
      </c>
      <c r="M5" s="144" t="str">
        <f>+LC_BOL_SIG</f>
        <v>0.08uH</v>
      </c>
      <c r="N5" s="146">
        <f>+MAX_I_BOLSIG</f>
        <v>1E-09</v>
      </c>
      <c r="O5" s="146">
        <f>+AVG_I_BOLSIG</f>
        <v>5E-10</v>
      </c>
      <c r="P5" s="147">
        <v>0</v>
      </c>
      <c r="Q5" s="147">
        <v>1</v>
      </c>
      <c r="R5" s="147">
        <v>0</v>
      </c>
      <c r="S5" s="144">
        <v>0.1</v>
      </c>
      <c r="T5" s="148">
        <f>+DC_SPECT</f>
        <v>0.5</v>
      </c>
      <c r="U5" s="148">
        <v>0.3333333333333333</v>
      </c>
      <c r="V5" s="148">
        <f>+U5*T5</f>
        <v>0.16666666666666666</v>
      </c>
      <c r="W5" s="160">
        <f t="shared" si="0"/>
        <v>1.2000000000000001E-14</v>
      </c>
      <c r="X5" s="160">
        <f t="shared" si="1"/>
        <v>5E-16</v>
      </c>
      <c r="Y5" s="161">
        <f t="shared" si="2"/>
        <v>5.157387100121526E-15</v>
      </c>
    </row>
    <row r="6" spans="3:25" ht="12.75">
      <c r="C6" s="151"/>
      <c r="D6" s="151"/>
      <c r="E6" s="151"/>
      <c r="F6" s="151"/>
      <c r="G6" s="152" t="s">
        <v>117</v>
      </c>
      <c r="H6" s="151">
        <v>12</v>
      </c>
      <c r="I6" s="151" t="s">
        <v>113</v>
      </c>
      <c r="J6" s="151"/>
      <c r="K6" s="151">
        <f>+RC_BOL_SIG</f>
        <v>500</v>
      </c>
      <c r="L6" s="151" t="str">
        <f>+CC_BOL_SIG</f>
        <v>1000pF</v>
      </c>
      <c r="M6" s="151" t="str">
        <f>+LC_BOL_SIG</f>
        <v>0.08uH</v>
      </c>
      <c r="N6" s="153">
        <v>0</v>
      </c>
      <c r="O6" s="153">
        <v>0</v>
      </c>
      <c r="P6" s="154">
        <v>0</v>
      </c>
      <c r="Q6" s="154">
        <v>0</v>
      </c>
      <c r="R6" s="154">
        <v>0</v>
      </c>
      <c r="S6" s="151">
        <v>0.1</v>
      </c>
      <c r="T6" s="155">
        <v>0</v>
      </c>
      <c r="U6" s="155">
        <v>0</v>
      </c>
      <c r="V6" s="155">
        <v>0</v>
      </c>
      <c r="W6" s="156">
        <f t="shared" si="0"/>
        <v>0</v>
      </c>
      <c r="X6" s="156">
        <f t="shared" si="1"/>
        <v>0</v>
      </c>
      <c r="Y6" s="157">
        <f t="shared" si="2"/>
        <v>0</v>
      </c>
    </row>
    <row r="7" spans="3:25" ht="12.75">
      <c r="C7" s="158" t="s">
        <v>309</v>
      </c>
      <c r="D7" s="158" t="s">
        <v>516</v>
      </c>
      <c r="E7" s="158" t="s">
        <v>631</v>
      </c>
      <c r="F7" s="158" t="s">
        <v>56</v>
      </c>
      <c r="G7" s="159" t="s">
        <v>697</v>
      </c>
      <c r="H7" s="158">
        <v>2</v>
      </c>
      <c r="I7" s="158">
        <v>1</v>
      </c>
      <c r="J7" s="158" t="s">
        <v>261</v>
      </c>
      <c r="K7" s="158">
        <f>+RC_TC_BIAS</f>
        <v>200</v>
      </c>
      <c r="L7" s="160" t="str">
        <f>+'R, L &amp; C Design Guidelines'!$C$4</f>
        <v>1000pF</v>
      </c>
      <c r="M7" s="158">
        <v>0.08</v>
      </c>
      <c r="N7" s="162">
        <f>+MAX_I_TCBIAS</f>
        <v>3.2E-08</v>
      </c>
      <c r="O7" s="162">
        <f>+AVG_I_TCBIAS</f>
        <v>8E-09</v>
      </c>
      <c r="P7" s="147">
        <v>1</v>
      </c>
      <c r="Q7" s="147">
        <v>0</v>
      </c>
      <c r="R7" s="147">
        <v>0</v>
      </c>
      <c r="S7" s="158">
        <v>10</v>
      </c>
      <c r="T7" s="148">
        <f>+DC_PHOT</f>
        <v>0.5</v>
      </c>
      <c r="U7" s="163">
        <v>0.3333333333333333</v>
      </c>
      <c r="V7" s="163">
        <f>+U7*T7</f>
        <v>0.16666666666666666</v>
      </c>
      <c r="W7" s="160">
        <f t="shared" si="0"/>
        <v>4.0960000000000004E-13</v>
      </c>
      <c r="X7" s="160">
        <f t="shared" si="1"/>
        <v>4.266666666666667E-15</v>
      </c>
      <c r="Y7" s="161">
        <f t="shared" si="2"/>
        <v>4.4009703254370354E-14</v>
      </c>
    </row>
    <row r="8" spans="7:25" ht="12.75">
      <c r="G8" s="145" t="s">
        <v>698</v>
      </c>
      <c r="H8" s="144">
        <v>1</v>
      </c>
      <c r="I8" s="144">
        <v>0</v>
      </c>
      <c r="J8" s="144" t="s">
        <v>196</v>
      </c>
      <c r="K8" s="144">
        <f>+RC_GND</f>
        <v>50</v>
      </c>
      <c r="L8" s="144" t="str">
        <f>+'R, L &amp; C Design Guidelines'!$C$3</f>
        <v>1000pF</v>
      </c>
      <c r="M8" s="144" t="str">
        <f>+'R, L &amp; C Design Guidelines'!$D$3</f>
        <v>0.08uH</v>
      </c>
      <c r="N8" s="164">
        <v>0</v>
      </c>
      <c r="O8" s="164">
        <v>0</v>
      </c>
      <c r="P8" s="147">
        <v>0</v>
      </c>
      <c r="Q8" s="147">
        <v>0</v>
      </c>
      <c r="R8" s="147">
        <v>0</v>
      </c>
      <c r="S8" s="144">
        <v>10</v>
      </c>
      <c r="T8" s="148">
        <f>+DC_PHOT</f>
        <v>0.5</v>
      </c>
      <c r="U8" s="148">
        <v>0.3333333333333333</v>
      </c>
      <c r="V8" s="148">
        <f>+U8*T8</f>
        <v>0.16666666666666666</v>
      </c>
      <c r="W8" s="149">
        <f t="shared" si="0"/>
        <v>0</v>
      </c>
      <c r="X8" s="149">
        <f t="shared" si="1"/>
        <v>0</v>
      </c>
      <c r="Y8" s="150">
        <f t="shared" si="2"/>
        <v>0</v>
      </c>
    </row>
    <row r="9" spans="7:25" ht="12.75">
      <c r="G9" s="145" t="s">
        <v>699</v>
      </c>
      <c r="H9" s="144">
        <v>2</v>
      </c>
      <c r="I9" s="144">
        <v>1</v>
      </c>
      <c r="J9" s="144" t="s">
        <v>261</v>
      </c>
      <c r="K9" s="144">
        <f>+RC_JFET_BIAS</f>
        <v>100</v>
      </c>
      <c r="L9" s="144" t="str">
        <f>+'R, L &amp; C Design Guidelines'!$C$3</f>
        <v>1000pF</v>
      </c>
      <c r="M9" s="144" t="str">
        <f>+'R, L &amp; C Design Guidelines'!$D$3</f>
        <v>0.08uH</v>
      </c>
      <c r="N9" s="146">
        <f>+MAX_I_TCJFET</f>
        <v>0.005</v>
      </c>
      <c r="O9" s="146">
        <f>+AVG_I_TCJFET</f>
        <v>0.0002</v>
      </c>
      <c r="P9" s="147">
        <v>1</v>
      </c>
      <c r="Q9" s="147">
        <v>0</v>
      </c>
      <c r="R9" s="147">
        <v>0</v>
      </c>
      <c r="S9" s="144">
        <v>10</v>
      </c>
      <c r="T9" s="148">
        <f>+DC_PHOT</f>
        <v>0.5</v>
      </c>
      <c r="U9" s="148">
        <v>0.3333333333333333</v>
      </c>
      <c r="V9" s="148">
        <f>+U9*T9</f>
        <v>0.16666666666666666</v>
      </c>
      <c r="W9" s="149">
        <f t="shared" si="0"/>
        <v>0.005</v>
      </c>
      <c r="X9" s="149">
        <f t="shared" si="1"/>
        <v>1.3333333333333332E-06</v>
      </c>
      <c r="Y9" s="150">
        <f t="shared" si="2"/>
        <v>1.3753032266990734E-05</v>
      </c>
    </row>
    <row r="10" spans="7:25" ht="12.75">
      <c r="G10" s="145" t="s">
        <v>182</v>
      </c>
      <c r="H10" s="144">
        <v>4</v>
      </c>
      <c r="I10" s="144">
        <v>2</v>
      </c>
      <c r="J10" s="144" t="s">
        <v>261</v>
      </c>
      <c r="K10" s="144">
        <f>+RC_BOL_BIAS</f>
        <v>200</v>
      </c>
      <c r="L10" s="144" t="str">
        <f>+'R, L &amp; C Design Guidelines'!$C$3</f>
        <v>1000pF</v>
      </c>
      <c r="M10" s="144" t="str">
        <f>+'R, L &amp; C Design Guidelines'!$D$3</f>
        <v>0.08uH</v>
      </c>
      <c r="N10" s="146">
        <f>+MAX_I_SLWBIAS</f>
        <v>9.600000000000001E-08</v>
      </c>
      <c r="O10" s="146">
        <f>+AVG_I_SLWBIAS</f>
        <v>2.4000000000000003E-08</v>
      </c>
      <c r="P10" s="147">
        <v>0</v>
      </c>
      <c r="Q10" s="147">
        <v>1</v>
      </c>
      <c r="R10" s="147">
        <v>0</v>
      </c>
      <c r="S10" s="144">
        <v>10</v>
      </c>
      <c r="T10" s="148">
        <f aca="true" t="shared" si="3" ref="T10:T15">+DC_SPECT</f>
        <v>0.5</v>
      </c>
      <c r="U10" s="148">
        <v>0.3333333333333333</v>
      </c>
      <c r="V10" s="148">
        <f aca="true" t="shared" si="4" ref="V10:V17">+U10*T10</f>
        <v>0.16666666666666666</v>
      </c>
      <c r="W10" s="149">
        <f t="shared" si="0"/>
        <v>7.372800000000002E-12</v>
      </c>
      <c r="X10" s="149">
        <f t="shared" si="1"/>
        <v>7.680000000000001E-14</v>
      </c>
      <c r="Y10" s="150">
        <f aca="true" t="shared" si="5" ref="Y10:Y47">+X10/$X$189</f>
        <v>7.921746585786665E-13</v>
      </c>
    </row>
    <row r="11" spans="7:25" ht="12.75">
      <c r="G11" s="145" t="s">
        <v>183</v>
      </c>
      <c r="H11" s="144">
        <v>4</v>
      </c>
      <c r="I11" s="144">
        <v>2</v>
      </c>
      <c r="J11" s="144" t="s">
        <v>261</v>
      </c>
      <c r="K11" s="144">
        <f>+RC_JFET_BIAS</f>
        <v>100</v>
      </c>
      <c r="L11" s="144" t="str">
        <f>+'R, L &amp; C Design Guidelines'!$C$3</f>
        <v>1000pF</v>
      </c>
      <c r="M11" s="144" t="str">
        <f>+'R, L &amp; C Design Guidelines'!$D$3</f>
        <v>0.08uH</v>
      </c>
      <c r="N11" s="146">
        <f>+MAX_I_SLWJFET</f>
        <v>0.0025</v>
      </c>
      <c r="O11" s="146">
        <f>+AVG_I_SLWJFET</f>
        <v>0.0006000000000000001</v>
      </c>
      <c r="P11" s="147">
        <v>0</v>
      </c>
      <c r="Q11" s="147">
        <v>1</v>
      </c>
      <c r="R11" s="147">
        <v>0</v>
      </c>
      <c r="S11" s="144">
        <v>10</v>
      </c>
      <c r="T11" s="148">
        <f t="shared" si="3"/>
        <v>0.5</v>
      </c>
      <c r="U11" s="148">
        <v>0.3333333333333333</v>
      </c>
      <c r="V11" s="148">
        <f t="shared" si="4"/>
        <v>0.16666666666666666</v>
      </c>
      <c r="W11" s="149">
        <f t="shared" si="0"/>
        <v>0.0025</v>
      </c>
      <c r="X11" s="149">
        <f t="shared" si="1"/>
        <v>2.4000000000000004E-05</v>
      </c>
      <c r="Y11" s="150">
        <f t="shared" si="5"/>
        <v>0.0002475545808058333</v>
      </c>
    </row>
    <row r="12" spans="7:25" ht="12.75">
      <c r="G12" s="145" t="s">
        <v>193</v>
      </c>
      <c r="H12" s="144">
        <v>1</v>
      </c>
      <c r="I12" s="144">
        <v>0</v>
      </c>
      <c r="J12" s="144" t="s">
        <v>196</v>
      </c>
      <c r="K12" s="144">
        <f>+RC_GND</f>
        <v>50</v>
      </c>
      <c r="L12" s="144" t="str">
        <f>+'R, L &amp; C Design Guidelines'!$C$3</f>
        <v>1000pF</v>
      </c>
      <c r="M12" s="144" t="str">
        <f>+'R, L &amp; C Design Guidelines'!$D$3</f>
        <v>0.08uH</v>
      </c>
      <c r="N12" s="164">
        <v>0</v>
      </c>
      <c r="O12" s="164">
        <v>0</v>
      </c>
      <c r="P12" s="147">
        <v>0</v>
      </c>
      <c r="Q12" s="147">
        <v>0</v>
      </c>
      <c r="R12" s="147">
        <v>0</v>
      </c>
      <c r="S12" s="144">
        <v>10</v>
      </c>
      <c r="T12" s="148">
        <f t="shared" si="3"/>
        <v>0.5</v>
      </c>
      <c r="U12" s="148">
        <v>0.3333333333333333</v>
      </c>
      <c r="V12" s="148">
        <f t="shared" si="4"/>
        <v>0.16666666666666666</v>
      </c>
      <c r="W12" s="149">
        <f t="shared" si="0"/>
        <v>0</v>
      </c>
      <c r="X12" s="149">
        <f t="shared" si="1"/>
        <v>0</v>
      </c>
      <c r="Y12" s="150">
        <f t="shared" si="5"/>
        <v>0</v>
      </c>
    </row>
    <row r="13" spans="7:25" ht="12.75">
      <c r="G13" s="145" t="s">
        <v>184</v>
      </c>
      <c r="H13" s="144">
        <v>4</v>
      </c>
      <c r="I13" s="144">
        <v>2</v>
      </c>
      <c r="J13" s="144" t="s">
        <v>261</v>
      </c>
      <c r="K13" s="144">
        <f>+RC_BOL_BIAS</f>
        <v>200</v>
      </c>
      <c r="L13" s="144" t="str">
        <f>+'R, L &amp; C Design Guidelines'!$C$3</f>
        <v>1000pF</v>
      </c>
      <c r="M13" s="144" t="str">
        <f>+'R, L &amp; C Design Guidelines'!$D$3</f>
        <v>0.08uH</v>
      </c>
      <c r="N13" s="146">
        <f>+MAX_I_SSWBIAS</f>
        <v>0.0012000000000000001</v>
      </c>
      <c r="O13" s="146">
        <f>+AVG_I_SSWBIAS</f>
        <v>4.8000000000000006E-08</v>
      </c>
      <c r="P13" s="147">
        <v>0</v>
      </c>
      <c r="Q13" s="147">
        <v>1</v>
      </c>
      <c r="R13" s="147">
        <v>0</v>
      </c>
      <c r="S13" s="144">
        <v>10</v>
      </c>
      <c r="T13" s="148">
        <f t="shared" si="3"/>
        <v>0.5</v>
      </c>
      <c r="U13" s="148">
        <v>0.3333333333333333</v>
      </c>
      <c r="V13" s="148">
        <f t="shared" si="4"/>
        <v>0.16666666666666666</v>
      </c>
      <c r="W13" s="149">
        <f t="shared" si="0"/>
        <v>0.0011520000000000002</v>
      </c>
      <c r="X13" s="149">
        <f t="shared" si="1"/>
        <v>3.0720000000000004E-13</v>
      </c>
      <c r="Y13" s="150">
        <f t="shared" si="5"/>
        <v>3.168698634314666E-12</v>
      </c>
    </row>
    <row r="14" spans="7:25" ht="12.75">
      <c r="G14" s="145" t="s">
        <v>185</v>
      </c>
      <c r="H14" s="144">
        <v>4</v>
      </c>
      <c r="I14" s="144">
        <v>2</v>
      </c>
      <c r="J14" s="144" t="s">
        <v>261</v>
      </c>
      <c r="K14" s="144">
        <f>+RC_JFET_BIAS</f>
        <v>100</v>
      </c>
      <c r="L14" s="144" t="str">
        <f>+'R, L &amp; C Design Guidelines'!$C$3</f>
        <v>1000pF</v>
      </c>
      <c r="M14" s="144" t="str">
        <f>+'R, L &amp; C Design Guidelines'!$D$3</f>
        <v>0.08uH</v>
      </c>
      <c r="N14" s="146">
        <f>+MAX_I_SSWJFET</f>
        <v>0.005</v>
      </c>
      <c r="O14" s="146">
        <f>+AVG_I_SSWJFET</f>
        <v>0.0012000000000000001</v>
      </c>
      <c r="P14" s="147">
        <v>0</v>
      </c>
      <c r="Q14" s="147">
        <v>1</v>
      </c>
      <c r="R14" s="147">
        <v>0</v>
      </c>
      <c r="S14" s="144">
        <v>10</v>
      </c>
      <c r="T14" s="148">
        <f t="shared" si="3"/>
        <v>0.5</v>
      </c>
      <c r="U14" s="148">
        <v>0.3333333333333333</v>
      </c>
      <c r="V14" s="148">
        <f t="shared" si="4"/>
        <v>0.16666666666666666</v>
      </c>
      <c r="W14" s="149">
        <f t="shared" si="0"/>
        <v>0.01</v>
      </c>
      <c r="X14" s="149">
        <f t="shared" si="1"/>
        <v>9.600000000000002E-05</v>
      </c>
      <c r="Y14" s="150">
        <f t="shared" si="5"/>
        <v>0.0009902183232233333</v>
      </c>
    </row>
    <row r="15" spans="7:25" ht="12.75">
      <c r="G15" s="145" t="s">
        <v>221</v>
      </c>
      <c r="H15" s="144">
        <v>1</v>
      </c>
      <c r="I15" s="144">
        <v>0</v>
      </c>
      <c r="J15" s="144" t="s">
        <v>196</v>
      </c>
      <c r="K15" s="144">
        <f>+RC_GND</f>
        <v>50</v>
      </c>
      <c r="L15" s="144" t="str">
        <f>+'R, L &amp; C Design Guidelines'!$C$3</f>
        <v>1000pF</v>
      </c>
      <c r="M15" s="144" t="str">
        <f>+'R, L &amp; C Design Guidelines'!$D$3</f>
        <v>0.08uH</v>
      </c>
      <c r="N15" s="164">
        <v>0</v>
      </c>
      <c r="O15" s="164">
        <v>0</v>
      </c>
      <c r="P15" s="147">
        <v>0</v>
      </c>
      <c r="Q15" s="147">
        <v>0</v>
      </c>
      <c r="R15" s="147">
        <v>0</v>
      </c>
      <c r="S15" s="144">
        <v>10</v>
      </c>
      <c r="T15" s="148">
        <f t="shared" si="3"/>
        <v>0.5</v>
      </c>
      <c r="U15" s="148">
        <v>0.3333333333333333</v>
      </c>
      <c r="V15" s="148">
        <f>+U15*T15</f>
        <v>0.16666666666666666</v>
      </c>
      <c r="W15" s="149">
        <f t="shared" si="0"/>
        <v>0</v>
      </c>
      <c r="X15" s="149">
        <f t="shared" si="1"/>
        <v>0</v>
      </c>
      <c r="Y15" s="150">
        <f t="shared" si="5"/>
        <v>0</v>
      </c>
    </row>
    <row r="16" spans="7:25" ht="12.75">
      <c r="G16" s="145" t="s">
        <v>700</v>
      </c>
      <c r="H16" s="144">
        <v>2</v>
      </c>
      <c r="I16" s="144">
        <v>1</v>
      </c>
      <c r="J16" s="144" t="s">
        <v>261</v>
      </c>
      <c r="K16" s="144">
        <f>+RC_JFET_HEAT</f>
        <v>200</v>
      </c>
      <c r="L16" s="144" t="str">
        <f>+'R, L &amp; C Design Guidelines'!$C$3</f>
        <v>1000pF</v>
      </c>
      <c r="M16" s="144" t="str">
        <f>+'R, L &amp; C Design Guidelines'!$D$3</f>
        <v>0.08uH</v>
      </c>
      <c r="N16" s="146">
        <f>+MAX_I_TCHEAT</f>
        <v>0.0019230769230769232</v>
      </c>
      <c r="O16" s="146">
        <f>+AVG_I_TCHEAT</f>
        <v>0.0004807692307692308</v>
      </c>
      <c r="P16" s="147">
        <v>0</v>
      </c>
      <c r="Q16" s="147">
        <v>0</v>
      </c>
      <c r="R16" s="147">
        <v>0</v>
      </c>
      <c r="S16" s="144">
        <v>10</v>
      </c>
      <c r="T16" s="165">
        <f>+DC_P_HEAT</f>
        <v>0.001736111111111111</v>
      </c>
      <c r="U16" s="148">
        <v>0.3333333333333333</v>
      </c>
      <c r="V16" s="148">
        <f t="shared" si="4"/>
        <v>0.0005787037037037037</v>
      </c>
      <c r="W16" s="149">
        <f aca="true" t="shared" si="6" ref="W16:W27">+N16^2*K16*H16</f>
        <v>0.0014792899408284025</v>
      </c>
      <c r="X16" s="149">
        <f t="shared" si="1"/>
        <v>5.3504410475564324E-08</v>
      </c>
      <c r="Y16" s="150">
        <f t="shared" si="5"/>
        <v>5.51885912772565E-07</v>
      </c>
    </row>
    <row r="17" spans="7:25" ht="12.75">
      <c r="G17" s="145" t="s">
        <v>186</v>
      </c>
      <c r="H17" s="144">
        <v>2</v>
      </c>
      <c r="I17" s="144">
        <v>1</v>
      </c>
      <c r="J17" s="144" t="s">
        <v>261</v>
      </c>
      <c r="K17" s="144">
        <f>+RC_JFET_HEAT</f>
        <v>200</v>
      </c>
      <c r="L17" s="144" t="str">
        <f>+'R, L &amp; C Design Guidelines'!$C$3</f>
        <v>1000pF</v>
      </c>
      <c r="M17" s="144" t="str">
        <f>+'R, L &amp; C Design Guidelines'!$D$3</f>
        <v>0.08uH</v>
      </c>
      <c r="N17" s="146">
        <f>+MAX_I_SLWHEAT</f>
        <v>0.0033333333333333335</v>
      </c>
      <c r="O17" s="146">
        <f>+AVG_I_SLWHEAT</f>
        <v>0.0008333333333333334</v>
      </c>
      <c r="P17" s="147">
        <v>0</v>
      </c>
      <c r="Q17" s="147">
        <v>0</v>
      </c>
      <c r="R17" s="147">
        <v>0</v>
      </c>
      <c r="S17" s="144">
        <v>10</v>
      </c>
      <c r="T17" s="165">
        <f>+DC_S_HEAT</f>
        <v>0.001736111111111111</v>
      </c>
      <c r="U17" s="148">
        <v>0.3333333333333333</v>
      </c>
      <c r="V17" s="148">
        <f t="shared" si="4"/>
        <v>0.0005787037037037037</v>
      </c>
      <c r="W17" s="149">
        <f t="shared" si="6"/>
        <v>0.004444444444444445</v>
      </c>
      <c r="X17" s="149">
        <f t="shared" si="1"/>
        <v>1.6075102880658437E-07</v>
      </c>
      <c r="Y17" s="150">
        <f t="shared" si="5"/>
        <v>1.6581105645966842E-06</v>
      </c>
    </row>
    <row r="18" spans="7:25" ht="12.75">
      <c r="G18" s="145" t="s">
        <v>187</v>
      </c>
      <c r="H18" s="144">
        <v>2</v>
      </c>
      <c r="I18" s="144">
        <v>1</v>
      </c>
      <c r="J18" s="144" t="s">
        <v>261</v>
      </c>
      <c r="K18" s="144">
        <f>+RC_JFET_HEAT</f>
        <v>200</v>
      </c>
      <c r="L18" s="144" t="str">
        <f>+'R, L &amp; C Design Guidelines'!$C$3</f>
        <v>1000pF</v>
      </c>
      <c r="M18" s="144" t="str">
        <f>+'R, L &amp; C Design Guidelines'!$D$3</f>
        <v>0.08uH</v>
      </c>
      <c r="N18" s="146">
        <f>+MAX_I_SSWHEAT</f>
        <v>0.006666666666666667</v>
      </c>
      <c r="O18" s="153">
        <f>+AVG_I_SSWHEAT</f>
        <v>0.0016666666666666668</v>
      </c>
      <c r="P18" s="154">
        <v>0</v>
      </c>
      <c r="Q18" s="154">
        <v>0</v>
      </c>
      <c r="R18" s="154">
        <v>0</v>
      </c>
      <c r="S18" s="144">
        <v>10</v>
      </c>
      <c r="T18" s="166">
        <f>+DC_S_HEAT</f>
        <v>0.001736111111111111</v>
      </c>
      <c r="U18" s="148">
        <v>0.3333333333333333</v>
      </c>
      <c r="V18" s="148">
        <f>+U18*T18</f>
        <v>0.0005787037037037037</v>
      </c>
      <c r="W18" s="149">
        <f t="shared" si="6"/>
        <v>0.01777777777777778</v>
      </c>
      <c r="X18" s="149">
        <f t="shared" si="1"/>
        <v>6.430041152263375E-07</v>
      </c>
      <c r="Y18" s="150">
        <f t="shared" si="5"/>
        <v>6.632442258386737E-06</v>
      </c>
    </row>
    <row r="19" spans="3:25" ht="12.75">
      <c r="C19" s="158" t="s">
        <v>310</v>
      </c>
      <c r="D19" s="158" t="s">
        <v>516</v>
      </c>
      <c r="E19" s="158" t="s">
        <v>632</v>
      </c>
      <c r="F19" s="158" t="s">
        <v>56</v>
      </c>
      <c r="G19" s="159" t="s">
        <v>697</v>
      </c>
      <c r="H19" s="158">
        <v>2</v>
      </c>
      <c r="I19" s="158">
        <v>1</v>
      </c>
      <c r="J19" s="158" t="s">
        <v>261</v>
      </c>
      <c r="K19" s="158">
        <f>+RC_TC_BIAS</f>
        <v>200</v>
      </c>
      <c r="L19" s="160" t="str">
        <f>+'R, L &amp; C Design Guidelines'!$C$4</f>
        <v>1000pF</v>
      </c>
      <c r="M19" s="158">
        <v>0.08</v>
      </c>
      <c r="N19" s="162">
        <f>+MAX_I_TCBIAS</f>
        <v>3.2E-08</v>
      </c>
      <c r="O19" s="146">
        <f>+AVG_I_TCBIAS</f>
        <v>8E-09</v>
      </c>
      <c r="P19" s="147">
        <v>0</v>
      </c>
      <c r="Q19" s="147">
        <v>0</v>
      </c>
      <c r="R19" s="147">
        <v>0</v>
      </c>
      <c r="S19" s="158">
        <v>10</v>
      </c>
      <c r="T19" s="148">
        <f>+DC_PHOT</f>
        <v>0.5</v>
      </c>
      <c r="U19" s="163">
        <v>0.3333333333333333</v>
      </c>
      <c r="V19" s="163">
        <f>+U19*T19</f>
        <v>0.16666666666666666</v>
      </c>
      <c r="W19" s="160">
        <f t="shared" si="6"/>
        <v>4.0960000000000004E-13</v>
      </c>
      <c r="X19" s="160">
        <f t="shared" si="1"/>
        <v>4.266666666666667E-15</v>
      </c>
      <c r="Y19" s="161">
        <f t="shared" si="5"/>
        <v>4.4009703254370354E-14</v>
      </c>
    </row>
    <row r="20" spans="7:25" ht="12.75">
      <c r="G20" s="145" t="s">
        <v>698</v>
      </c>
      <c r="H20" s="144">
        <v>1</v>
      </c>
      <c r="I20" s="144">
        <v>0</v>
      </c>
      <c r="J20" s="144" t="s">
        <v>196</v>
      </c>
      <c r="K20" s="144">
        <f>+RC_GND</f>
        <v>50</v>
      </c>
      <c r="L20" s="144" t="str">
        <f>+'R, L &amp; C Design Guidelines'!$C$3</f>
        <v>1000pF</v>
      </c>
      <c r="M20" s="144" t="str">
        <f>+'R, L &amp; C Design Guidelines'!$D$3</f>
        <v>0.08uH</v>
      </c>
      <c r="N20" s="164">
        <v>0</v>
      </c>
      <c r="O20" s="164">
        <v>0</v>
      </c>
      <c r="P20" s="147">
        <v>0</v>
      </c>
      <c r="Q20" s="147">
        <v>0</v>
      </c>
      <c r="R20" s="147">
        <v>0</v>
      </c>
      <c r="S20" s="144">
        <v>10</v>
      </c>
      <c r="T20" s="148">
        <f>+DC_PHOT</f>
        <v>0.5</v>
      </c>
      <c r="U20" s="148">
        <v>0.3333333333333333</v>
      </c>
      <c r="V20" s="148">
        <f>+U20*T20</f>
        <v>0.16666666666666666</v>
      </c>
      <c r="W20" s="149">
        <f t="shared" si="6"/>
        <v>0</v>
      </c>
      <c r="X20" s="149">
        <f t="shared" si="1"/>
        <v>0</v>
      </c>
      <c r="Y20" s="150">
        <f t="shared" si="5"/>
        <v>0</v>
      </c>
    </row>
    <row r="21" spans="7:25" ht="12.75">
      <c r="G21" s="145" t="s">
        <v>699</v>
      </c>
      <c r="H21" s="144">
        <v>2</v>
      </c>
      <c r="I21" s="144">
        <v>1</v>
      </c>
      <c r="J21" s="144" t="s">
        <v>261</v>
      </c>
      <c r="K21" s="144">
        <f>+RC_JFET_BIAS</f>
        <v>100</v>
      </c>
      <c r="L21" s="144" t="str">
        <f>+'R, L &amp; C Design Guidelines'!$C$3</f>
        <v>1000pF</v>
      </c>
      <c r="M21" s="144" t="str">
        <f>+'R, L &amp; C Design Guidelines'!$D$3</f>
        <v>0.08uH</v>
      </c>
      <c r="N21" s="146">
        <f>+MAX_I_TCJFET</f>
        <v>0.005</v>
      </c>
      <c r="O21" s="146">
        <f>+AVG_I_TCJFET</f>
        <v>0.0002</v>
      </c>
      <c r="P21" s="147">
        <v>0</v>
      </c>
      <c r="Q21" s="147">
        <v>0</v>
      </c>
      <c r="R21" s="147">
        <v>0</v>
      </c>
      <c r="S21" s="144">
        <v>10</v>
      </c>
      <c r="T21" s="148">
        <f>+DC_PHOT</f>
        <v>0.5</v>
      </c>
      <c r="U21" s="148">
        <v>0.3333333333333333</v>
      </c>
      <c r="V21" s="148">
        <f>+U21*T21</f>
        <v>0.16666666666666666</v>
      </c>
      <c r="W21" s="149">
        <f t="shared" si="6"/>
        <v>0.005</v>
      </c>
      <c r="X21" s="149">
        <f t="shared" si="1"/>
        <v>1.3333333333333332E-06</v>
      </c>
      <c r="Y21" s="150">
        <f t="shared" si="5"/>
        <v>1.3753032266990734E-05</v>
      </c>
    </row>
    <row r="22" spans="7:25" ht="12.75">
      <c r="G22" s="145" t="s">
        <v>182</v>
      </c>
      <c r="H22" s="144">
        <v>4</v>
      </c>
      <c r="I22" s="144">
        <v>2</v>
      </c>
      <c r="J22" s="144" t="s">
        <v>261</v>
      </c>
      <c r="K22" s="144">
        <f>+RC_BOL_BIAS</f>
        <v>200</v>
      </c>
      <c r="L22" s="144" t="str">
        <f>+'R, L &amp; C Design Guidelines'!$C$3</f>
        <v>1000pF</v>
      </c>
      <c r="M22" s="144" t="str">
        <f>+'R, L &amp; C Design Guidelines'!$D$3</f>
        <v>0.08uH</v>
      </c>
      <c r="N22" s="146">
        <f>+MAX_I_SLWBIAS</f>
        <v>9.600000000000001E-08</v>
      </c>
      <c r="O22" s="146">
        <f>+AVG_I_SLWBIAS</f>
        <v>2.4000000000000003E-08</v>
      </c>
      <c r="P22" s="147">
        <v>0</v>
      </c>
      <c r="Q22" s="147">
        <v>0</v>
      </c>
      <c r="R22" s="147">
        <v>0</v>
      </c>
      <c r="S22" s="144">
        <v>10</v>
      </c>
      <c r="T22" s="148">
        <f aca="true" t="shared" si="7" ref="T22:T27">+DC_SPECT</f>
        <v>0.5</v>
      </c>
      <c r="U22" s="148">
        <v>0.3333333333333333</v>
      </c>
      <c r="V22" s="148">
        <f aca="true" t="shared" si="8" ref="V22:V29">+U22*T22</f>
        <v>0.16666666666666666</v>
      </c>
      <c r="W22" s="149">
        <f t="shared" si="6"/>
        <v>7.372800000000002E-12</v>
      </c>
      <c r="X22" s="149">
        <f t="shared" si="1"/>
        <v>7.680000000000001E-14</v>
      </c>
      <c r="Y22" s="150">
        <f t="shared" si="5"/>
        <v>7.921746585786665E-13</v>
      </c>
    </row>
    <row r="23" spans="7:25" ht="12.75">
      <c r="G23" s="145" t="s">
        <v>183</v>
      </c>
      <c r="H23" s="144">
        <v>4</v>
      </c>
      <c r="I23" s="144">
        <v>2</v>
      </c>
      <c r="J23" s="144" t="s">
        <v>261</v>
      </c>
      <c r="K23" s="144">
        <f>+RC_JFET_BIAS</f>
        <v>100</v>
      </c>
      <c r="L23" s="144" t="str">
        <f>+'R, L &amp; C Design Guidelines'!$C$3</f>
        <v>1000pF</v>
      </c>
      <c r="M23" s="144" t="str">
        <f>+'R, L &amp; C Design Guidelines'!$D$3</f>
        <v>0.08uH</v>
      </c>
      <c r="N23" s="146">
        <f>+MAX_I_SLWJFET</f>
        <v>0.0025</v>
      </c>
      <c r="O23" s="146">
        <f>+AVG_I_SLWJFET</f>
        <v>0.0006000000000000001</v>
      </c>
      <c r="P23" s="147">
        <v>0</v>
      </c>
      <c r="Q23" s="147">
        <v>0</v>
      </c>
      <c r="R23" s="147">
        <v>0</v>
      </c>
      <c r="S23" s="144">
        <v>10</v>
      </c>
      <c r="T23" s="148">
        <f t="shared" si="7"/>
        <v>0.5</v>
      </c>
      <c r="U23" s="148">
        <v>0.3333333333333333</v>
      </c>
      <c r="V23" s="148">
        <f t="shared" si="8"/>
        <v>0.16666666666666666</v>
      </c>
      <c r="W23" s="149">
        <f t="shared" si="6"/>
        <v>0.0025</v>
      </c>
      <c r="X23" s="149">
        <f t="shared" si="1"/>
        <v>2.4000000000000004E-05</v>
      </c>
      <c r="Y23" s="150">
        <f t="shared" si="5"/>
        <v>0.0002475545808058333</v>
      </c>
    </row>
    <row r="24" spans="7:25" ht="12.75">
      <c r="G24" s="145" t="s">
        <v>193</v>
      </c>
      <c r="H24" s="144">
        <v>1</v>
      </c>
      <c r="I24" s="144">
        <v>0</v>
      </c>
      <c r="J24" s="144" t="s">
        <v>196</v>
      </c>
      <c r="K24" s="144">
        <f>+RC_GND</f>
        <v>50</v>
      </c>
      <c r="L24" s="144" t="str">
        <f>+'R, L &amp; C Design Guidelines'!$C$3</f>
        <v>1000pF</v>
      </c>
      <c r="M24" s="144" t="str">
        <f>+'R, L &amp; C Design Guidelines'!$D$3</f>
        <v>0.08uH</v>
      </c>
      <c r="N24" s="164">
        <v>0</v>
      </c>
      <c r="O24" s="164">
        <v>0</v>
      </c>
      <c r="P24" s="147">
        <v>0</v>
      </c>
      <c r="Q24" s="147">
        <v>0</v>
      </c>
      <c r="R24" s="147">
        <v>0</v>
      </c>
      <c r="S24" s="144">
        <v>10</v>
      </c>
      <c r="T24" s="148">
        <f t="shared" si="7"/>
        <v>0.5</v>
      </c>
      <c r="U24" s="148">
        <v>0.3333333333333333</v>
      </c>
      <c r="V24" s="148">
        <f t="shared" si="8"/>
        <v>0.16666666666666666</v>
      </c>
      <c r="W24" s="149">
        <f t="shared" si="6"/>
        <v>0</v>
      </c>
      <c r="X24" s="149">
        <f t="shared" si="1"/>
        <v>0</v>
      </c>
      <c r="Y24" s="150">
        <f t="shared" si="5"/>
        <v>0</v>
      </c>
    </row>
    <row r="25" spans="7:25" ht="12.75">
      <c r="G25" s="145" t="s">
        <v>184</v>
      </c>
      <c r="H25" s="144">
        <v>4</v>
      </c>
      <c r="I25" s="144">
        <v>2</v>
      </c>
      <c r="J25" s="144" t="s">
        <v>261</v>
      </c>
      <c r="K25" s="144">
        <f>+RC_BOL_BIAS</f>
        <v>200</v>
      </c>
      <c r="L25" s="144" t="str">
        <f>+'R, L &amp; C Design Guidelines'!$C$3</f>
        <v>1000pF</v>
      </c>
      <c r="M25" s="144" t="str">
        <f>+'R, L &amp; C Design Guidelines'!$D$3</f>
        <v>0.08uH</v>
      </c>
      <c r="N25" s="146">
        <f>+MAX_I_SSWBIAS</f>
        <v>0.0012000000000000001</v>
      </c>
      <c r="O25" s="146">
        <f>+AVG_I_SSWBIAS</f>
        <v>4.8000000000000006E-08</v>
      </c>
      <c r="P25" s="147">
        <v>0</v>
      </c>
      <c r="Q25" s="147">
        <v>0</v>
      </c>
      <c r="R25" s="147">
        <v>0</v>
      </c>
      <c r="S25" s="144">
        <v>10</v>
      </c>
      <c r="T25" s="148">
        <f t="shared" si="7"/>
        <v>0.5</v>
      </c>
      <c r="U25" s="148">
        <v>0.3333333333333333</v>
      </c>
      <c r="V25" s="148">
        <f t="shared" si="8"/>
        <v>0.16666666666666666</v>
      </c>
      <c r="W25" s="149">
        <f t="shared" si="6"/>
        <v>0.0011520000000000002</v>
      </c>
      <c r="X25" s="149">
        <f t="shared" si="1"/>
        <v>3.0720000000000004E-13</v>
      </c>
      <c r="Y25" s="150">
        <f t="shared" si="5"/>
        <v>3.168698634314666E-12</v>
      </c>
    </row>
    <row r="26" spans="7:25" ht="12.75">
      <c r="G26" s="145" t="s">
        <v>185</v>
      </c>
      <c r="H26" s="144">
        <v>4</v>
      </c>
      <c r="I26" s="144">
        <v>2</v>
      </c>
      <c r="J26" s="144" t="s">
        <v>261</v>
      </c>
      <c r="K26" s="144">
        <f>+RC_JFET_BIAS</f>
        <v>100</v>
      </c>
      <c r="L26" s="144" t="str">
        <f>+'R, L &amp; C Design Guidelines'!$C$3</f>
        <v>1000pF</v>
      </c>
      <c r="M26" s="144" t="str">
        <f>+'R, L &amp; C Design Guidelines'!$D$3</f>
        <v>0.08uH</v>
      </c>
      <c r="N26" s="146">
        <f>+MAX_I_SSWJFET</f>
        <v>0.005</v>
      </c>
      <c r="O26" s="146">
        <f>+AVG_I_SSWJFET</f>
        <v>0.0012000000000000001</v>
      </c>
      <c r="P26" s="147">
        <v>0</v>
      </c>
      <c r="Q26" s="147">
        <v>0</v>
      </c>
      <c r="R26" s="147">
        <v>0</v>
      </c>
      <c r="S26" s="144">
        <v>10</v>
      </c>
      <c r="T26" s="148">
        <f t="shared" si="7"/>
        <v>0.5</v>
      </c>
      <c r="U26" s="148">
        <v>0.3333333333333333</v>
      </c>
      <c r="V26" s="148">
        <f t="shared" si="8"/>
        <v>0.16666666666666666</v>
      </c>
      <c r="W26" s="149">
        <f t="shared" si="6"/>
        <v>0.01</v>
      </c>
      <c r="X26" s="149">
        <f t="shared" si="1"/>
        <v>9.600000000000002E-05</v>
      </c>
      <c r="Y26" s="150">
        <f t="shared" si="5"/>
        <v>0.0009902183232233333</v>
      </c>
    </row>
    <row r="27" spans="7:25" ht="12.75">
      <c r="G27" s="145" t="s">
        <v>221</v>
      </c>
      <c r="H27" s="144">
        <v>1</v>
      </c>
      <c r="I27" s="144">
        <v>0</v>
      </c>
      <c r="J27" s="144" t="s">
        <v>196</v>
      </c>
      <c r="K27" s="144">
        <f>+RC_GND</f>
        <v>50</v>
      </c>
      <c r="L27" s="144" t="str">
        <f>+CC_GND</f>
        <v>1000pF</v>
      </c>
      <c r="M27" s="144" t="str">
        <f>+LC_GND</f>
        <v>0.08uH</v>
      </c>
      <c r="N27" s="164">
        <v>0</v>
      </c>
      <c r="O27" s="164">
        <v>0</v>
      </c>
      <c r="P27" s="147">
        <v>0</v>
      </c>
      <c r="Q27" s="147">
        <v>0</v>
      </c>
      <c r="R27" s="147">
        <v>0</v>
      </c>
      <c r="S27" s="144">
        <v>10</v>
      </c>
      <c r="T27" s="148">
        <f t="shared" si="7"/>
        <v>0.5</v>
      </c>
      <c r="U27" s="148">
        <v>0.3333333333333333</v>
      </c>
      <c r="V27" s="148">
        <f t="shared" si="8"/>
        <v>0.16666666666666666</v>
      </c>
      <c r="W27" s="149">
        <f t="shared" si="6"/>
        <v>0</v>
      </c>
      <c r="X27" s="149">
        <f t="shared" si="1"/>
        <v>0</v>
      </c>
      <c r="Y27" s="150">
        <f t="shared" si="5"/>
        <v>0</v>
      </c>
    </row>
    <row r="28" spans="7:25" ht="12.75">
      <c r="G28" s="145" t="s">
        <v>700</v>
      </c>
      <c r="H28" s="144">
        <v>2</v>
      </c>
      <c r="I28" s="144">
        <v>1</v>
      </c>
      <c r="J28" s="144" t="s">
        <v>261</v>
      </c>
      <c r="K28" s="144">
        <f>+RC_JFET_HEAT</f>
        <v>200</v>
      </c>
      <c r="L28" s="144" t="str">
        <f>+'R, L &amp; C Design Guidelines'!$C$3</f>
        <v>1000pF</v>
      </c>
      <c r="M28" s="144" t="str">
        <f>+'R, L &amp; C Design Guidelines'!$D$3</f>
        <v>0.08uH</v>
      </c>
      <c r="N28" s="146">
        <f>+MAX_I_TCHEAT</f>
        <v>0.0019230769230769232</v>
      </c>
      <c r="O28" s="146">
        <f>+AVG_I_TCHEAT</f>
        <v>0.0004807692307692308</v>
      </c>
      <c r="P28" s="147">
        <v>0</v>
      </c>
      <c r="Q28" s="147">
        <v>0</v>
      </c>
      <c r="R28" s="147">
        <v>0</v>
      </c>
      <c r="S28" s="144">
        <v>10</v>
      </c>
      <c r="T28" s="165">
        <f>+DC_P_HEAT</f>
        <v>0.001736111111111111</v>
      </c>
      <c r="U28" s="148">
        <v>0.3333333333333333</v>
      </c>
      <c r="V28" s="148">
        <f t="shared" si="8"/>
        <v>0.0005787037037037037</v>
      </c>
      <c r="W28" s="149">
        <f>+N28^2*K28*H28</f>
        <v>0.0014792899408284025</v>
      </c>
      <c r="X28" s="149">
        <f t="shared" si="1"/>
        <v>5.3504410475564324E-08</v>
      </c>
      <c r="Y28" s="150">
        <f t="shared" si="5"/>
        <v>5.51885912772565E-07</v>
      </c>
    </row>
    <row r="29" spans="7:25" ht="12.75">
      <c r="G29" s="145" t="s">
        <v>186</v>
      </c>
      <c r="H29" s="144">
        <v>2</v>
      </c>
      <c r="I29" s="144">
        <v>1</v>
      </c>
      <c r="J29" s="144" t="s">
        <v>261</v>
      </c>
      <c r="K29" s="144">
        <f>+RC_JFET_HEAT</f>
        <v>200</v>
      </c>
      <c r="L29" s="144" t="str">
        <f>+CC_JFET_HEAT</f>
        <v>1000pF</v>
      </c>
      <c r="M29" s="144" t="str">
        <f>+LC_JFET_HEAT</f>
        <v>0.08uH</v>
      </c>
      <c r="N29" s="146">
        <f>+MAX_I_SLWHEAT</f>
        <v>0.0033333333333333335</v>
      </c>
      <c r="O29" s="146">
        <f>+AVG_I_SLWHEAT</f>
        <v>0.0008333333333333334</v>
      </c>
      <c r="P29" s="147">
        <v>0</v>
      </c>
      <c r="Q29" s="147">
        <v>0</v>
      </c>
      <c r="R29" s="147">
        <v>0</v>
      </c>
      <c r="S29" s="144">
        <v>10</v>
      </c>
      <c r="T29" s="165">
        <f>+DC_S_HEAT</f>
        <v>0.001736111111111111</v>
      </c>
      <c r="U29" s="148">
        <v>0.3333333333333333</v>
      </c>
      <c r="V29" s="148">
        <f t="shared" si="8"/>
        <v>0.0005787037037037037</v>
      </c>
      <c r="W29" s="149">
        <f>+N29^2*K29*H29</f>
        <v>0.004444444444444445</v>
      </c>
      <c r="X29" s="149">
        <f t="shared" si="1"/>
        <v>1.6075102880658437E-07</v>
      </c>
      <c r="Y29" s="150">
        <f t="shared" si="5"/>
        <v>1.6581105645966842E-06</v>
      </c>
    </row>
    <row r="30" spans="7:25" ht="12.75">
      <c r="G30" s="145" t="s">
        <v>187</v>
      </c>
      <c r="H30" s="144">
        <v>2</v>
      </c>
      <c r="I30" s="144">
        <v>1</v>
      </c>
      <c r="J30" s="144" t="s">
        <v>261</v>
      </c>
      <c r="K30" s="144">
        <f>+RC_JFET_HEAT</f>
        <v>200</v>
      </c>
      <c r="L30" s="144" t="str">
        <f>+'R, L &amp; C Design Guidelines'!$C$3</f>
        <v>1000pF</v>
      </c>
      <c r="M30" s="144" t="str">
        <f>+'R, L &amp; C Design Guidelines'!$D$3</f>
        <v>0.08uH</v>
      </c>
      <c r="N30" s="146">
        <f>+MAX_I_SSWHEAT</f>
        <v>0.006666666666666667</v>
      </c>
      <c r="O30" s="146">
        <f>+AVG_I_SSWHEAT</f>
        <v>0.0016666666666666668</v>
      </c>
      <c r="P30" s="147">
        <v>0</v>
      </c>
      <c r="Q30" s="147">
        <v>0</v>
      </c>
      <c r="R30" s="147">
        <v>0</v>
      </c>
      <c r="S30" s="144">
        <v>10</v>
      </c>
      <c r="T30" s="165">
        <f>+DC_S_HEAT</f>
        <v>0.001736111111111111</v>
      </c>
      <c r="U30" s="148">
        <v>0.3333333333333333</v>
      </c>
      <c r="V30" s="148">
        <f>+U30*T30</f>
        <v>0.0005787037037037037</v>
      </c>
      <c r="W30" s="149">
        <f>+N30^2*K30*H30</f>
        <v>0.01777777777777778</v>
      </c>
      <c r="X30" s="149">
        <f t="shared" si="1"/>
        <v>6.430041152263375E-07</v>
      </c>
      <c r="Y30" s="150">
        <f t="shared" si="5"/>
        <v>6.632442258386737E-06</v>
      </c>
    </row>
    <row r="31" spans="1:25" s="186" customFormat="1" ht="26.25" thickBot="1">
      <c r="A31" s="177"/>
      <c r="B31" s="178"/>
      <c r="C31" s="178"/>
      <c r="D31" s="179"/>
      <c r="E31" s="179"/>
      <c r="F31" s="179"/>
      <c r="G31" s="179" t="s">
        <v>710</v>
      </c>
      <c r="H31" s="178"/>
      <c r="I31" s="178"/>
      <c r="J31" s="180" t="s">
        <v>711</v>
      </c>
      <c r="K31" s="178">
        <v>50</v>
      </c>
      <c r="L31" s="178"/>
      <c r="M31" s="178" t="s">
        <v>712</v>
      </c>
      <c r="N31" s="181"/>
      <c r="O31" s="181"/>
      <c r="P31" s="182"/>
      <c r="Q31" s="182"/>
      <c r="R31" s="182"/>
      <c r="S31" s="178" t="s">
        <v>103</v>
      </c>
      <c r="T31" s="183"/>
      <c r="U31" s="183"/>
      <c r="V31" s="183"/>
      <c r="W31" s="184"/>
      <c r="X31" s="184"/>
      <c r="Y31" s="185">
        <f t="shared" si="5"/>
        <v>0</v>
      </c>
    </row>
    <row r="32" spans="1:25" ht="13.5" thickTop="1">
      <c r="A32" s="143" t="s">
        <v>69</v>
      </c>
      <c r="B32" s="144" t="s">
        <v>270</v>
      </c>
      <c r="C32" s="144" t="s">
        <v>637</v>
      </c>
      <c r="D32" s="144" t="s">
        <v>629</v>
      </c>
      <c r="E32" s="144" t="s">
        <v>646</v>
      </c>
      <c r="F32" s="144" t="s">
        <v>50</v>
      </c>
      <c r="G32" s="145" t="s">
        <v>431</v>
      </c>
      <c r="H32" s="144">
        <v>8</v>
      </c>
      <c r="I32" s="144">
        <v>1</v>
      </c>
      <c r="J32" s="144" t="s">
        <v>83</v>
      </c>
      <c r="K32" s="144">
        <f aca="true" t="shared" si="9" ref="K32:K41">+RC_BOL_SIG</f>
        <v>500</v>
      </c>
      <c r="L32" s="144" t="str">
        <f aca="true" t="shared" si="10" ref="L32:L41">+CC_BOL_SIG</f>
        <v>1000pF</v>
      </c>
      <c r="M32" s="144" t="str">
        <f aca="true" t="shared" si="11" ref="M32:M41">+LC_BOL_SIG</f>
        <v>0.08uH</v>
      </c>
      <c r="N32" s="146">
        <f>+MAX_I_BOLSIG</f>
        <v>1E-09</v>
      </c>
      <c r="O32" s="146">
        <f>+AVG_I_BOLSIG</f>
        <v>5E-10</v>
      </c>
      <c r="P32" s="147">
        <v>1</v>
      </c>
      <c r="Q32" s="147">
        <v>0</v>
      </c>
      <c r="R32" s="147">
        <v>0</v>
      </c>
      <c r="S32" s="144">
        <v>0.1</v>
      </c>
      <c r="T32" s="148">
        <f>+DC_SPECT</f>
        <v>0.5</v>
      </c>
      <c r="U32" s="148">
        <v>0.3333333333333333</v>
      </c>
      <c r="V32" s="148">
        <f aca="true" t="shared" si="12" ref="V32:V41">+U32*T32</f>
        <v>0.16666666666666666</v>
      </c>
      <c r="W32" s="149">
        <f aca="true" t="shared" si="13" ref="W32:W41">+N32^2*K32*H32</f>
        <v>4E-15</v>
      </c>
      <c r="X32" s="149">
        <f aca="true" t="shared" si="14" ref="X32:X41">+O32^2*K32*V32*H32</f>
        <v>1.6666666666666668E-16</v>
      </c>
      <c r="Y32" s="150">
        <f t="shared" si="5"/>
        <v>1.719129033373842E-15</v>
      </c>
    </row>
    <row r="33" spans="1:25" ht="12.75">
      <c r="A33" s="143" t="s">
        <v>49</v>
      </c>
      <c r="G33" s="145" t="s">
        <v>117</v>
      </c>
      <c r="H33" s="144">
        <v>4</v>
      </c>
      <c r="I33" s="144" t="s">
        <v>113</v>
      </c>
      <c r="K33" s="144">
        <f t="shared" si="9"/>
        <v>500</v>
      </c>
      <c r="L33" s="144" t="str">
        <f t="shared" si="10"/>
        <v>1000pF</v>
      </c>
      <c r="M33" s="144" t="str">
        <f t="shared" si="11"/>
        <v>0.08uH</v>
      </c>
      <c r="N33" s="146">
        <v>0</v>
      </c>
      <c r="O33" s="146">
        <v>0</v>
      </c>
      <c r="P33" s="147">
        <v>0</v>
      </c>
      <c r="Q33" s="147">
        <v>0</v>
      </c>
      <c r="R33" s="147">
        <v>0</v>
      </c>
      <c r="S33" s="144">
        <v>0.1</v>
      </c>
      <c r="T33" s="148">
        <f aca="true" t="shared" si="15" ref="T33:T41">+DC_SPECT</f>
        <v>0.5</v>
      </c>
      <c r="U33" s="148">
        <v>0.3333333333333333</v>
      </c>
      <c r="V33" s="148">
        <f t="shared" si="12"/>
        <v>0.16666666666666666</v>
      </c>
      <c r="W33" s="149">
        <f t="shared" si="13"/>
        <v>0</v>
      </c>
      <c r="X33" s="149">
        <f t="shared" si="14"/>
        <v>0</v>
      </c>
      <c r="Y33" s="150">
        <f t="shared" si="5"/>
        <v>0</v>
      </c>
    </row>
    <row r="34" spans="3:25" ht="12.75">
      <c r="C34" s="158" t="s">
        <v>641</v>
      </c>
      <c r="D34" s="158" t="s">
        <v>629</v>
      </c>
      <c r="E34" s="158" t="s">
        <v>645</v>
      </c>
      <c r="F34" s="158" t="s">
        <v>50</v>
      </c>
      <c r="G34" s="159" t="s">
        <v>704</v>
      </c>
      <c r="H34" s="158">
        <v>24</v>
      </c>
      <c r="I34" s="158">
        <v>3</v>
      </c>
      <c r="J34" s="158" t="s">
        <v>83</v>
      </c>
      <c r="K34" s="158">
        <f t="shared" si="9"/>
        <v>500</v>
      </c>
      <c r="L34" s="158" t="str">
        <f t="shared" si="10"/>
        <v>1000pF</v>
      </c>
      <c r="M34" s="158" t="str">
        <f t="shared" si="11"/>
        <v>0.08uH</v>
      </c>
      <c r="N34" s="162">
        <f>+MAX_I_BOLSIG</f>
        <v>1E-09</v>
      </c>
      <c r="O34" s="162">
        <f>+AVG_I_BOLSIG</f>
        <v>5E-10</v>
      </c>
      <c r="P34" s="167">
        <v>0</v>
      </c>
      <c r="Q34" s="167">
        <v>1</v>
      </c>
      <c r="R34" s="167">
        <v>0</v>
      </c>
      <c r="S34" s="158">
        <v>0.1</v>
      </c>
      <c r="T34" s="163">
        <f t="shared" si="15"/>
        <v>0.5</v>
      </c>
      <c r="U34" s="163">
        <v>0.3333333333333333</v>
      </c>
      <c r="V34" s="163">
        <f>+U34*T34</f>
        <v>0.16666666666666666</v>
      </c>
      <c r="W34" s="160">
        <f t="shared" si="13"/>
        <v>1.2000000000000001E-14</v>
      </c>
      <c r="X34" s="160">
        <f t="shared" si="14"/>
        <v>5E-16</v>
      </c>
      <c r="Y34" s="161">
        <f t="shared" si="5"/>
        <v>5.157387100121526E-15</v>
      </c>
    </row>
    <row r="35" spans="7:25" ht="12.75">
      <c r="G35" s="145" t="s">
        <v>117</v>
      </c>
      <c r="H35" s="144">
        <v>12</v>
      </c>
      <c r="I35" s="144" t="s">
        <v>113</v>
      </c>
      <c r="K35" s="144">
        <f t="shared" si="9"/>
        <v>500</v>
      </c>
      <c r="L35" s="144" t="str">
        <f t="shared" si="10"/>
        <v>1000pF</v>
      </c>
      <c r="M35" s="144" t="str">
        <f t="shared" si="11"/>
        <v>0.08uH</v>
      </c>
      <c r="N35" s="146">
        <v>0</v>
      </c>
      <c r="O35" s="146">
        <v>0</v>
      </c>
      <c r="P35" s="147">
        <v>0</v>
      </c>
      <c r="Q35" s="147">
        <v>0</v>
      </c>
      <c r="R35" s="147">
        <v>0</v>
      </c>
      <c r="S35" s="144">
        <v>0.1</v>
      </c>
      <c r="T35" s="148">
        <f t="shared" si="15"/>
        <v>0.5</v>
      </c>
      <c r="U35" s="148">
        <v>0.3333333333333333</v>
      </c>
      <c r="V35" s="148">
        <f>+U35*T35</f>
        <v>0.16666666666666666</v>
      </c>
      <c r="W35" s="149">
        <f>+N35^2*K35*H35</f>
        <v>0</v>
      </c>
      <c r="X35" s="149">
        <f t="shared" si="14"/>
        <v>0</v>
      </c>
      <c r="Y35" s="150">
        <f t="shared" si="5"/>
        <v>0</v>
      </c>
    </row>
    <row r="36" spans="1:25" ht="12.75">
      <c r="A36" s="168"/>
      <c r="C36" s="158" t="s">
        <v>638</v>
      </c>
      <c r="D36" s="158" t="s">
        <v>629</v>
      </c>
      <c r="E36" s="158" t="s">
        <v>644</v>
      </c>
      <c r="F36" s="158" t="s">
        <v>50</v>
      </c>
      <c r="G36" s="159" t="s">
        <v>705</v>
      </c>
      <c r="H36" s="158">
        <v>24</v>
      </c>
      <c r="I36" s="158">
        <v>3</v>
      </c>
      <c r="J36" s="158" t="s">
        <v>83</v>
      </c>
      <c r="K36" s="158">
        <f t="shared" si="9"/>
        <v>500</v>
      </c>
      <c r="L36" s="158" t="str">
        <f t="shared" si="10"/>
        <v>1000pF</v>
      </c>
      <c r="M36" s="158" t="str">
        <f t="shared" si="11"/>
        <v>0.08uH</v>
      </c>
      <c r="N36" s="162">
        <f>+MAX_I_BOLSIG</f>
        <v>1E-09</v>
      </c>
      <c r="O36" s="162">
        <f>+AVG_I_BOLSIG</f>
        <v>5E-10</v>
      </c>
      <c r="P36" s="167">
        <v>0</v>
      </c>
      <c r="Q36" s="167">
        <v>1</v>
      </c>
      <c r="R36" s="167">
        <v>0</v>
      </c>
      <c r="S36" s="158">
        <v>0.1</v>
      </c>
      <c r="T36" s="163">
        <f t="shared" si="15"/>
        <v>0.5</v>
      </c>
      <c r="U36" s="163">
        <v>0.3333333333333333</v>
      </c>
      <c r="V36" s="163">
        <f t="shared" si="12"/>
        <v>0.16666666666666666</v>
      </c>
      <c r="W36" s="160">
        <f t="shared" si="13"/>
        <v>1.2000000000000001E-14</v>
      </c>
      <c r="X36" s="160">
        <f t="shared" si="14"/>
        <v>5E-16</v>
      </c>
      <c r="Y36" s="161">
        <f t="shared" si="5"/>
        <v>5.157387100121526E-15</v>
      </c>
    </row>
    <row r="37" spans="1:25" ht="12.75">
      <c r="A37" s="168"/>
      <c r="C37" s="151"/>
      <c r="D37" s="151"/>
      <c r="E37" s="151"/>
      <c r="F37" s="151"/>
      <c r="G37" s="152" t="s">
        <v>117</v>
      </c>
      <c r="H37" s="151">
        <v>12</v>
      </c>
      <c r="I37" s="151" t="s">
        <v>113</v>
      </c>
      <c r="J37" s="151"/>
      <c r="K37" s="151">
        <f t="shared" si="9"/>
        <v>500</v>
      </c>
      <c r="L37" s="151" t="str">
        <f t="shared" si="10"/>
        <v>1000pF</v>
      </c>
      <c r="M37" s="151" t="str">
        <f t="shared" si="11"/>
        <v>0.08uH</v>
      </c>
      <c r="N37" s="153">
        <v>0</v>
      </c>
      <c r="O37" s="153">
        <v>0</v>
      </c>
      <c r="P37" s="154">
        <v>0</v>
      </c>
      <c r="Q37" s="154">
        <v>0</v>
      </c>
      <c r="R37" s="154">
        <v>0</v>
      </c>
      <c r="S37" s="151">
        <v>0.1</v>
      </c>
      <c r="T37" s="155">
        <f t="shared" si="15"/>
        <v>0.5</v>
      </c>
      <c r="U37" s="155">
        <v>0.3333333333333333</v>
      </c>
      <c r="V37" s="155">
        <f t="shared" si="12"/>
        <v>0.16666666666666666</v>
      </c>
      <c r="W37" s="156">
        <f t="shared" si="13"/>
        <v>0</v>
      </c>
      <c r="X37" s="156">
        <f t="shared" si="14"/>
        <v>0</v>
      </c>
      <c r="Y37" s="157">
        <f t="shared" si="5"/>
        <v>0</v>
      </c>
    </row>
    <row r="38" spans="3:25" ht="12.75">
      <c r="C38" s="158" t="s">
        <v>639</v>
      </c>
      <c r="D38" s="158" t="s">
        <v>629</v>
      </c>
      <c r="E38" s="158" t="s">
        <v>643</v>
      </c>
      <c r="F38" s="158" t="s">
        <v>50</v>
      </c>
      <c r="G38" s="159" t="s">
        <v>706</v>
      </c>
      <c r="H38" s="158">
        <v>24</v>
      </c>
      <c r="I38" s="158">
        <v>3</v>
      </c>
      <c r="J38" s="158" t="s">
        <v>83</v>
      </c>
      <c r="K38" s="144">
        <f t="shared" si="9"/>
        <v>500</v>
      </c>
      <c r="L38" s="144" t="str">
        <f t="shared" si="10"/>
        <v>1000pF</v>
      </c>
      <c r="M38" s="144" t="str">
        <f t="shared" si="11"/>
        <v>0.08uH</v>
      </c>
      <c r="N38" s="146">
        <f>+MAX_I_BOLSIG</f>
        <v>1E-09</v>
      </c>
      <c r="O38" s="146">
        <f>+AVG_I_BOLSIG</f>
        <v>5E-10</v>
      </c>
      <c r="P38" s="147">
        <v>0</v>
      </c>
      <c r="Q38" s="147">
        <v>1</v>
      </c>
      <c r="R38" s="147">
        <v>0</v>
      </c>
      <c r="S38" s="158">
        <v>0.1</v>
      </c>
      <c r="T38" s="163">
        <f t="shared" si="15"/>
        <v>0.5</v>
      </c>
      <c r="U38" s="163">
        <v>0.3333333333333333</v>
      </c>
      <c r="V38" s="163">
        <f t="shared" si="12"/>
        <v>0.16666666666666666</v>
      </c>
      <c r="W38" s="160">
        <f t="shared" si="13"/>
        <v>1.2000000000000001E-14</v>
      </c>
      <c r="X38" s="160">
        <f t="shared" si="14"/>
        <v>5E-16</v>
      </c>
      <c r="Y38" s="161">
        <f t="shared" si="5"/>
        <v>5.157387100121526E-15</v>
      </c>
    </row>
    <row r="39" spans="7:25" ht="12.75">
      <c r="G39" s="145" t="s">
        <v>117</v>
      </c>
      <c r="H39" s="144">
        <v>12</v>
      </c>
      <c r="I39" s="144" t="s">
        <v>113</v>
      </c>
      <c r="K39" s="144">
        <f t="shared" si="9"/>
        <v>500</v>
      </c>
      <c r="L39" s="144" t="str">
        <f t="shared" si="10"/>
        <v>1000pF</v>
      </c>
      <c r="M39" s="144" t="str">
        <f t="shared" si="11"/>
        <v>0.08uH</v>
      </c>
      <c r="N39" s="146">
        <v>0</v>
      </c>
      <c r="O39" s="146">
        <v>0</v>
      </c>
      <c r="P39" s="147">
        <v>0</v>
      </c>
      <c r="Q39" s="147">
        <v>0</v>
      </c>
      <c r="R39" s="147">
        <v>0</v>
      </c>
      <c r="S39" s="144">
        <v>0.1</v>
      </c>
      <c r="T39" s="148">
        <f t="shared" si="15"/>
        <v>0.5</v>
      </c>
      <c r="U39" s="148">
        <v>0.3333333333333333</v>
      </c>
      <c r="V39" s="148">
        <f t="shared" si="12"/>
        <v>0.16666666666666666</v>
      </c>
      <c r="W39" s="149">
        <f t="shared" si="13"/>
        <v>0</v>
      </c>
      <c r="X39" s="149">
        <f t="shared" si="14"/>
        <v>0</v>
      </c>
      <c r="Y39" s="150">
        <f t="shared" si="5"/>
        <v>0</v>
      </c>
    </row>
    <row r="40" spans="3:25" ht="12.75">
      <c r="C40" s="158" t="s">
        <v>640</v>
      </c>
      <c r="D40" s="158" t="s">
        <v>629</v>
      </c>
      <c r="E40" s="158" t="s">
        <v>642</v>
      </c>
      <c r="F40" s="158" t="s">
        <v>50</v>
      </c>
      <c r="G40" s="159" t="s">
        <v>707</v>
      </c>
      <c r="H40" s="158">
        <v>16</v>
      </c>
      <c r="I40" s="158">
        <v>2</v>
      </c>
      <c r="J40" s="158" t="s">
        <v>83</v>
      </c>
      <c r="K40" s="158">
        <f t="shared" si="9"/>
        <v>500</v>
      </c>
      <c r="L40" s="158" t="str">
        <f t="shared" si="10"/>
        <v>1000pF</v>
      </c>
      <c r="M40" s="158" t="str">
        <f t="shared" si="11"/>
        <v>0.08uH</v>
      </c>
      <c r="N40" s="162">
        <f>+MAX_I_BOLSIG</f>
        <v>1E-09</v>
      </c>
      <c r="O40" s="162">
        <f>+AVG_I_BOLSIG</f>
        <v>5E-10</v>
      </c>
      <c r="P40" s="167">
        <v>0</v>
      </c>
      <c r="Q40" s="167">
        <v>1</v>
      </c>
      <c r="R40" s="167">
        <v>0</v>
      </c>
      <c r="S40" s="158">
        <v>0.1</v>
      </c>
      <c r="T40" s="163">
        <f t="shared" si="15"/>
        <v>0.5</v>
      </c>
      <c r="U40" s="163">
        <v>0.3333333333333333</v>
      </c>
      <c r="V40" s="163">
        <f t="shared" si="12"/>
        <v>0.16666666666666666</v>
      </c>
      <c r="W40" s="160">
        <f t="shared" si="13"/>
        <v>8E-15</v>
      </c>
      <c r="X40" s="160">
        <f t="shared" si="14"/>
        <v>3.3333333333333336E-16</v>
      </c>
      <c r="Y40" s="161">
        <f t="shared" si="5"/>
        <v>3.438258066747684E-15</v>
      </c>
    </row>
    <row r="41" spans="7:25" ht="12.75">
      <c r="G41" s="145" t="s">
        <v>117</v>
      </c>
      <c r="H41" s="144">
        <v>8</v>
      </c>
      <c r="I41" s="144" t="s">
        <v>113</v>
      </c>
      <c r="K41" s="144">
        <f t="shared" si="9"/>
        <v>500</v>
      </c>
      <c r="L41" s="144" t="str">
        <f t="shared" si="10"/>
        <v>1000pF</v>
      </c>
      <c r="M41" s="144" t="str">
        <f t="shared" si="11"/>
        <v>0.08uH</v>
      </c>
      <c r="N41" s="146">
        <v>0</v>
      </c>
      <c r="O41" s="146">
        <v>0</v>
      </c>
      <c r="P41" s="147">
        <v>0</v>
      </c>
      <c r="Q41" s="147">
        <v>0</v>
      </c>
      <c r="R41" s="147">
        <v>0</v>
      </c>
      <c r="S41" s="144">
        <v>0.1</v>
      </c>
      <c r="T41" s="148">
        <f t="shared" si="15"/>
        <v>0.5</v>
      </c>
      <c r="U41" s="148">
        <v>0.3333333333333333</v>
      </c>
      <c r="V41" s="148">
        <f t="shared" si="12"/>
        <v>0.16666666666666666</v>
      </c>
      <c r="W41" s="149">
        <f t="shared" si="13"/>
        <v>0</v>
      </c>
      <c r="X41" s="149">
        <f t="shared" si="14"/>
        <v>0</v>
      </c>
      <c r="Y41" s="150">
        <f t="shared" si="5"/>
        <v>0</v>
      </c>
    </row>
    <row r="42" spans="1:31" s="187" customFormat="1" ht="26.25" thickBot="1">
      <c r="A42" s="177"/>
      <c r="B42" s="178"/>
      <c r="C42" s="178"/>
      <c r="D42" s="179"/>
      <c r="E42" s="179"/>
      <c r="F42" s="179"/>
      <c r="G42" s="179" t="s">
        <v>710</v>
      </c>
      <c r="H42" s="178"/>
      <c r="I42" s="178"/>
      <c r="J42" s="180" t="s">
        <v>711</v>
      </c>
      <c r="K42" s="178">
        <v>50</v>
      </c>
      <c r="L42" s="178"/>
      <c r="M42" s="178" t="s">
        <v>712</v>
      </c>
      <c r="N42" s="181"/>
      <c r="O42" s="181"/>
      <c r="P42" s="182"/>
      <c r="Q42" s="182"/>
      <c r="R42" s="182"/>
      <c r="S42" s="178" t="s">
        <v>103</v>
      </c>
      <c r="T42" s="183"/>
      <c r="U42" s="183"/>
      <c r="V42" s="183"/>
      <c r="W42" s="184"/>
      <c r="X42" s="184"/>
      <c r="Y42" s="185">
        <f t="shared" si="5"/>
        <v>0</v>
      </c>
      <c r="Z42" s="186"/>
      <c r="AA42" s="186"/>
      <c r="AB42" s="186"/>
      <c r="AC42" s="186"/>
      <c r="AD42" s="186"/>
      <c r="AE42" s="186"/>
    </row>
    <row r="43" spans="1:31" s="49" customFormat="1" ht="13.5" thickTop="1">
      <c r="A43" s="143" t="s">
        <v>70</v>
      </c>
      <c r="B43" s="144"/>
      <c r="C43" s="144" t="s">
        <v>647</v>
      </c>
      <c r="D43" s="144" t="s">
        <v>516</v>
      </c>
      <c r="E43" s="144" t="s">
        <v>633</v>
      </c>
      <c r="F43" s="144" t="s">
        <v>56</v>
      </c>
      <c r="G43" s="145" t="s">
        <v>432</v>
      </c>
      <c r="H43" s="144">
        <v>12</v>
      </c>
      <c r="I43" s="144">
        <v>6</v>
      </c>
      <c r="J43" s="144" t="s">
        <v>261</v>
      </c>
      <c r="K43" s="144">
        <f>+RC_JFET_BIAS</f>
        <v>100</v>
      </c>
      <c r="L43" s="144" t="str">
        <f>+CC_JFET_BIAS</f>
        <v>1000pF</v>
      </c>
      <c r="M43" s="144" t="str">
        <f>+LC_JFET_BIAS</f>
        <v>0.08uH</v>
      </c>
      <c r="N43" s="146">
        <f>+MAX_I_PSWJFET</f>
        <v>0.005</v>
      </c>
      <c r="O43" s="146">
        <f>+AVG_I_PSWJFET</f>
        <v>0.0012000000000000001</v>
      </c>
      <c r="P43" s="147">
        <v>1</v>
      </c>
      <c r="Q43" s="147">
        <v>0</v>
      </c>
      <c r="R43" s="147">
        <v>0</v>
      </c>
      <c r="S43" s="144">
        <v>10</v>
      </c>
      <c r="T43" s="148">
        <f>+DC_PHOT</f>
        <v>0.5</v>
      </c>
      <c r="U43" s="148">
        <v>0.3333333333333333</v>
      </c>
      <c r="V43" s="148">
        <f aca="true" t="shared" si="16" ref="V43:V51">+U43*T43</f>
        <v>0.16666666666666666</v>
      </c>
      <c r="W43" s="149">
        <f>+N43^2*K43*H43</f>
        <v>0.03</v>
      </c>
      <c r="X43" s="149">
        <f aca="true" t="shared" si="17" ref="X43:X66">+O43^2*K43*V43*H43</f>
        <v>0.00028800000000000006</v>
      </c>
      <c r="Y43" s="150">
        <f t="shared" si="5"/>
        <v>0.0029706549696699998</v>
      </c>
      <c r="Z43" s="48"/>
      <c r="AA43" s="48"/>
      <c r="AB43" s="48"/>
      <c r="AC43" s="48"/>
      <c r="AD43" s="48"/>
      <c r="AE43" s="48"/>
    </row>
    <row r="44" spans="7:25" ht="12.75">
      <c r="G44" s="145" t="s">
        <v>436</v>
      </c>
      <c r="H44" s="144">
        <v>1</v>
      </c>
      <c r="I44" s="144">
        <v>0</v>
      </c>
      <c r="J44" s="144" t="s">
        <v>196</v>
      </c>
      <c r="K44" s="144">
        <f>+RC_GND</f>
        <v>50</v>
      </c>
      <c r="L44" s="144" t="str">
        <f>+CC_GND</f>
        <v>1000pF</v>
      </c>
      <c r="M44" s="144" t="str">
        <f>+LC_GND</f>
        <v>0.08uH</v>
      </c>
      <c r="N44" s="144">
        <v>0</v>
      </c>
      <c r="O44" s="147">
        <v>0</v>
      </c>
      <c r="P44" s="147">
        <v>0</v>
      </c>
      <c r="Q44" s="147">
        <v>0</v>
      </c>
      <c r="R44" s="147">
        <v>0</v>
      </c>
      <c r="S44" s="144">
        <v>10</v>
      </c>
      <c r="T44" s="148">
        <f>+DC_PHOT</f>
        <v>0.5</v>
      </c>
      <c r="U44" s="148">
        <v>0.3333333333333333</v>
      </c>
      <c r="V44" s="148">
        <f>+U44*T44</f>
        <v>0.16666666666666666</v>
      </c>
      <c r="W44" s="149">
        <f>+N44^2*K44*H44</f>
        <v>0</v>
      </c>
      <c r="X44" s="149">
        <f t="shared" si="17"/>
        <v>0</v>
      </c>
      <c r="Y44" s="150">
        <f t="shared" si="5"/>
        <v>0</v>
      </c>
    </row>
    <row r="45" spans="7:25" ht="12.75">
      <c r="G45" s="145" t="s">
        <v>440</v>
      </c>
      <c r="H45" s="144">
        <v>6</v>
      </c>
      <c r="I45" s="144">
        <v>3</v>
      </c>
      <c r="J45" s="144" t="s">
        <v>261</v>
      </c>
      <c r="K45" s="144">
        <f>+RC_BOL_BIAS</f>
        <v>200</v>
      </c>
      <c r="L45" s="144" t="str">
        <f>+CC_BOL_BIAS</f>
        <v>1000pF</v>
      </c>
      <c r="M45" s="144" t="str">
        <f>+LC_BOL_BIAS</f>
        <v>0.08uH</v>
      </c>
      <c r="N45" s="146">
        <f>+MAX_I_PSWBIAS</f>
        <v>3.8400000000000005E-07</v>
      </c>
      <c r="O45" s="146">
        <f>+AVG_I_PSWBIAS</f>
        <v>9.600000000000001E-08</v>
      </c>
      <c r="P45" s="147">
        <v>1</v>
      </c>
      <c r="Q45" s="147">
        <v>0</v>
      </c>
      <c r="R45" s="147">
        <v>0</v>
      </c>
      <c r="S45" s="144">
        <v>10</v>
      </c>
      <c r="T45" s="148">
        <f>+DC_SPECT</f>
        <v>0.5</v>
      </c>
      <c r="U45" s="148">
        <v>0.3333333333333333</v>
      </c>
      <c r="V45" s="148">
        <f>+U45*T45</f>
        <v>0.16666666666666666</v>
      </c>
      <c r="W45" s="149">
        <f>+N45^2*K45*H45</f>
        <v>1.7694720000000003E-10</v>
      </c>
      <c r="X45" s="149">
        <f t="shared" si="17"/>
        <v>1.8432E-12</v>
      </c>
      <c r="Y45" s="150">
        <f t="shared" si="5"/>
        <v>1.9012191805887994E-11</v>
      </c>
    </row>
    <row r="46" spans="7:25" ht="12.75">
      <c r="G46" s="145" t="s">
        <v>444</v>
      </c>
      <c r="H46" s="144">
        <v>6</v>
      </c>
      <c r="I46" s="144">
        <v>3</v>
      </c>
      <c r="J46" s="144" t="s">
        <v>261</v>
      </c>
      <c r="K46" s="144">
        <f>+RC_JFET_HEAT</f>
        <v>200</v>
      </c>
      <c r="L46" s="144" t="str">
        <f>+CC_JFET_HEAT</f>
        <v>1000pF</v>
      </c>
      <c r="M46" s="144" t="str">
        <f>+LC_JFET_HEAT</f>
        <v>0.08uH</v>
      </c>
      <c r="N46" s="146">
        <f>+MAX_I_PSWHEAT</f>
        <v>0.003846153846153847</v>
      </c>
      <c r="O46" s="146">
        <f>+AVG_I_PSWHEAT</f>
        <v>0.0009615384615384617</v>
      </c>
      <c r="P46" s="147">
        <v>0</v>
      </c>
      <c r="Q46" s="147">
        <v>0</v>
      </c>
      <c r="R46" s="147">
        <v>0</v>
      </c>
      <c r="S46" s="144">
        <v>10</v>
      </c>
      <c r="T46" s="165">
        <f>+DC_P_HEAT</f>
        <v>0.001736111111111111</v>
      </c>
      <c r="U46" s="148">
        <v>0.3333333333333333</v>
      </c>
      <c r="V46" s="148">
        <f>+U46*T46</f>
        <v>0.0005787037037037037</v>
      </c>
      <c r="W46" s="149">
        <f>+N46^2*K46*H46</f>
        <v>0.017751479289940832</v>
      </c>
      <c r="X46" s="149">
        <f t="shared" si="17"/>
        <v>6.42052925706772E-07</v>
      </c>
      <c r="Y46" s="150">
        <f t="shared" si="5"/>
        <v>6.622630953270781E-06</v>
      </c>
    </row>
    <row r="47" spans="1:25" ht="12.75">
      <c r="A47" s="168"/>
      <c r="C47" s="158" t="s">
        <v>648</v>
      </c>
      <c r="D47" s="158" t="s">
        <v>516</v>
      </c>
      <c r="E47" s="158" t="s">
        <v>634</v>
      </c>
      <c r="F47" s="158" t="s">
        <v>56</v>
      </c>
      <c r="G47" s="159" t="s">
        <v>448</v>
      </c>
      <c r="H47" s="158">
        <v>8</v>
      </c>
      <c r="I47" s="158">
        <v>4</v>
      </c>
      <c r="J47" s="158" t="s">
        <v>261</v>
      </c>
      <c r="K47" s="158">
        <f>+RC_JFET_BIAS</f>
        <v>100</v>
      </c>
      <c r="L47" s="158" t="str">
        <f>+CC_JFET_BIAS</f>
        <v>1000pF</v>
      </c>
      <c r="M47" s="158" t="str">
        <f>+LC_JFET_BIAS</f>
        <v>0.08uH</v>
      </c>
      <c r="N47" s="162">
        <f>+MAX_I_PMWJFET</f>
        <v>0.005</v>
      </c>
      <c r="O47" s="162">
        <f>+AVG_I_PMWJFET</f>
        <v>0.0012000000000000001</v>
      </c>
      <c r="P47" s="167">
        <v>1</v>
      </c>
      <c r="Q47" s="167">
        <v>0</v>
      </c>
      <c r="R47" s="167">
        <v>0</v>
      </c>
      <c r="S47" s="158">
        <v>10</v>
      </c>
      <c r="T47" s="163">
        <v>0.5</v>
      </c>
      <c r="U47" s="163">
        <v>0.3333333333333333</v>
      </c>
      <c r="V47" s="163">
        <f t="shared" si="16"/>
        <v>0.16666666666666666</v>
      </c>
      <c r="W47" s="160">
        <f aca="true" t="shared" si="18" ref="W47:W58">+N47^2*K47*H47</f>
        <v>0.02</v>
      </c>
      <c r="X47" s="160">
        <f t="shared" si="17"/>
        <v>0.00019200000000000003</v>
      </c>
      <c r="Y47" s="161">
        <f t="shared" si="5"/>
        <v>0.0019804366464466665</v>
      </c>
    </row>
    <row r="48" spans="1:25" ht="12.75">
      <c r="A48" s="168"/>
      <c r="G48" s="145" t="s">
        <v>449</v>
      </c>
      <c r="H48" s="144">
        <v>4</v>
      </c>
      <c r="I48" s="144">
        <v>2</v>
      </c>
      <c r="J48" s="144" t="s">
        <v>261</v>
      </c>
      <c r="K48" s="144">
        <f>+RC_BOL_BIAS</f>
        <v>200</v>
      </c>
      <c r="L48" s="144" t="str">
        <f>+CC_BOL_BIAS</f>
        <v>1000pF</v>
      </c>
      <c r="M48" s="144" t="str">
        <f>+LC_BOL_BIAS</f>
        <v>0.08uH</v>
      </c>
      <c r="N48" s="146">
        <f>+MAX_I_PMWBIAS</f>
        <v>3.8400000000000005E-07</v>
      </c>
      <c r="O48" s="146">
        <f>+AVG_I_PMWBIAS</f>
        <v>9.600000000000001E-08</v>
      </c>
      <c r="P48" s="147">
        <v>1</v>
      </c>
      <c r="Q48" s="147">
        <v>0</v>
      </c>
      <c r="R48" s="147">
        <v>0</v>
      </c>
      <c r="S48" s="144">
        <v>10</v>
      </c>
      <c r="T48" s="148">
        <f>+DC_SPECT</f>
        <v>0.5</v>
      </c>
      <c r="U48" s="148">
        <v>0.3333333333333333</v>
      </c>
      <c r="V48" s="148">
        <f t="shared" si="16"/>
        <v>0.16666666666666666</v>
      </c>
      <c r="W48" s="149">
        <f t="shared" si="18"/>
        <v>1.1796480000000003E-10</v>
      </c>
      <c r="X48" s="149">
        <f t="shared" si="17"/>
        <v>1.2288000000000002E-12</v>
      </c>
      <c r="Y48" s="150">
        <f aca="true" t="shared" si="19" ref="Y48:Y53">+X48/$X$189</f>
        <v>1.2674794537258664E-11</v>
      </c>
    </row>
    <row r="49" spans="1:25" ht="12.75">
      <c r="A49" s="168"/>
      <c r="G49" s="145" t="s">
        <v>450</v>
      </c>
      <c r="H49" s="144">
        <v>1</v>
      </c>
      <c r="I49" s="144">
        <v>0</v>
      </c>
      <c r="J49" s="144" t="s">
        <v>196</v>
      </c>
      <c r="K49" s="144">
        <f>+RC_GND</f>
        <v>50</v>
      </c>
      <c r="L49" s="144" t="str">
        <f>+CC_GND</f>
        <v>1000pF</v>
      </c>
      <c r="M49" s="144" t="str">
        <f>+LC_GND</f>
        <v>0.08uH</v>
      </c>
      <c r="N49" s="164">
        <v>0</v>
      </c>
      <c r="O49" s="164">
        <v>0</v>
      </c>
      <c r="P49" s="147">
        <v>0</v>
      </c>
      <c r="Q49" s="147">
        <v>0</v>
      </c>
      <c r="R49" s="147">
        <v>0</v>
      </c>
      <c r="S49" s="144">
        <v>10</v>
      </c>
      <c r="T49" s="148">
        <f>+DC_PHOT</f>
        <v>0.5</v>
      </c>
      <c r="U49" s="148">
        <v>0.3333333333333333</v>
      </c>
      <c r="V49" s="148">
        <f t="shared" si="16"/>
        <v>0.16666666666666666</v>
      </c>
      <c r="W49" s="149">
        <f t="shared" si="18"/>
        <v>0</v>
      </c>
      <c r="X49" s="149">
        <f t="shared" si="17"/>
        <v>0</v>
      </c>
      <c r="Y49" s="150">
        <f t="shared" si="19"/>
        <v>0</v>
      </c>
    </row>
    <row r="50" spans="1:25" ht="12.75">
      <c r="A50" s="168"/>
      <c r="G50" s="145" t="s">
        <v>451</v>
      </c>
      <c r="H50" s="144">
        <v>4</v>
      </c>
      <c r="I50" s="144">
        <v>2</v>
      </c>
      <c r="J50" s="144" t="s">
        <v>261</v>
      </c>
      <c r="K50" s="144">
        <f>+RC_JFET_HEAT</f>
        <v>200</v>
      </c>
      <c r="L50" s="144" t="str">
        <f>+CC_JFET_HEAT</f>
        <v>1000pF</v>
      </c>
      <c r="M50" s="144" t="str">
        <f>+LC_JFET_HEAT</f>
        <v>0.08uH</v>
      </c>
      <c r="N50" s="146">
        <f>+MAX_I_PMWHEAT</f>
        <v>0.0038461538461538464</v>
      </c>
      <c r="O50" s="146">
        <f>+AVG_I_PMWHEAT</f>
        <v>0.0009615384615384616</v>
      </c>
      <c r="P50" s="147">
        <v>0</v>
      </c>
      <c r="Q50" s="147">
        <v>0</v>
      </c>
      <c r="R50" s="147">
        <v>0</v>
      </c>
      <c r="S50" s="144">
        <v>10</v>
      </c>
      <c r="T50" s="165">
        <f>+DC_P_HEAT</f>
        <v>0.001736111111111111</v>
      </c>
      <c r="U50" s="148">
        <v>0.3333333333333333</v>
      </c>
      <c r="V50" s="148">
        <f t="shared" si="16"/>
        <v>0.0005787037037037037</v>
      </c>
      <c r="W50" s="149">
        <f t="shared" si="18"/>
        <v>0.01183431952662722</v>
      </c>
      <c r="X50" s="149">
        <f t="shared" si="17"/>
        <v>4.280352838045146E-07</v>
      </c>
      <c r="Y50" s="150">
        <f t="shared" si="19"/>
        <v>4.41508730218052E-06</v>
      </c>
    </row>
    <row r="51" spans="1:25" ht="12.75">
      <c r="A51" s="168"/>
      <c r="G51" s="145" t="s">
        <v>452</v>
      </c>
      <c r="H51" s="144">
        <v>2</v>
      </c>
      <c r="I51" s="144">
        <v>1</v>
      </c>
      <c r="J51" s="144" t="s">
        <v>261</v>
      </c>
      <c r="K51" s="144">
        <f>+RC_JFET_HEAT</f>
        <v>200</v>
      </c>
      <c r="L51" s="144" t="str">
        <f>+CC_JFET_HEAT</f>
        <v>1000pF</v>
      </c>
      <c r="M51" s="144" t="str">
        <f>+LC_JFET_HEAT</f>
        <v>0.08uH</v>
      </c>
      <c r="N51" s="146">
        <f>+MAX_I_PLWHEAT</f>
        <v>0.0038461538461538464</v>
      </c>
      <c r="O51" s="146">
        <f>+AVG_I_PLWHEAT</f>
        <v>0.0009615384615384616</v>
      </c>
      <c r="P51" s="147">
        <v>0</v>
      </c>
      <c r="Q51" s="147">
        <v>0</v>
      </c>
      <c r="R51" s="147">
        <v>0</v>
      </c>
      <c r="S51" s="144">
        <v>10</v>
      </c>
      <c r="T51" s="165">
        <f>+DC_P_HEAT</f>
        <v>0.001736111111111111</v>
      </c>
      <c r="U51" s="148">
        <v>0.3333333333333333</v>
      </c>
      <c r="V51" s="148">
        <f t="shared" si="16"/>
        <v>0.0005787037037037037</v>
      </c>
      <c r="W51" s="149">
        <f t="shared" si="18"/>
        <v>0.00591715976331361</v>
      </c>
      <c r="X51" s="149">
        <f t="shared" si="17"/>
        <v>2.140176419022573E-07</v>
      </c>
      <c r="Y51" s="150">
        <f t="shared" si="19"/>
        <v>2.20754365109026E-06</v>
      </c>
    </row>
    <row r="52" spans="1:25" ht="12.75">
      <c r="A52" s="168"/>
      <c r="G52" s="145" t="s">
        <v>453</v>
      </c>
      <c r="H52" s="144">
        <v>4</v>
      </c>
      <c r="I52" s="144">
        <v>2</v>
      </c>
      <c r="J52" s="144" t="s">
        <v>261</v>
      </c>
      <c r="K52" s="144">
        <f>+RC_JFET_BIAS</f>
        <v>100</v>
      </c>
      <c r="L52" s="144" t="str">
        <f>+CC_JFET_BIAS</f>
        <v>1000pF</v>
      </c>
      <c r="M52" s="144" t="str">
        <f>+LC_JFET_BIAS</f>
        <v>0.08uH</v>
      </c>
      <c r="N52" s="146">
        <f>+MAX_I_PLWJFET</f>
        <v>0.005</v>
      </c>
      <c r="O52" s="146">
        <f>+AVG_I_PLWJFET</f>
        <v>0.0012000000000000001</v>
      </c>
      <c r="P52" s="147">
        <v>1</v>
      </c>
      <c r="Q52" s="147">
        <v>0</v>
      </c>
      <c r="R52" s="147">
        <v>0</v>
      </c>
      <c r="S52" s="144">
        <v>10</v>
      </c>
      <c r="T52" s="148">
        <f>+DC_PHOT</f>
        <v>0.5</v>
      </c>
      <c r="U52" s="148">
        <v>0.3333333333333333</v>
      </c>
      <c r="V52" s="148">
        <f>+U52*T52</f>
        <v>0.16666666666666666</v>
      </c>
      <c r="W52" s="149">
        <f t="shared" si="18"/>
        <v>0.01</v>
      </c>
      <c r="X52" s="149">
        <f t="shared" si="17"/>
        <v>9.600000000000002E-05</v>
      </c>
      <c r="Y52" s="150">
        <f>+X52/$X$189</f>
        <v>0.0009902183232233333</v>
      </c>
    </row>
    <row r="53" spans="1:25" ht="12.75">
      <c r="A53" s="168"/>
      <c r="G53" s="145" t="s">
        <v>454</v>
      </c>
      <c r="H53" s="144">
        <v>4</v>
      </c>
      <c r="I53" s="144">
        <v>2</v>
      </c>
      <c r="J53" s="144" t="s">
        <v>261</v>
      </c>
      <c r="K53" s="144">
        <f>+RC_BOL_BIAS</f>
        <v>200</v>
      </c>
      <c r="L53" s="144" t="str">
        <f>+CC_BOL_BIAS</f>
        <v>1000pF</v>
      </c>
      <c r="M53" s="144" t="str">
        <f>+LC_BOL_BIAS</f>
        <v>0.08uH</v>
      </c>
      <c r="N53" s="146">
        <f>+MAX_I_PLWBIAS</f>
        <v>1.9200000000000003E-07</v>
      </c>
      <c r="O53" s="146">
        <f>+AVG_I_PLWBIAS</f>
        <v>4.8000000000000006E-08</v>
      </c>
      <c r="P53" s="147">
        <v>1</v>
      </c>
      <c r="Q53" s="147">
        <v>0</v>
      </c>
      <c r="R53" s="147">
        <v>0</v>
      </c>
      <c r="S53" s="144">
        <v>10</v>
      </c>
      <c r="T53" s="148">
        <f>+DC_PHOT</f>
        <v>0.5</v>
      </c>
      <c r="U53" s="148">
        <v>0.3333333333333333</v>
      </c>
      <c r="V53" s="148">
        <f>+U53*T53</f>
        <v>0.16666666666666666</v>
      </c>
      <c r="W53" s="149">
        <f t="shared" si="18"/>
        <v>2.949120000000001E-11</v>
      </c>
      <c r="X53" s="149">
        <f t="shared" si="17"/>
        <v>3.0720000000000004E-13</v>
      </c>
      <c r="Y53" s="150">
        <f t="shared" si="19"/>
        <v>3.168698634314666E-12</v>
      </c>
    </row>
    <row r="54" spans="1:25" ht="12.75">
      <c r="A54" s="168"/>
      <c r="C54" s="151"/>
      <c r="D54" s="151"/>
      <c r="E54" s="151"/>
      <c r="F54" s="151"/>
      <c r="G54" s="152" t="s">
        <v>279</v>
      </c>
      <c r="H54" s="151">
        <v>1</v>
      </c>
      <c r="I54" s="151">
        <v>0</v>
      </c>
      <c r="J54" s="151" t="s">
        <v>196</v>
      </c>
      <c r="K54" s="151">
        <f>+RC_GND</f>
        <v>50</v>
      </c>
      <c r="L54" s="151" t="str">
        <f>+CC_GND</f>
        <v>1000pF</v>
      </c>
      <c r="M54" s="151" t="str">
        <f>+LC_GND</f>
        <v>0.08uH</v>
      </c>
      <c r="N54" s="169">
        <v>0</v>
      </c>
      <c r="O54" s="169">
        <v>0</v>
      </c>
      <c r="P54" s="154">
        <v>0</v>
      </c>
      <c r="Q54" s="154">
        <v>0</v>
      </c>
      <c r="R54" s="154">
        <v>0</v>
      </c>
      <c r="S54" s="151">
        <v>10</v>
      </c>
      <c r="T54" s="155">
        <f>+DC_PHOT</f>
        <v>0.5</v>
      </c>
      <c r="U54" s="155">
        <v>0.3333333333333333</v>
      </c>
      <c r="V54" s="155">
        <f>+U54*T54</f>
        <v>0.16666666666666666</v>
      </c>
      <c r="W54" s="156">
        <f t="shared" si="18"/>
        <v>0</v>
      </c>
      <c r="X54" s="156">
        <f t="shared" si="17"/>
        <v>0</v>
      </c>
      <c r="Y54" s="157">
        <f aca="true" t="shared" si="20" ref="Y54:Y85">+X54/$X$189</f>
        <v>0</v>
      </c>
    </row>
    <row r="55" spans="3:25" ht="12.75">
      <c r="C55" s="144" t="s">
        <v>649</v>
      </c>
      <c r="D55" s="144" t="s">
        <v>516</v>
      </c>
      <c r="E55" s="158" t="s">
        <v>635</v>
      </c>
      <c r="F55" s="144" t="s">
        <v>56</v>
      </c>
      <c r="G55" s="145" t="s">
        <v>432</v>
      </c>
      <c r="H55" s="144">
        <v>12</v>
      </c>
      <c r="I55" s="144">
        <v>6</v>
      </c>
      <c r="J55" s="144" t="s">
        <v>261</v>
      </c>
      <c r="K55" s="144">
        <f>+RC_JFET_BIAS</f>
        <v>100</v>
      </c>
      <c r="L55" s="144" t="str">
        <f>+CC_JFET_BIAS</f>
        <v>1000pF</v>
      </c>
      <c r="M55" s="144" t="str">
        <f>+LC_JFET_BIAS</f>
        <v>0.08uH</v>
      </c>
      <c r="N55" s="146">
        <f>+MAX_I_PSWJFET</f>
        <v>0.005</v>
      </c>
      <c r="O55" s="146">
        <f>+AVG_I_PSWJFET</f>
        <v>0.0012000000000000001</v>
      </c>
      <c r="P55" s="147">
        <v>0</v>
      </c>
      <c r="Q55" s="147">
        <v>0</v>
      </c>
      <c r="R55" s="147">
        <v>0</v>
      </c>
      <c r="S55" s="144">
        <v>10</v>
      </c>
      <c r="T55" s="148">
        <f>+DC_PHOT</f>
        <v>0.5</v>
      </c>
      <c r="U55" s="148">
        <v>0.3333333333333333</v>
      </c>
      <c r="V55" s="148">
        <f aca="true" t="shared" si="21" ref="V55:V66">+U55*T55</f>
        <v>0.16666666666666666</v>
      </c>
      <c r="W55" s="149">
        <f t="shared" si="18"/>
        <v>0.03</v>
      </c>
      <c r="X55" s="149">
        <f t="shared" si="17"/>
        <v>0.00028800000000000006</v>
      </c>
      <c r="Y55" s="150">
        <f t="shared" si="20"/>
        <v>0.0029706549696699998</v>
      </c>
    </row>
    <row r="56" spans="7:25" ht="12.75">
      <c r="G56" s="145" t="s">
        <v>436</v>
      </c>
      <c r="H56" s="144">
        <v>1</v>
      </c>
      <c r="I56" s="144">
        <v>0</v>
      </c>
      <c r="J56" s="144" t="s">
        <v>196</v>
      </c>
      <c r="K56" s="144">
        <f>+RC_GND</f>
        <v>50</v>
      </c>
      <c r="L56" s="144" t="str">
        <f>+CC_GND</f>
        <v>1000pF</v>
      </c>
      <c r="M56" s="144" t="str">
        <f>+LC_GND</f>
        <v>0.08uH</v>
      </c>
      <c r="N56" s="144">
        <v>0</v>
      </c>
      <c r="O56" s="146">
        <v>0</v>
      </c>
      <c r="P56" s="147">
        <v>0</v>
      </c>
      <c r="Q56" s="147">
        <v>0</v>
      </c>
      <c r="R56" s="147">
        <v>0</v>
      </c>
      <c r="S56" s="144">
        <v>10</v>
      </c>
      <c r="T56" s="148">
        <f>+DC_PHOT</f>
        <v>0.5</v>
      </c>
      <c r="U56" s="148">
        <v>0.3333333333333333</v>
      </c>
      <c r="V56" s="148">
        <f t="shared" si="21"/>
        <v>0.16666666666666666</v>
      </c>
      <c r="W56" s="149">
        <f t="shared" si="18"/>
        <v>0</v>
      </c>
      <c r="X56" s="149">
        <f t="shared" si="17"/>
        <v>0</v>
      </c>
      <c r="Y56" s="150">
        <f t="shared" si="20"/>
        <v>0</v>
      </c>
    </row>
    <row r="57" spans="7:25" ht="12.75">
      <c r="G57" s="145" t="s">
        <v>440</v>
      </c>
      <c r="H57" s="144">
        <v>6</v>
      </c>
      <c r="I57" s="144">
        <v>3</v>
      </c>
      <c r="J57" s="144" t="s">
        <v>261</v>
      </c>
      <c r="K57" s="144">
        <f>+RC_BOL_BIAS</f>
        <v>200</v>
      </c>
      <c r="L57" s="144" t="str">
        <f>+CC_BOL_BIAS</f>
        <v>1000pF</v>
      </c>
      <c r="M57" s="144" t="str">
        <f>+LC_BOL_BIAS</f>
        <v>0.08uH</v>
      </c>
      <c r="N57" s="146">
        <f>+MAX_I_PSWBIAS</f>
        <v>3.8400000000000005E-07</v>
      </c>
      <c r="O57" s="146">
        <f>+AVG_I_PSWBIAS</f>
        <v>9.600000000000001E-08</v>
      </c>
      <c r="P57" s="147">
        <v>0</v>
      </c>
      <c r="Q57" s="147">
        <v>0</v>
      </c>
      <c r="R57" s="147">
        <v>0</v>
      </c>
      <c r="S57" s="144">
        <v>10</v>
      </c>
      <c r="T57" s="148">
        <f>+DC_SPECT</f>
        <v>0.5</v>
      </c>
      <c r="U57" s="148">
        <v>0.3333333333333333</v>
      </c>
      <c r="V57" s="148">
        <f t="shared" si="21"/>
        <v>0.16666666666666666</v>
      </c>
      <c r="W57" s="149">
        <f t="shared" si="18"/>
        <v>1.7694720000000003E-10</v>
      </c>
      <c r="X57" s="149">
        <f t="shared" si="17"/>
        <v>1.8432E-12</v>
      </c>
      <c r="Y57" s="150">
        <f t="shared" si="20"/>
        <v>1.9012191805887994E-11</v>
      </c>
    </row>
    <row r="58" spans="3:25" ht="12.75">
      <c r="C58" s="151"/>
      <c r="D58" s="151"/>
      <c r="E58" s="151"/>
      <c r="F58" s="151"/>
      <c r="G58" s="152" t="s">
        <v>444</v>
      </c>
      <c r="H58" s="151">
        <v>6</v>
      </c>
      <c r="I58" s="151">
        <v>3</v>
      </c>
      <c r="J58" s="151" t="s">
        <v>261</v>
      </c>
      <c r="K58" s="151">
        <f>+RC_JFET_HEAT</f>
        <v>200</v>
      </c>
      <c r="L58" s="151" t="str">
        <f>+CC_JFET_HEAT</f>
        <v>1000pF</v>
      </c>
      <c r="M58" s="151" t="str">
        <f>+LC_JFET_HEAT</f>
        <v>0.08uH</v>
      </c>
      <c r="N58" s="153">
        <f>+MAX_I_PSWHEAT</f>
        <v>0.003846153846153847</v>
      </c>
      <c r="O58" s="153">
        <f>+AVG_I_PSWHEAT</f>
        <v>0.0009615384615384617</v>
      </c>
      <c r="P58" s="154">
        <v>0</v>
      </c>
      <c r="Q58" s="154">
        <v>0</v>
      </c>
      <c r="R58" s="154">
        <v>0</v>
      </c>
      <c r="S58" s="151">
        <v>10</v>
      </c>
      <c r="T58" s="166">
        <f>+DC_P_HEAT</f>
        <v>0.001736111111111111</v>
      </c>
      <c r="U58" s="155">
        <v>0.3333333333333333</v>
      </c>
      <c r="V58" s="155">
        <f t="shared" si="21"/>
        <v>0.0005787037037037037</v>
      </c>
      <c r="W58" s="156">
        <f t="shared" si="18"/>
        <v>0.017751479289940832</v>
      </c>
      <c r="X58" s="156">
        <f t="shared" si="17"/>
        <v>6.42052925706772E-07</v>
      </c>
      <c r="Y58" s="157">
        <f t="shared" si="20"/>
        <v>6.622630953270781E-06</v>
      </c>
    </row>
    <row r="59" spans="3:25" ht="12.75">
      <c r="C59" s="144" t="s">
        <v>650</v>
      </c>
      <c r="D59" s="144" t="s">
        <v>516</v>
      </c>
      <c r="E59" s="144" t="s">
        <v>636</v>
      </c>
      <c r="F59" s="144" t="s">
        <v>56</v>
      </c>
      <c r="G59" s="145" t="s">
        <v>448</v>
      </c>
      <c r="H59" s="144">
        <v>8</v>
      </c>
      <c r="I59" s="144">
        <v>4</v>
      </c>
      <c r="J59" s="144" t="s">
        <v>261</v>
      </c>
      <c r="K59" s="144">
        <f>+RC_JFET_BIAS</f>
        <v>100</v>
      </c>
      <c r="L59" s="144" t="str">
        <f>+CC_JFET_BIAS</f>
        <v>1000pF</v>
      </c>
      <c r="M59" s="144" t="str">
        <f>+LC_JFET_BIAS</f>
        <v>0.08uH</v>
      </c>
      <c r="N59" s="146">
        <f>+MAX_I_PMWJFET</f>
        <v>0.005</v>
      </c>
      <c r="O59" s="146">
        <f>+AVG_I_PMWJFET</f>
        <v>0.0012000000000000001</v>
      </c>
      <c r="P59" s="147">
        <v>0</v>
      </c>
      <c r="Q59" s="147">
        <v>0</v>
      </c>
      <c r="R59" s="147">
        <v>0</v>
      </c>
      <c r="S59" s="144">
        <v>10</v>
      </c>
      <c r="T59" s="148">
        <v>0.5</v>
      </c>
      <c r="U59" s="148">
        <v>0.3333333333333333</v>
      </c>
      <c r="V59" s="148">
        <f t="shared" si="21"/>
        <v>0.16666666666666666</v>
      </c>
      <c r="W59" s="149">
        <f aca="true" t="shared" si="22" ref="W59:W66">+N59^2*K59*H59</f>
        <v>0.02</v>
      </c>
      <c r="X59" s="149">
        <f t="shared" si="17"/>
        <v>0.00019200000000000003</v>
      </c>
      <c r="Y59" s="150">
        <f t="shared" si="20"/>
        <v>0.0019804366464466665</v>
      </c>
    </row>
    <row r="60" spans="7:25" ht="12.75">
      <c r="G60" s="145" t="s">
        <v>449</v>
      </c>
      <c r="H60" s="144">
        <v>4</v>
      </c>
      <c r="I60" s="144">
        <v>2</v>
      </c>
      <c r="J60" s="144" t="s">
        <v>261</v>
      </c>
      <c r="K60" s="144">
        <f>+RC_BOL_BIAS</f>
        <v>200</v>
      </c>
      <c r="L60" s="144" t="str">
        <f>+CC_BOL_BIAS</f>
        <v>1000pF</v>
      </c>
      <c r="M60" s="144" t="str">
        <f>+LC_BOL_BIAS</f>
        <v>0.08uH</v>
      </c>
      <c r="N60" s="146">
        <f>+MAX_I_PMWBIAS</f>
        <v>3.8400000000000005E-07</v>
      </c>
      <c r="O60" s="146">
        <f>+AVG_I_PMWBIAS</f>
        <v>9.600000000000001E-08</v>
      </c>
      <c r="P60" s="147">
        <v>0</v>
      </c>
      <c r="Q60" s="147">
        <v>0</v>
      </c>
      <c r="R60" s="147">
        <v>0</v>
      </c>
      <c r="S60" s="144">
        <v>10</v>
      </c>
      <c r="T60" s="148">
        <f>+DC_SPECT</f>
        <v>0.5</v>
      </c>
      <c r="U60" s="148">
        <v>0.3333333333333333</v>
      </c>
      <c r="V60" s="148">
        <f t="shared" si="21"/>
        <v>0.16666666666666666</v>
      </c>
      <c r="W60" s="149">
        <f t="shared" si="22"/>
        <v>1.1796480000000003E-10</v>
      </c>
      <c r="X60" s="149">
        <f t="shared" si="17"/>
        <v>1.2288000000000002E-12</v>
      </c>
      <c r="Y60" s="150">
        <f t="shared" si="20"/>
        <v>1.2674794537258664E-11</v>
      </c>
    </row>
    <row r="61" spans="7:25" ht="12.75">
      <c r="G61" s="145" t="s">
        <v>450</v>
      </c>
      <c r="H61" s="144">
        <v>1</v>
      </c>
      <c r="I61" s="144">
        <v>0</v>
      </c>
      <c r="J61" s="144" t="s">
        <v>196</v>
      </c>
      <c r="K61" s="144">
        <f>+RC_GND</f>
        <v>50</v>
      </c>
      <c r="L61" s="144" t="str">
        <f>+CC_GND</f>
        <v>1000pF</v>
      </c>
      <c r="M61" s="144" t="str">
        <f>+LC_GND</f>
        <v>0.08uH</v>
      </c>
      <c r="N61" s="146">
        <v>0</v>
      </c>
      <c r="O61" s="146">
        <v>0</v>
      </c>
      <c r="P61" s="147">
        <v>0</v>
      </c>
      <c r="Q61" s="147">
        <v>0</v>
      </c>
      <c r="R61" s="147">
        <v>0</v>
      </c>
      <c r="S61" s="144">
        <v>10</v>
      </c>
      <c r="T61" s="148">
        <f>+DC_PHOT</f>
        <v>0.5</v>
      </c>
      <c r="U61" s="148">
        <v>0.3333333333333333</v>
      </c>
      <c r="V61" s="148">
        <f t="shared" si="21"/>
        <v>0.16666666666666666</v>
      </c>
      <c r="W61" s="149">
        <f t="shared" si="22"/>
        <v>0</v>
      </c>
      <c r="X61" s="149">
        <f t="shared" si="17"/>
        <v>0</v>
      </c>
      <c r="Y61" s="150">
        <f t="shared" si="20"/>
        <v>0</v>
      </c>
    </row>
    <row r="62" spans="7:25" ht="12.75">
      <c r="G62" s="145" t="s">
        <v>451</v>
      </c>
      <c r="H62" s="144">
        <v>4</v>
      </c>
      <c r="I62" s="144">
        <v>2</v>
      </c>
      <c r="J62" s="144" t="s">
        <v>261</v>
      </c>
      <c r="K62" s="144">
        <f>+RC_JFET_HEAT</f>
        <v>200</v>
      </c>
      <c r="L62" s="144" t="str">
        <f>+CC_JFET_HEAT</f>
        <v>1000pF</v>
      </c>
      <c r="M62" s="144" t="str">
        <f>+LC_JFET_HEAT</f>
        <v>0.08uH</v>
      </c>
      <c r="N62" s="146">
        <f>+MAX_I_PMWHEAT</f>
        <v>0.0038461538461538464</v>
      </c>
      <c r="O62" s="146">
        <f>+AVG_I_PMWHEAT</f>
        <v>0.0009615384615384616</v>
      </c>
      <c r="P62" s="147">
        <v>0</v>
      </c>
      <c r="Q62" s="147">
        <v>0</v>
      </c>
      <c r="R62" s="147">
        <v>0</v>
      </c>
      <c r="S62" s="144">
        <v>10</v>
      </c>
      <c r="T62" s="148">
        <f>+DC_P_HEAT</f>
        <v>0.001736111111111111</v>
      </c>
      <c r="U62" s="148">
        <v>0.3333333333333333</v>
      </c>
      <c r="V62" s="148">
        <f t="shared" si="21"/>
        <v>0.0005787037037037037</v>
      </c>
      <c r="W62" s="149">
        <f t="shared" si="22"/>
        <v>0.01183431952662722</v>
      </c>
      <c r="X62" s="149">
        <f t="shared" si="17"/>
        <v>4.280352838045146E-07</v>
      </c>
      <c r="Y62" s="150">
        <f t="shared" si="20"/>
        <v>4.41508730218052E-06</v>
      </c>
    </row>
    <row r="63" spans="7:25" ht="12.75">
      <c r="G63" s="145" t="s">
        <v>452</v>
      </c>
      <c r="H63" s="144">
        <v>2</v>
      </c>
      <c r="I63" s="144">
        <v>1</v>
      </c>
      <c r="J63" s="144" t="s">
        <v>261</v>
      </c>
      <c r="K63" s="144">
        <f>+RC_JFET_HEAT</f>
        <v>200</v>
      </c>
      <c r="L63" s="144" t="str">
        <f>+CC_JFET_HEAT</f>
        <v>1000pF</v>
      </c>
      <c r="M63" s="144" t="str">
        <f>+LC_JFET_HEAT</f>
        <v>0.08uH</v>
      </c>
      <c r="N63" s="146">
        <f>+MAX_I_PLWHEAT</f>
        <v>0.0038461538461538464</v>
      </c>
      <c r="O63" s="146">
        <f>+AVG_I_PLWHEAT</f>
        <v>0.0009615384615384616</v>
      </c>
      <c r="P63" s="147">
        <v>0</v>
      </c>
      <c r="Q63" s="147">
        <v>0</v>
      </c>
      <c r="R63" s="147">
        <v>0</v>
      </c>
      <c r="S63" s="144">
        <v>10</v>
      </c>
      <c r="T63" s="148">
        <f>+DC_P_HEAT</f>
        <v>0.001736111111111111</v>
      </c>
      <c r="U63" s="148">
        <v>0.3333333333333333</v>
      </c>
      <c r="V63" s="148">
        <f t="shared" si="21"/>
        <v>0.0005787037037037037</v>
      </c>
      <c r="W63" s="149">
        <f t="shared" si="22"/>
        <v>0.00591715976331361</v>
      </c>
      <c r="X63" s="149">
        <f t="shared" si="17"/>
        <v>2.140176419022573E-07</v>
      </c>
      <c r="Y63" s="150">
        <f t="shared" si="20"/>
        <v>2.20754365109026E-06</v>
      </c>
    </row>
    <row r="64" spans="7:25" ht="12.75">
      <c r="G64" s="145" t="s">
        <v>453</v>
      </c>
      <c r="H64" s="144">
        <v>4</v>
      </c>
      <c r="I64" s="144">
        <v>2</v>
      </c>
      <c r="J64" s="144" t="s">
        <v>261</v>
      </c>
      <c r="K64" s="144">
        <f>+RC_JFET_BIAS</f>
        <v>100</v>
      </c>
      <c r="L64" s="144" t="str">
        <f>+CC_JFET_BIAS</f>
        <v>1000pF</v>
      </c>
      <c r="M64" s="144" t="str">
        <f>+LC_JFET_BIAS</f>
        <v>0.08uH</v>
      </c>
      <c r="N64" s="146">
        <f>+MAX_I_PLWJFET</f>
        <v>0.005</v>
      </c>
      <c r="O64" s="146">
        <f>+AVG_I_PLWJFET</f>
        <v>0.0012000000000000001</v>
      </c>
      <c r="P64" s="147">
        <v>0</v>
      </c>
      <c r="Q64" s="147">
        <v>0</v>
      </c>
      <c r="R64" s="147">
        <v>0</v>
      </c>
      <c r="S64" s="144">
        <v>10</v>
      </c>
      <c r="T64" s="148">
        <f>+DC_PHOT</f>
        <v>0.5</v>
      </c>
      <c r="U64" s="148">
        <v>0.3333333333333333</v>
      </c>
      <c r="V64" s="148">
        <f t="shared" si="21"/>
        <v>0.16666666666666666</v>
      </c>
      <c r="W64" s="149">
        <f t="shared" si="22"/>
        <v>0.01</v>
      </c>
      <c r="X64" s="149">
        <f t="shared" si="17"/>
        <v>9.600000000000002E-05</v>
      </c>
      <c r="Y64" s="150">
        <f t="shared" si="20"/>
        <v>0.0009902183232233333</v>
      </c>
    </row>
    <row r="65" spans="7:25" ht="12.75">
      <c r="G65" s="145" t="s">
        <v>454</v>
      </c>
      <c r="H65" s="144">
        <v>4</v>
      </c>
      <c r="I65" s="144">
        <v>2</v>
      </c>
      <c r="J65" s="144" t="s">
        <v>261</v>
      </c>
      <c r="K65" s="144">
        <f>+RC_BOL_BIAS</f>
        <v>200</v>
      </c>
      <c r="L65" s="144" t="str">
        <f>+CC_BOL_BIAS</f>
        <v>1000pF</v>
      </c>
      <c r="M65" s="144" t="str">
        <f>+LC_BOL_BIAS</f>
        <v>0.08uH</v>
      </c>
      <c r="N65" s="146">
        <f>+MAX_I_PLWBIAS</f>
        <v>1.9200000000000003E-07</v>
      </c>
      <c r="O65" s="146">
        <f>+AVG_I_PLWBIAS</f>
        <v>4.8000000000000006E-08</v>
      </c>
      <c r="P65" s="147">
        <v>0</v>
      </c>
      <c r="Q65" s="147">
        <v>0</v>
      </c>
      <c r="R65" s="147">
        <v>0</v>
      </c>
      <c r="S65" s="144">
        <v>10</v>
      </c>
      <c r="T65" s="148">
        <f>+DC_PHOT</f>
        <v>0.5</v>
      </c>
      <c r="U65" s="148">
        <v>0.3333333333333333</v>
      </c>
      <c r="V65" s="148">
        <f t="shared" si="21"/>
        <v>0.16666666666666666</v>
      </c>
      <c r="W65" s="149">
        <f t="shared" si="22"/>
        <v>2.949120000000001E-11</v>
      </c>
      <c r="X65" s="149">
        <f t="shared" si="17"/>
        <v>3.0720000000000004E-13</v>
      </c>
      <c r="Y65" s="150">
        <f t="shared" si="20"/>
        <v>3.168698634314666E-12</v>
      </c>
    </row>
    <row r="66" spans="7:25" ht="12.75">
      <c r="G66" s="145" t="s">
        <v>279</v>
      </c>
      <c r="H66" s="144">
        <v>1</v>
      </c>
      <c r="I66" s="144">
        <v>0</v>
      </c>
      <c r="J66" s="144" t="s">
        <v>196</v>
      </c>
      <c r="K66" s="144">
        <f>+RC_GND</f>
        <v>50</v>
      </c>
      <c r="L66" s="144" t="str">
        <f>+CC_GND</f>
        <v>1000pF</v>
      </c>
      <c r="M66" s="144" t="str">
        <f>+LC_GND</f>
        <v>0.08uH</v>
      </c>
      <c r="N66" s="146">
        <v>0</v>
      </c>
      <c r="O66" s="146">
        <v>0</v>
      </c>
      <c r="P66" s="147">
        <v>0</v>
      </c>
      <c r="Q66" s="147">
        <v>0</v>
      </c>
      <c r="R66" s="147">
        <v>0</v>
      </c>
      <c r="S66" s="144">
        <v>10</v>
      </c>
      <c r="T66" s="148">
        <f>+DC_PHOT</f>
        <v>0.5</v>
      </c>
      <c r="U66" s="148">
        <v>0.3333333333333333</v>
      </c>
      <c r="V66" s="148">
        <f t="shared" si="21"/>
        <v>0.16666666666666666</v>
      </c>
      <c r="W66" s="149">
        <f t="shared" si="22"/>
        <v>0</v>
      </c>
      <c r="X66" s="149">
        <f t="shared" si="17"/>
        <v>0</v>
      </c>
      <c r="Y66" s="150">
        <f t="shared" si="20"/>
        <v>0</v>
      </c>
    </row>
    <row r="67" spans="1:31" s="187" customFormat="1" ht="26.25" thickBot="1">
      <c r="A67" s="177"/>
      <c r="B67" s="178"/>
      <c r="C67" s="178"/>
      <c r="D67" s="179"/>
      <c r="E67" s="179"/>
      <c r="F67" s="179"/>
      <c r="G67" s="179" t="s">
        <v>710</v>
      </c>
      <c r="H67" s="178"/>
      <c r="I67" s="178"/>
      <c r="J67" s="180" t="s">
        <v>711</v>
      </c>
      <c r="K67" s="178">
        <v>50</v>
      </c>
      <c r="L67" s="178"/>
      <c r="M67" s="178" t="s">
        <v>712</v>
      </c>
      <c r="N67" s="181"/>
      <c r="O67" s="181"/>
      <c r="P67" s="182"/>
      <c r="Q67" s="182"/>
      <c r="R67" s="182"/>
      <c r="S67" s="178" t="s">
        <v>103</v>
      </c>
      <c r="T67" s="183"/>
      <c r="U67" s="183"/>
      <c r="V67" s="183"/>
      <c r="W67" s="184"/>
      <c r="X67" s="184"/>
      <c r="Y67" s="185">
        <f t="shared" si="20"/>
        <v>0</v>
      </c>
      <c r="Z67" s="186"/>
      <c r="AA67" s="186"/>
      <c r="AB67" s="186"/>
      <c r="AC67" s="186"/>
      <c r="AD67" s="186"/>
      <c r="AE67" s="186"/>
    </row>
    <row r="68" spans="1:31" s="49" customFormat="1" ht="13.5" thickTop="1">
      <c r="A68" s="143" t="s">
        <v>71</v>
      </c>
      <c r="B68" s="144" t="s">
        <v>54</v>
      </c>
      <c r="C68" s="144" t="s">
        <v>651</v>
      </c>
      <c r="D68" s="144" t="s">
        <v>629</v>
      </c>
      <c r="E68" s="144" t="s">
        <v>655</v>
      </c>
      <c r="F68" s="144" t="s">
        <v>50</v>
      </c>
      <c r="G68" s="145" t="s">
        <v>280</v>
      </c>
      <c r="H68" s="144">
        <v>24</v>
      </c>
      <c r="I68" s="144">
        <v>3</v>
      </c>
      <c r="J68" s="144" t="s">
        <v>83</v>
      </c>
      <c r="K68" s="144">
        <f aca="true" t="shared" si="23" ref="K68:K120">+RC_BOL_SIG</f>
        <v>500</v>
      </c>
      <c r="L68" s="144" t="str">
        <f aca="true" t="shared" si="24" ref="L68:L120">+CC_BOL_SIG</f>
        <v>1000pF</v>
      </c>
      <c r="M68" s="144" t="str">
        <f aca="true" t="shared" si="25" ref="M68:M120">+LC_BOL_SIG</f>
        <v>0.08uH</v>
      </c>
      <c r="N68" s="146">
        <f>+MAX_I_BOLSIG</f>
        <v>1E-09</v>
      </c>
      <c r="O68" s="146">
        <f>+AVG_I_BOLSIG</f>
        <v>5E-10</v>
      </c>
      <c r="P68" s="147">
        <v>1</v>
      </c>
      <c r="Q68" s="147">
        <v>0</v>
      </c>
      <c r="R68" s="147">
        <v>0</v>
      </c>
      <c r="S68" s="144">
        <v>0.1</v>
      </c>
      <c r="T68" s="148">
        <f>+DC_SPECT</f>
        <v>0.5</v>
      </c>
      <c r="U68" s="148">
        <v>0.3333333333333333</v>
      </c>
      <c r="V68" s="148">
        <f aca="true" t="shared" si="26" ref="V68:V74">+U68*T68</f>
        <v>0.16666666666666666</v>
      </c>
      <c r="W68" s="149">
        <f aca="true" t="shared" si="27" ref="W68:W74">+N68^2*K68*H68</f>
        <v>1.2000000000000001E-14</v>
      </c>
      <c r="X68" s="149">
        <f aca="true" t="shared" si="28" ref="X68:X75">+O68^2*K68*V68*H68</f>
        <v>5E-16</v>
      </c>
      <c r="Y68" s="150">
        <f t="shared" si="20"/>
        <v>5.157387100121526E-15</v>
      </c>
      <c r="Z68" s="48"/>
      <c r="AA68" s="48"/>
      <c r="AB68" s="48"/>
      <c r="AC68" s="48"/>
      <c r="AD68" s="48"/>
      <c r="AE68" s="48"/>
    </row>
    <row r="69" spans="3:25" ht="12.75">
      <c r="C69" s="151"/>
      <c r="D69" s="151"/>
      <c r="E69" s="151"/>
      <c r="F69" s="151"/>
      <c r="G69" s="152" t="s">
        <v>117</v>
      </c>
      <c r="H69" s="151">
        <v>12</v>
      </c>
      <c r="I69" s="151" t="s">
        <v>113</v>
      </c>
      <c r="J69" s="151"/>
      <c r="K69" s="151">
        <f t="shared" si="23"/>
        <v>500</v>
      </c>
      <c r="L69" s="151" t="str">
        <f t="shared" si="24"/>
        <v>1000pF</v>
      </c>
      <c r="M69" s="151" t="str">
        <f t="shared" si="25"/>
        <v>0.08uH</v>
      </c>
      <c r="N69" s="153">
        <v>0</v>
      </c>
      <c r="O69" s="153">
        <v>0</v>
      </c>
      <c r="P69" s="154">
        <v>0</v>
      </c>
      <c r="Q69" s="154">
        <v>0</v>
      </c>
      <c r="R69" s="154">
        <v>0</v>
      </c>
      <c r="S69" s="151">
        <v>0.1</v>
      </c>
      <c r="T69" s="155">
        <f aca="true" t="shared" si="29" ref="T69:T75">+DC_SPECT</f>
        <v>0.5</v>
      </c>
      <c r="U69" s="155">
        <v>0.3333333333333333</v>
      </c>
      <c r="V69" s="155">
        <f t="shared" si="26"/>
        <v>0.16666666666666666</v>
      </c>
      <c r="W69" s="156">
        <f t="shared" si="27"/>
        <v>0</v>
      </c>
      <c r="X69" s="156">
        <f t="shared" si="28"/>
        <v>0</v>
      </c>
      <c r="Y69" s="157">
        <f t="shared" si="20"/>
        <v>0</v>
      </c>
    </row>
    <row r="70" spans="1:25" ht="12.75">
      <c r="A70" s="143" t="s">
        <v>3</v>
      </c>
      <c r="C70" s="144" t="s">
        <v>653</v>
      </c>
      <c r="D70" s="144" t="s">
        <v>629</v>
      </c>
      <c r="E70" s="144" t="s">
        <v>656</v>
      </c>
      <c r="F70" s="144" t="s">
        <v>50</v>
      </c>
      <c r="G70" s="145" t="s">
        <v>281</v>
      </c>
      <c r="H70" s="144">
        <v>24</v>
      </c>
      <c r="I70" s="144">
        <v>3</v>
      </c>
      <c r="J70" s="144" t="s">
        <v>83</v>
      </c>
      <c r="K70" s="144">
        <f t="shared" si="23"/>
        <v>500</v>
      </c>
      <c r="L70" s="144" t="str">
        <f t="shared" si="24"/>
        <v>1000pF</v>
      </c>
      <c r="M70" s="144" t="str">
        <f t="shared" si="25"/>
        <v>0.08uH</v>
      </c>
      <c r="N70" s="146">
        <f>+MAX_I_BOLSIG</f>
        <v>1E-09</v>
      </c>
      <c r="O70" s="146">
        <f>+AVG_I_BOLSIG</f>
        <v>5E-10</v>
      </c>
      <c r="P70" s="147">
        <v>1</v>
      </c>
      <c r="Q70" s="147">
        <v>0</v>
      </c>
      <c r="R70" s="147">
        <v>0</v>
      </c>
      <c r="S70" s="144">
        <v>0.1</v>
      </c>
      <c r="T70" s="148">
        <f t="shared" si="29"/>
        <v>0.5</v>
      </c>
      <c r="U70" s="148">
        <v>0.3333333333333333</v>
      </c>
      <c r="V70" s="148">
        <f t="shared" si="26"/>
        <v>0.16666666666666666</v>
      </c>
      <c r="W70" s="149">
        <f t="shared" si="27"/>
        <v>1.2000000000000001E-14</v>
      </c>
      <c r="X70" s="149">
        <f t="shared" si="28"/>
        <v>5E-16</v>
      </c>
      <c r="Y70" s="150">
        <f t="shared" si="20"/>
        <v>5.157387100121526E-15</v>
      </c>
    </row>
    <row r="71" spans="3:25" ht="12.75">
      <c r="C71" s="151"/>
      <c r="D71" s="151"/>
      <c r="E71" s="151"/>
      <c r="F71" s="151"/>
      <c r="G71" s="152" t="s">
        <v>117</v>
      </c>
      <c r="H71" s="151">
        <v>12</v>
      </c>
      <c r="I71" s="151" t="s">
        <v>113</v>
      </c>
      <c r="J71" s="151"/>
      <c r="K71" s="151">
        <f t="shared" si="23"/>
        <v>500</v>
      </c>
      <c r="L71" s="151" t="str">
        <f t="shared" si="24"/>
        <v>1000pF</v>
      </c>
      <c r="M71" s="151" t="str">
        <f t="shared" si="25"/>
        <v>0.08uH</v>
      </c>
      <c r="N71" s="153">
        <v>0</v>
      </c>
      <c r="O71" s="153">
        <v>0</v>
      </c>
      <c r="P71" s="154">
        <v>0</v>
      </c>
      <c r="Q71" s="154">
        <v>0</v>
      </c>
      <c r="R71" s="154">
        <v>0</v>
      </c>
      <c r="S71" s="151">
        <v>0.1</v>
      </c>
      <c r="T71" s="155">
        <f t="shared" si="29"/>
        <v>0.5</v>
      </c>
      <c r="U71" s="155">
        <v>0.3333333333333333</v>
      </c>
      <c r="V71" s="155">
        <f t="shared" si="26"/>
        <v>0.16666666666666666</v>
      </c>
      <c r="W71" s="156">
        <f t="shared" si="27"/>
        <v>0</v>
      </c>
      <c r="X71" s="156">
        <f t="shared" si="28"/>
        <v>0</v>
      </c>
      <c r="Y71" s="157">
        <f t="shared" si="20"/>
        <v>0</v>
      </c>
    </row>
    <row r="72" spans="3:25" ht="12.75">
      <c r="C72" s="144" t="s">
        <v>652</v>
      </c>
      <c r="D72" s="144" t="s">
        <v>629</v>
      </c>
      <c r="E72" s="144" t="s">
        <v>657</v>
      </c>
      <c r="F72" s="144" t="s">
        <v>50</v>
      </c>
      <c r="G72" s="145" t="s">
        <v>282</v>
      </c>
      <c r="H72" s="144">
        <v>24</v>
      </c>
      <c r="I72" s="144">
        <v>3</v>
      </c>
      <c r="J72" s="144" t="s">
        <v>83</v>
      </c>
      <c r="K72" s="144">
        <f t="shared" si="23"/>
        <v>500</v>
      </c>
      <c r="L72" s="144" t="str">
        <f t="shared" si="24"/>
        <v>1000pF</v>
      </c>
      <c r="M72" s="144" t="str">
        <f t="shared" si="25"/>
        <v>0.08uH</v>
      </c>
      <c r="N72" s="146">
        <f>+MAX_I_BOLSIG</f>
        <v>1E-09</v>
      </c>
      <c r="O72" s="146">
        <f>+AVG_I_BOLSIG</f>
        <v>5E-10</v>
      </c>
      <c r="P72" s="147">
        <v>1</v>
      </c>
      <c r="Q72" s="147">
        <v>0</v>
      </c>
      <c r="R72" s="147">
        <v>0</v>
      </c>
      <c r="S72" s="144">
        <v>0.1</v>
      </c>
      <c r="T72" s="148">
        <f t="shared" si="29"/>
        <v>0.5</v>
      </c>
      <c r="U72" s="148">
        <v>0.3333333333333333</v>
      </c>
      <c r="V72" s="148">
        <f t="shared" si="26"/>
        <v>0.16666666666666666</v>
      </c>
      <c r="W72" s="149">
        <f t="shared" si="27"/>
        <v>1.2000000000000001E-14</v>
      </c>
      <c r="X72" s="149">
        <f t="shared" si="28"/>
        <v>5E-16</v>
      </c>
      <c r="Y72" s="150">
        <f t="shared" si="20"/>
        <v>5.157387100121526E-15</v>
      </c>
    </row>
    <row r="73" spans="3:25" ht="12.75">
      <c r="C73" s="151"/>
      <c r="D73" s="151"/>
      <c r="E73" s="151"/>
      <c r="F73" s="151"/>
      <c r="G73" s="152" t="s">
        <v>117</v>
      </c>
      <c r="H73" s="151">
        <v>12</v>
      </c>
      <c r="I73" s="151" t="s">
        <v>113</v>
      </c>
      <c r="J73" s="151"/>
      <c r="K73" s="151">
        <f t="shared" si="23"/>
        <v>500</v>
      </c>
      <c r="L73" s="151" t="str">
        <f t="shared" si="24"/>
        <v>1000pF</v>
      </c>
      <c r="M73" s="151" t="str">
        <f t="shared" si="25"/>
        <v>0.08uH</v>
      </c>
      <c r="N73" s="153">
        <v>0</v>
      </c>
      <c r="O73" s="153">
        <v>0</v>
      </c>
      <c r="P73" s="154">
        <v>0</v>
      </c>
      <c r="Q73" s="154">
        <v>0</v>
      </c>
      <c r="R73" s="154">
        <v>0</v>
      </c>
      <c r="S73" s="151">
        <v>0.1</v>
      </c>
      <c r="T73" s="155">
        <f t="shared" si="29"/>
        <v>0.5</v>
      </c>
      <c r="U73" s="155">
        <v>0.3333333333333333</v>
      </c>
      <c r="V73" s="155">
        <f t="shared" si="26"/>
        <v>0.16666666666666666</v>
      </c>
      <c r="W73" s="156">
        <f t="shared" si="27"/>
        <v>0</v>
      </c>
      <c r="X73" s="156">
        <f t="shared" si="28"/>
        <v>0</v>
      </c>
      <c r="Y73" s="157">
        <f t="shared" si="20"/>
        <v>0</v>
      </c>
    </row>
    <row r="74" spans="3:25" ht="12.75">
      <c r="C74" s="144" t="s">
        <v>654</v>
      </c>
      <c r="D74" s="144" t="s">
        <v>629</v>
      </c>
      <c r="E74" s="144" t="s">
        <v>658</v>
      </c>
      <c r="F74" s="144" t="s">
        <v>50</v>
      </c>
      <c r="G74" s="145" t="s">
        <v>283</v>
      </c>
      <c r="H74" s="144">
        <v>24</v>
      </c>
      <c r="I74" s="144">
        <v>3</v>
      </c>
      <c r="J74" s="144" t="s">
        <v>83</v>
      </c>
      <c r="K74" s="144">
        <f t="shared" si="23"/>
        <v>500</v>
      </c>
      <c r="L74" s="144" t="str">
        <f t="shared" si="24"/>
        <v>1000pF</v>
      </c>
      <c r="M74" s="144" t="str">
        <f t="shared" si="25"/>
        <v>0.08uH</v>
      </c>
      <c r="N74" s="146">
        <f>+MAX_I_BOLSIG</f>
        <v>1E-09</v>
      </c>
      <c r="O74" s="146">
        <f>+AVG_I_BOLSIG</f>
        <v>5E-10</v>
      </c>
      <c r="P74" s="147">
        <v>1</v>
      </c>
      <c r="Q74" s="147">
        <v>0</v>
      </c>
      <c r="R74" s="147">
        <v>0</v>
      </c>
      <c r="S74" s="144">
        <v>0.1</v>
      </c>
      <c r="T74" s="148">
        <f t="shared" si="29"/>
        <v>0.5</v>
      </c>
      <c r="U74" s="148">
        <v>0.3333333333333333</v>
      </c>
      <c r="V74" s="148">
        <f t="shared" si="26"/>
        <v>0.16666666666666666</v>
      </c>
      <c r="W74" s="149">
        <f t="shared" si="27"/>
        <v>1.2000000000000001E-14</v>
      </c>
      <c r="X74" s="149">
        <f t="shared" si="28"/>
        <v>5E-16</v>
      </c>
      <c r="Y74" s="150">
        <f t="shared" si="20"/>
        <v>5.157387100121526E-15</v>
      </c>
    </row>
    <row r="75" spans="7:25" ht="12.75">
      <c r="G75" s="145" t="s">
        <v>117</v>
      </c>
      <c r="H75" s="144">
        <v>12</v>
      </c>
      <c r="I75" s="144" t="s">
        <v>113</v>
      </c>
      <c r="K75" s="144">
        <f t="shared" si="23"/>
        <v>500</v>
      </c>
      <c r="L75" s="144" t="str">
        <f t="shared" si="24"/>
        <v>1000pF</v>
      </c>
      <c r="M75" s="144" t="str">
        <f t="shared" si="25"/>
        <v>0.08uH</v>
      </c>
      <c r="N75" s="146">
        <v>0</v>
      </c>
      <c r="O75" s="146">
        <v>0</v>
      </c>
      <c r="P75" s="147">
        <v>0</v>
      </c>
      <c r="Q75" s="147">
        <v>0</v>
      </c>
      <c r="R75" s="147">
        <v>0</v>
      </c>
      <c r="S75" s="144">
        <v>0.1</v>
      </c>
      <c r="T75" s="148">
        <f t="shared" si="29"/>
        <v>0.5</v>
      </c>
      <c r="U75" s="148">
        <v>0.3333333333333333</v>
      </c>
      <c r="V75" s="148">
        <f>+U75*T75</f>
        <v>0.16666666666666666</v>
      </c>
      <c r="W75" s="149">
        <f>+N75^2*K75*H75</f>
        <v>0</v>
      </c>
      <c r="X75" s="149">
        <f t="shared" si="28"/>
        <v>0</v>
      </c>
      <c r="Y75" s="150">
        <f t="shared" si="20"/>
        <v>0</v>
      </c>
    </row>
    <row r="76" spans="1:31" s="187" customFormat="1" ht="26.25" thickBot="1">
      <c r="A76" s="177"/>
      <c r="B76" s="178"/>
      <c r="C76" s="178"/>
      <c r="D76" s="179"/>
      <c r="E76" s="179"/>
      <c r="F76" s="179"/>
      <c r="G76" s="179" t="s">
        <v>710</v>
      </c>
      <c r="H76" s="178"/>
      <c r="I76" s="178"/>
      <c r="J76" s="180" t="s">
        <v>711</v>
      </c>
      <c r="K76" s="178">
        <v>50</v>
      </c>
      <c r="L76" s="178"/>
      <c r="M76" s="178" t="s">
        <v>712</v>
      </c>
      <c r="N76" s="181"/>
      <c r="O76" s="181"/>
      <c r="P76" s="182"/>
      <c r="Q76" s="182"/>
      <c r="R76" s="182"/>
      <c r="S76" s="178" t="s">
        <v>103</v>
      </c>
      <c r="T76" s="183"/>
      <c r="U76" s="183"/>
      <c r="V76" s="183"/>
      <c r="W76" s="184"/>
      <c r="X76" s="184"/>
      <c r="Y76" s="185">
        <f t="shared" si="20"/>
        <v>0</v>
      </c>
      <c r="Z76" s="186"/>
      <c r="AA76" s="186"/>
      <c r="AB76" s="186"/>
      <c r="AC76" s="186"/>
      <c r="AD76" s="186"/>
      <c r="AE76" s="186"/>
    </row>
    <row r="77" spans="1:31" s="188" customFormat="1" ht="13.5" thickTop="1">
      <c r="A77" s="143" t="s">
        <v>72</v>
      </c>
      <c r="B77" s="144" t="s">
        <v>93</v>
      </c>
      <c r="C77" s="144" t="s">
        <v>659</v>
      </c>
      <c r="D77" s="144" t="s">
        <v>629</v>
      </c>
      <c r="E77" s="144" t="s">
        <v>663</v>
      </c>
      <c r="F77" s="144" t="s">
        <v>50</v>
      </c>
      <c r="G77" s="145" t="s">
        <v>284</v>
      </c>
      <c r="H77" s="144">
        <v>24</v>
      </c>
      <c r="I77" s="144">
        <v>3</v>
      </c>
      <c r="J77" s="144" t="s">
        <v>83</v>
      </c>
      <c r="K77" s="144">
        <f t="shared" si="23"/>
        <v>500</v>
      </c>
      <c r="L77" s="144" t="str">
        <f t="shared" si="24"/>
        <v>1000pF</v>
      </c>
      <c r="M77" s="144" t="str">
        <f t="shared" si="25"/>
        <v>0.08uH</v>
      </c>
      <c r="N77" s="146">
        <f>+MAX_I_BOLSIG</f>
        <v>1E-09</v>
      </c>
      <c r="O77" s="146">
        <f>+AVG_I_BOLSIG</f>
        <v>5E-10</v>
      </c>
      <c r="P77" s="147">
        <v>1</v>
      </c>
      <c r="Q77" s="147">
        <v>0</v>
      </c>
      <c r="R77" s="147">
        <v>0</v>
      </c>
      <c r="S77" s="144">
        <v>0.1</v>
      </c>
      <c r="T77" s="148">
        <f>+DC_SPECT</f>
        <v>0.5</v>
      </c>
      <c r="U77" s="148">
        <v>0.3333333333333333</v>
      </c>
      <c r="V77" s="148">
        <f aca="true" t="shared" si="30" ref="V77:V84">+U77*T77</f>
        <v>0.16666666666666666</v>
      </c>
      <c r="W77" s="149">
        <f aca="true" t="shared" si="31" ref="W77:W84">+N77^2*K77*H77</f>
        <v>1.2000000000000001E-14</v>
      </c>
      <c r="X77" s="149">
        <f aca="true" t="shared" si="32" ref="X77:X84">+O77^2*K77*V77*H77</f>
        <v>5E-16</v>
      </c>
      <c r="Y77" s="150">
        <f t="shared" si="20"/>
        <v>5.157387100121526E-15</v>
      </c>
      <c r="Z77" s="48"/>
      <c r="AA77" s="48"/>
      <c r="AB77" s="48"/>
      <c r="AC77" s="48"/>
      <c r="AD77" s="48"/>
      <c r="AE77" s="48"/>
    </row>
    <row r="78" spans="7:25" ht="12.75">
      <c r="G78" s="145" t="s">
        <v>117</v>
      </c>
      <c r="H78" s="144">
        <v>12</v>
      </c>
      <c r="I78" s="144" t="s">
        <v>113</v>
      </c>
      <c r="K78" s="144">
        <f t="shared" si="23"/>
        <v>500</v>
      </c>
      <c r="L78" s="144" t="str">
        <f t="shared" si="24"/>
        <v>1000pF</v>
      </c>
      <c r="M78" s="144" t="str">
        <f t="shared" si="25"/>
        <v>0.08uH</v>
      </c>
      <c r="N78" s="146">
        <v>0</v>
      </c>
      <c r="O78" s="146">
        <v>0</v>
      </c>
      <c r="P78" s="147">
        <v>0</v>
      </c>
      <c r="Q78" s="147">
        <v>0</v>
      </c>
      <c r="R78" s="147">
        <v>0</v>
      </c>
      <c r="S78" s="144">
        <v>0.1</v>
      </c>
      <c r="T78" s="148">
        <f>+DC_SPECT</f>
        <v>0.5</v>
      </c>
      <c r="U78" s="148">
        <v>0.3333333333333333</v>
      </c>
      <c r="V78" s="148">
        <f t="shared" si="30"/>
        <v>0.16666666666666666</v>
      </c>
      <c r="W78" s="149">
        <f t="shared" si="31"/>
        <v>0</v>
      </c>
      <c r="X78" s="149">
        <f t="shared" si="32"/>
        <v>0</v>
      </c>
      <c r="Y78" s="150">
        <f t="shared" si="20"/>
        <v>0</v>
      </c>
    </row>
    <row r="79" spans="1:25" ht="12.75">
      <c r="A79" s="143" t="s">
        <v>3</v>
      </c>
      <c r="C79" s="158" t="s">
        <v>660</v>
      </c>
      <c r="D79" s="158" t="s">
        <v>629</v>
      </c>
      <c r="E79" s="158" t="s">
        <v>664</v>
      </c>
      <c r="F79" s="158" t="s">
        <v>50</v>
      </c>
      <c r="G79" s="159" t="s">
        <v>285</v>
      </c>
      <c r="H79" s="158">
        <v>24</v>
      </c>
      <c r="I79" s="158">
        <v>3</v>
      </c>
      <c r="J79" s="158" t="s">
        <v>83</v>
      </c>
      <c r="K79" s="158">
        <f t="shared" si="23"/>
        <v>500</v>
      </c>
      <c r="L79" s="158" t="str">
        <f t="shared" si="24"/>
        <v>1000pF</v>
      </c>
      <c r="M79" s="158" t="str">
        <f t="shared" si="25"/>
        <v>0.08uH</v>
      </c>
      <c r="N79" s="162">
        <f>+MAX_I_BOLSIG</f>
        <v>1E-09</v>
      </c>
      <c r="O79" s="162">
        <f>+AVG_I_BOLSIG</f>
        <v>5E-10</v>
      </c>
      <c r="P79" s="167">
        <v>1</v>
      </c>
      <c r="Q79" s="167">
        <v>0</v>
      </c>
      <c r="R79" s="167">
        <v>0</v>
      </c>
      <c r="S79" s="158">
        <v>0.1</v>
      </c>
      <c r="T79" s="163">
        <f aca="true" t="shared" si="33" ref="T79:T84">+DC_SPECT</f>
        <v>0.5</v>
      </c>
      <c r="U79" s="163">
        <v>0.3333333333333333</v>
      </c>
      <c r="V79" s="163">
        <f t="shared" si="30"/>
        <v>0.16666666666666666</v>
      </c>
      <c r="W79" s="160">
        <f t="shared" si="31"/>
        <v>1.2000000000000001E-14</v>
      </c>
      <c r="X79" s="160">
        <f t="shared" si="32"/>
        <v>5E-16</v>
      </c>
      <c r="Y79" s="161">
        <f t="shared" si="20"/>
        <v>5.157387100121526E-15</v>
      </c>
    </row>
    <row r="80" spans="3:25" ht="12.75">
      <c r="C80" s="151"/>
      <c r="D80" s="151"/>
      <c r="E80" s="151"/>
      <c r="F80" s="151"/>
      <c r="G80" s="152" t="s">
        <v>117</v>
      </c>
      <c r="H80" s="151">
        <v>12</v>
      </c>
      <c r="I80" s="151" t="s">
        <v>113</v>
      </c>
      <c r="J80" s="151"/>
      <c r="K80" s="151">
        <f t="shared" si="23"/>
        <v>500</v>
      </c>
      <c r="L80" s="151" t="str">
        <f t="shared" si="24"/>
        <v>1000pF</v>
      </c>
      <c r="M80" s="151" t="str">
        <f t="shared" si="25"/>
        <v>0.08uH</v>
      </c>
      <c r="N80" s="153">
        <v>0</v>
      </c>
      <c r="O80" s="153">
        <v>0</v>
      </c>
      <c r="P80" s="154">
        <v>0</v>
      </c>
      <c r="Q80" s="154">
        <v>0</v>
      </c>
      <c r="R80" s="154">
        <v>0</v>
      </c>
      <c r="S80" s="151">
        <v>0.1</v>
      </c>
      <c r="T80" s="155">
        <f t="shared" si="33"/>
        <v>0.5</v>
      </c>
      <c r="U80" s="155">
        <v>0.3333333333333333</v>
      </c>
      <c r="V80" s="155">
        <f t="shared" si="30"/>
        <v>0.16666666666666666</v>
      </c>
      <c r="W80" s="156">
        <f t="shared" si="31"/>
        <v>0</v>
      </c>
      <c r="X80" s="156">
        <f t="shared" si="32"/>
        <v>0</v>
      </c>
      <c r="Y80" s="157">
        <f t="shared" si="20"/>
        <v>0</v>
      </c>
    </row>
    <row r="81" spans="3:25" ht="12.75">
      <c r="C81" s="144" t="s">
        <v>661</v>
      </c>
      <c r="D81" s="144" t="s">
        <v>629</v>
      </c>
      <c r="E81" s="144" t="s">
        <v>661</v>
      </c>
      <c r="F81" s="144" t="s">
        <v>50</v>
      </c>
      <c r="G81" s="145" t="s">
        <v>286</v>
      </c>
      <c r="H81" s="144">
        <v>24</v>
      </c>
      <c r="I81" s="144">
        <v>3</v>
      </c>
      <c r="J81" s="144" t="s">
        <v>83</v>
      </c>
      <c r="K81" s="144">
        <f t="shared" si="23"/>
        <v>500</v>
      </c>
      <c r="L81" s="144" t="str">
        <f t="shared" si="24"/>
        <v>1000pF</v>
      </c>
      <c r="M81" s="144" t="str">
        <f t="shared" si="25"/>
        <v>0.08uH</v>
      </c>
      <c r="N81" s="146">
        <f>+MAX_I_BOLSIG</f>
        <v>1E-09</v>
      </c>
      <c r="O81" s="146">
        <f>+AVG_I_BOLSIG</f>
        <v>5E-10</v>
      </c>
      <c r="P81" s="147">
        <v>1</v>
      </c>
      <c r="Q81" s="147">
        <v>0</v>
      </c>
      <c r="R81" s="147">
        <v>0</v>
      </c>
      <c r="S81" s="144">
        <v>0.1</v>
      </c>
      <c r="T81" s="148">
        <f t="shared" si="33"/>
        <v>0.5</v>
      </c>
      <c r="U81" s="148">
        <v>0.3333333333333333</v>
      </c>
      <c r="V81" s="148">
        <f t="shared" si="30"/>
        <v>0.16666666666666666</v>
      </c>
      <c r="W81" s="149">
        <f t="shared" si="31"/>
        <v>1.2000000000000001E-14</v>
      </c>
      <c r="X81" s="149">
        <f t="shared" si="32"/>
        <v>5E-16</v>
      </c>
      <c r="Y81" s="150">
        <f t="shared" si="20"/>
        <v>5.157387100121526E-15</v>
      </c>
    </row>
    <row r="82" spans="3:25" ht="12.75">
      <c r="C82" s="151"/>
      <c r="D82" s="151"/>
      <c r="E82" s="151"/>
      <c r="F82" s="151"/>
      <c r="G82" s="152" t="s">
        <v>117</v>
      </c>
      <c r="H82" s="151">
        <v>12</v>
      </c>
      <c r="I82" s="151" t="s">
        <v>113</v>
      </c>
      <c r="J82" s="151"/>
      <c r="K82" s="151">
        <f t="shared" si="23"/>
        <v>500</v>
      </c>
      <c r="L82" s="151" t="str">
        <f t="shared" si="24"/>
        <v>1000pF</v>
      </c>
      <c r="M82" s="151" t="str">
        <f t="shared" si="25"/>
        <v>0.08uH</v>
      </c>
      <c r="N82" s="153">
        <v>0</v>
      </c>
      <c r="O82" s="153">
        <v>0</v>
      </c>
      <c r="P82" s="154">
        <v>0</v>
      </c>
      <c r="Q82" s="154">
        <v>0</v>
      </c>
      <c r="R82" s="154">
        <v>0</v>
      </c>
      <c r="S82" s="151">
        <v>0.1</v>
      </c>
      <c r="T82" s="155">
        <f t="shared" si="33"/>
        <v>0.5</v>
      </c>
      <c r="U82" s="155">
        <v>0.3333333333333333</v>
      </c>
      <c r="V82" s="155">
        <f t="shared" si="30"/>
        <v>0.16666666666666666</v>
      </c>
      <c r="W82" s="156">
        <f t="shared" si="31"/>
        <v>0</v>
      </c>
      <c r="X82" s="156">
        <f t="shared" si="32"/>
        <v>0</v>
      </c>
      <c r="Y82" s="157">
        <f t="shared" si="20"/>
        <v>0</v>
      </c>
    </row>
    <row r="83" spans="3:25" ht="12.75">
      <c r="C83" s="144" t="s">
        <v>662</v>
      </c>
      <c r="D83" s="144" t="s">
        <v>629</v>
      </c>
      <c r="E83" s="144" t="s">
        <v>662</v>
      </c>
      <c r="F83" s="144" t="s">
        <v>50</v>
      </c>
      <c r="G83" s="145" t="s">
        <v>287</v>
      </c>
      <c r="H83" s="144">
        <v>24</v>
      </c>
      <c r="I83" s="144">
        <v>3</v>
      </c>
      <c r="J83" s="144" t="s">
        <v>83</v>
      </c>
      <c r="K83" s="144">
        <f t="shared" si="23"/>
        <v>500</v>
      </c>
      <c r="L83" s="144" t="str">
        <f t="shared" si="24"/>
        <v>1000pF</v>
      </c>
      <c r="M83" s="144" t="str">
        <f t="shared" si="25"/>
        <v>0.08uH</v>
      </c>
      <c r="N83" s="146">
        <f>+MAX_I_BOLSIG</f>
        <v>1E-09</v>
      </c>
      <c r="O83" s="146">
        <f>+AVG_I_BOLSIG</f>
        <v>5E-10</v>
      </c>
      <c r="P83" s="147">
        <v>1</v>
      </c>
      <c r="Q83" s="147">
        <v>0</v>
      </c>
      <c r="R83" s="147">
        <v>0</v>
      </c>
      <c r="S83" s="144">
        <v>0.1</v>
      </c>
      <c r="T83" s="148">
        <f t="shared" si="33"/>
        <v>0.5</v>
      </c>
      <c r="U83" s="148">
        <v>0.3333333333333333</v>
      </c>
      <c r="V83" s="148">
        <f t="shared" si="30"/>
        <v>0.16666666666666666</v>
      </c>
      <c r="W83" s="149">
        <f t="shared" si="31"/>
        <v>1.2000000000000001E-14</v>
      </c>
      <c r="X83" s="149">
        <f t="shared" si="32"/>
        <v>5E-16</v>
      </c>
      <c r="Y83" s="150">
        <f t="shared" si="20"/>
        <v>5.157387100121526E-15</v>
      </c>
    </row>
    <row r="84" spans="7:25" ht="12.75">
      <c r="G84" s="145" t="s">
        <v>117</v>
      </c>
      <c r="H84" s="144">
        <v>12</v>
      </c>
      <c r="I84" s="144" t="s">
        <v>113</v>
      </c>
      <c r="K84" s="144">
        <f t="shared" si="23"/>
        <v>500</v>
      </c>
      <c r="L84" s="144" t="str">
        <f t="shared" si="24"/>
        <v>1000pF</v>
      </c>
      <c r="M84" s="144" t="str">
        <f t="shared" si="25"/>
        <v>0.08uH</v>
      </c>
      <c r="N84" s="146">
        <v>0</v>
      </c>
      <c r="O84" s="146">
        <v>0</v>
      </c>
      <c r="P84" s="147">
        <v>0</v>
      </c>
      <c r="Q84" s="147">
        <v>0</v>
      </c>
      <c r="R84" s="147">
        <v>0</v>
      </c>
      <c r="S84" s="144">
        <v>0.1</v>
      </c>
      <c r="T84" s="148">
        <f t="shared" si="33"/>
        <v>0.5</v>
      </c>
      <c r="U84" s="148">
        <v>0.3333333333333333</v>
      </c>
      <c r="V84" s="148">
        <f t="shared" si="30"/>
        <v>0.16666666666666666</v>
      </c>
      <c r="W84" s="149">
        <f t="shared" si="31"/>
        <v>0</v>
      </c>
      <c r="X84" s="149">
        <f t="shared" si="32"/>
        <v>0</v>
      </c>
      <c r="Y84" s="150">
        <f t="shared" si="20"/>
        <v>0</v>
      </c>
    </row>
    <row r="85" spans="1:31" s="187" customFormat="1" ht="26.25" thickBot="1">
      <c r="A85" s="177"/>
      <c r="B85" s="178"/>
      <c r="C85" s="178"/>
      <c r="D85" s="179"/>
      <c r="E85" s="179"/>
      <c r="F85" s="179"/>
      <c r="G85" s="179" t="s">
        <v>710</v>
      </c>
      <c r="H85" s="178"/>
      <c r="I85" s="178"/>
      <c r="J85" s="180" t="s">
        <v>711</v>
      </c>
      <c r="K85" s="178">
        <v>50</v>
      </c>
      <c r="L85" s="178"/>
      <c r="M85" s="178" t="s">
        <v>712</v>
      </c>
      <c r="N85" s="181"/>
      <c r="O85" s="181"/>
      <c r="P85" s="182"/>
      <c r="Q85" s="182"/>
      <c r="R85" s="182"/>
      <c r="S85" s="178" t="s">
        <v>103</v>
      </c>
      <c r="T85" s="183"/>
      <c r="U85" s="183"/>
      <c r="V85" s="183"/>
      <c r="W85" s="184"/>
      <c r="X85" s="184"/>
      <c r="Y85" s="185">
        <f t="shared" si="20"/>
        <v>0</v>
      </c>
      <c r="Z85" s="186"/>
      <c r="AA85" s="186"/>
      <c r="AB85" s="186"/>
      <c r="AC85" s="186"/>
      <c r="AD85" s="186"/>
      <c r="AE85" s="186"/>
    </row>
    <row r="86" spans="1:25" s="49" customFormat="1" ht="13.5" thickTop="1">
      <c r="A86" s="143" t="s">
        <v>73</v>
      </c>
      <c r="B86" s="144" t="s">
        <v>94</v>
      </c>
      <c r="C86" s="144" t="s">
        <v>665</v>
      </c>
      <c r="D86" s="144" t="s">
        <v>629</v>
      </c>
      <c r="E86" s="144" t="s">
        <v>572</v>
      </c>
      <c r="F86" s="144" t="s">
        <v>50</v>
      </c>
      <c r="G86" s="145" t="s">
        <v>288</v>
      </c>
      <c r="H86" s="144">
        <v>24</v>
      </c>
      <c r="I86" s="144">
        <v>3</v>
      </c>
      <c r="J86" s="144" t="s">
        <v>83</v>
      </c>
      <c r="K86" s="144">
        <f t="shared" si="23"/>
        <v>500</v>
      </c>
      <c r="L86" s="144" t="str">
        <f t="shared" si="24"/>
        <v>1000pF</v>
      </c>
      <c r="M86" s="144" t="str">
        <f t="shared" si="25"/>
        <v>0.08uH</v>
      </c>
      <c r="N86" s="146">
        <f>+MAX_I_BOLSIG</f>
        <v>1E-09</v>
      </c>
      <c r="O86" s="146">
        <f>+AVG_I_BOLSIG</f>
        <v>5E-10</v>
      </c>
      <c r="P86" s="147">
        <v>1</v>
      </c>
      <c r="Q86" s="147">
        <v>0</v>
      </c>
      <c r="R86" s="147">
        <v>0</v>
      </c>
      <c r="S86" s="144">
        <v>0.1</v>
      </c>
      <c r="T86" s="148">
        <f>+DC_SPECT</f>
        <v>0.5</v>
      </c>
      <c r="U86" s="148">
        <v>0.3333333333333333</v>
      </c>
      <c r="V86" s="148">
        <f aca="true" t="shared" si="34" ref="V86:V93">+U86*T86</f>
        <v>0.16666666666666666</v>
      </c>
      <c r="W86" s="149">
        <f aca="true" t="shared" si="35" ref="W86:W93">+N86^2*K86*H86</f>
        <v>1.2000000000000001E-14</v>
      </c>
      <c r="X86" s="149">
        <f aca="true" t="shared" si="36" ref="X86:X93">+O86^2*K86*V86*H86</f>
        <v>5E-16</v>
      </c>
      <c r="Y86" s="150">
        <f aca="true" t="shared" si="37" ref="Y86:Y117">+X86/$X$189</f>
        <v>5.157387100121526E-15</v>
      </c>
    </row>
    <row r="87" spans="1:31" s="49" customFormat="1" ht="12.75">
      <c r="A87" s="143"/>
      <c r="B87" s="144"/>
      <c r="C87" s="144"/>
      <c r="D87" s="144"/>
      <c r="E87" s="144"/>
      <c r="F87" s="144"/>
      <c r="G87" s="145" t="s">
        <v>117</v>
      </c>
      <c r="H87" s="144">
        <v>12</v>
      </c>
      <c r="I87" s="144" t="s">
        <v>113</v>
      </c>
      <c r="J87" s="144"/>
      <c r="K87" s="144">
        <f t="shared" si="23"/>
        <v>500</v>
      </c>
      <c r="L87" s="144" t="str">
        <f t="shared" si="24"/>
        <v>1000pF</v>
      </c>
      <c r="M87" s="144" t="str">
        <f t="shared" si="25"/>
        <v>0.08uH</v>
      </c>
      <c r="N87" s="146">
        <v>0</v>
      </c>
      <c r="O87" s="146">
        <v>0</v>
      </c>
      <c r="P87" s="147">
        <v>0</v>
      </c>
      <c r="Q87" s="147">
        <v>0</v>
      </c>
      <c r="R87" s="147">
        <v>0</v>
      </c>
      <c r="S87" s="144">
        <v>0.1</v>
      </c>
      <c r="T87" s="148">
        <f>+DC_SPECT</f>
        <v>0.5</v>
      </c>
      <c r="U87" s="148">
        <v>0.3333333333333333</v>
      </c>
      <c r="V87" s="148">
        <f t="shared" si="34"/>
        <v>0.16666666666666666</v>
      </c>
      <c r="W87" s="149">
        <f t="shared" si="35"/>
        <v>0</v>
      </c>
      <c r="X87" s="149">
        <f t="shared" si="36"/>
        <v>0</v>
      </c>
      <c r="Y87" s="150">
        <f t="shared" si="37"/>
        <v>0</v>
      </c>
      <c r="Z87" s="48"/>
      <c r="AA87" s="48"/>
      <c r="AB87" s="48"/>
      <c r="AC87" s="48"/>
      <c r="AD87" s="48"/>
      <c r="AE87" s="48"/>
    </row>
    <row r="88" spans="1:25" ht="12.75">
      <c r="A88" s="143" t="s">
        <v>3</v>
      </c>
      <c r="C88" s="158" t="s">
        <v>666</v>
      </c>
      <c r="D88" s="158" t="s">
        <v>629</v>
      </c>
      <c r="E88" s="158" t="s">
        <v>573</v>
      </c>
      <c r="F88" s="158" t="s">
        <v>50</v>
      </c>
      <c r="G88" s="159" t="s">
        <v>289</v>
      </c>
      <c r="H88" s="158">
        <v>24</v>
      </c>
      <c r="I88" s="158">
        <v>3</v>
      </c>
      <c r="J88" s="158" t="s">
        <v>83</v>
      </c>
      <c r="K88" s="158">
        <f t="shared" si="23"/>
        <v>500</v>
      </c>
      <c r="L88" s="158" t="str">
        <f t="shared" si="24"/>
        <v>1000pF</v>
      </c>
      <c r="M88" s="158" t="str">
        <f t="shared" si="25"/>
        <v>0.08uH</v>
      </c>
      <c r="N88" s="162">
        <f>+MAX_I_BOLSIG</f>
        <v>1E-09</v>
      </c>
      <c r="O88" s="162">
        <f>+AVG_I_BOLSIG</f>
        <v>5E-10</v>
      </c>
      <c r="P88" s="167">
        <v>1</v>
      </c>
      <c r="Q88" s="167">
        <v>0</v>
      </c>
      <c r="R88" s="167">
        <v>0</v>
      </c>
      <c r="S88" s="158">
        <v>0.1</v>
      </c>
      <c r="T88" s="163">
        <f aca="true" t="shared" si="38" ref="T88:T93">+DC_SPECT</f>
        <v>0.5</v>
      </c>
      <c r="U88" s="163">
        <v>0.3333333333333333</v>
      </c>
      <c r="V88" s="163">
        <f t="shared" si="34"/>
        <v>0.16666666666666666</v>
      </c>
      <c r="W88" s="160">
        <f t="shared" si="35"/>
        <v>1.2000000000000001E-14</v>
      </c>
      <c r="X88" s="160">
        <f t="shared" si="36"/>
        <v>5E-16</v>
      </c>
      <c r="Y88" s="161">
        <f t="shared" si="37"/>
        <v>5.157387100121526E-15</v>
      </c>
    </row>
    <row r="89" spans="3:25" ht="12.75">
      <c r="C89" s="151"/>
      <c r="D89" s="151"/>
      <c r="E89" s="151"/>
      <c r="F89" s="151"/>
      <c r="G89" s="152" t="s">
        <v>117</v>
      </c>
      <c r="H89" s="151">
        <v>12</v>
      </c>
      <c r="I89" s="151" t="s">
        <v>113</v>
      </c>
      <c r="J89" s="151"/>
      <c r="K89" s="151">
        <f t="shared" si="23"/>
        <v>500</v>
      </c>
      <c r="L89" s="151" t="str">
        <f t="shared" si="24"/>
        <v>1000pF</v>
      </c>
      <c r="M89" s="151" t="str">
        <f t="shared" si="25"/>
        <v>0.08uH</v>
      </c>
      <c r="N89" s="153">
        <v>0</v>
      </c>
      <c r="O89" s="153">
        <v>0</v>
      </c>
      <c r="P89" s="154">
        <v>0</v>
      </c>
      <c r="Q89" s="154">
        <v>0</v>
      </c>
      <c r="R89" s="154">
        <v>0</v>
      </c>
      <c r="S89" s="151">
        <v>0.1</v>
      </c>
      <c r="T89" s="155">
        <f t="shared" si="38"/>
        <v>0.5</v>
      </c>
      <c r="U89" s="155">
        <v>0.3333333333333333</v>
      </c>
      <c r="V89" s="155">
        <f t="shared" si="34"/>
        <v>0.16666666666666666</v>
      </c>
      <c r="W89" s="156">
        <f t="shared" si="35"/>
        <v>0</v>
      </c>
      <c r="X89" s="156">
        <f t="shared" si="36"/>
        <v>0</v>
      </c>
      <c r="Y89" s="157">
        <f t="shared" si="37"/>
        <v>0</v>
      </c>
    </row>
    <row r="90" spans="3:25" ht="12.75">
      <c r="C90" s="144" t="s">
        <v>667</v>
      </c>
      <c r="D90" s="144" t="s">
        <v>629</v>
      </c>
      <c r="E90" s="144" t="s">
        <v>574</v>
      </c>
      <c r="F90" s="144" t="s">
        <v>50</v>
      </c>
      <c r="G90" s="145" t="s">
        <v>290</v>
      </c>
      <c r="H90" s="144">
        <v>24</v>
      </c>
      <c r="I90" s="144">
        <v>3</v>
      </c>
      <c r="J90" s="144" t="s">
        <v>83</v>
      </c>
      <c r="K90" s="144">
        <f t="shared" si="23"/>
        <v>500</v>
      </c>
      <c r="L90" s="144" t="str">
        <f t="shared" si="24"/>
        <v>1000pF</v>
      </c>
      <c r="M90" s="144" t="str">
        <f t="shared" si="25"/>
        <v>0.08uH</v>
      </c>
      <c r="N90" s="146">
        <f>+MAX_I_BOLSIG</f>
        <v>1E-09</v>
      </c>
      <c r="O90" s="146">
        <f>+AVG_I_BOLSIG</f>
        <v>5E-10</v>
      </c>
      <c r="P90" s="147">
        <v>1</v>
      </c>
      <c r="Q90" s="147">
        <v>0</v>
      </c>
      <c r="R90" s="147">
        <v>0</v>
      </c>
      <c r="S90" s="144">
        <v>0.1</v>
      </c>
      <c r="T90" s="148">
        <f t="shared" si="38"/>
        <v>0.5</v>
      </c>
      <c r="U90" s="148">
        <v>0.3333333333333333</v>
      </c>
      <c r="V90" s="148">
        <f t="shared" si="34"/>
        <v>0.16666666666666666</v>
      </c>
      <c r="W90" s="149">
        <f t="shared" si="35"/>
        <v>1.2000000000000001E-14</v>
      </c>
      <c r="X90" s="149">
        <f t="shared" si="36"/>
        <v>5E-16</v>
      </c>
      <c r="Y90" s="150">
        <f t="shared" si="37"/>
        <v>5.157387100121526E-15</v>
      </c>
    </row>
    <row r="91" spans="3:25" ht="12.75">
      <c r="C91" s="151"/>
      <c r="D91" s="151"/>
      <c r="E91" s="151"/>
      <c r="F91" s="151"/>
      <c r="G91" s="152" t="s">
        <v>117</v>
      </c>
      <c r="H91" s="151">
        <v>12</v>
      </c>
      <c r="I91" s="151" t="s">
        <v>113</v>
      </c>
      <c r="J91" s="151"/>
      <c r="K91" s="151">
        <f t="shared" si="23"/>
        <v>500</v>
      </c>
      <c r="L91" s="151" t="str">
        <f t="shared" si="24"/>
        <v>1000pF</v>
      </c>
      <c r="M91" s="151" t="str">
        <f t="shared" si="25"/>
        <v>0.08uH</v>
      </c>
      <c r="N91" s="153">
        <v>0</v>
      </c>
      <c r="O91" s="153">
        <v>0</v>
      </c>
      <c r="P91" s="154">
        <v>0</v>
      </c>
      <c r="Q91" s="154">
        <v>0</v>
      </c>
      <c r="R91" s="154">
        <v>0</v>
      </c>
      <c r="S91" s="151">
        <v>0.1</v>
      </c>
      <c r="T91" s="155">
        <f t="shared" si="38"/>
        <v>0.5</v>
      </c>
      <c r="U91" s="155">
        <v>0.3333333333333333</v>
      </c>
      <c r="V91" s="155">
        <f t="shared" si="34"/>
        <v>0.16666666666666666</v>
      </c>
      <c r="W91" s="156">
        <f t="shared" si="35"/>
        <v>0</v>
      </c>
      <c r="X91" s="156">
        <f t="shared" si="36"/>
        <v>0</v>
      </c>
      <c r="Y91" s="157">
        <f t="shared" si="37"/>
        <v>0</v>
      </c>
    </row>
    <row r="92" spans="3:25" ht="12.75">
      <c r="C92" s="144" t="s">
        <v>567</v>
      </c>
      <c r="D92" s="144" t="s">
        <v>629</v>
      </c>
      <c r="E92" s="144" t="s">
        <v>575</v>
      </c>
      <c r="F92" s="144" t="s">
        <v>50</v>
      </c>
      <c r="G92" s="145" t="s">
        <v>291</v>
      </c>
      <c r="H92" s="144">
        <v>24</v>
      </c>
      <c r="I92" s="144">
        <v>3</v>
      </c>
      <c r="J92" s="144" t="s">
        <v>83</v>
      </c>
      <c r="K92" s="144">
        <f t="shared" si="23"/>
        <v>500</v>
      </c>
      <c r="L92" s="144" t="str">
        <f t="shared" si="24"/>
        <v>1000pF</v>
      </c>
      <c r="M92" s="144" t="str">
        <f t="shared" si="25"/>
        <v>0.08uH</v>
      </c>
      <c r="N92" s="146">
        <f>+MAX_I_BOLSIG</f>
        <v>1E-09</v>
      </c>
      <c r="O92" s="146">
        <f>+AVG_I_BOLSIG</f>
        <v>5E-10</v>
      </c>
      <c r="P92" s="147">
        <v>1</v>
      </c>
      <c r="Q92" s="147">
        <v>0</v>
      </c>
      <c r="R92" s="147">
        <v>0</v>
      </c>
      <c r="S92" s="144">
        <v>0.1</v>
      </c>
      <c r="T92" s="148">
        <f t="shared" si="38"/>
        <v>0.5</v>
      </c>
      <c r="U92" s="148">
        <v>0.3333333333333333</v>
      </c>
      <c r="V92" s="148">
        <f t="shared" si="34"/>
        <v>0.16666666666666666</v>
      </c>
      <c r="W92" s="149">
        <f t="shared" si="35"/>
        <v>1.2000000000000001E-14</v>
      </c>
      <c r="X92" s="149">
        <f t="shared" si="36"/>
        <v>5E-16</v>
      </c>
      <c r="Y92" s="150">
        <f t="shared" si="37"/>
        <v>5.157387100121526E-15</v>
      </c>
    </row>
    <row r="93" spans="7:25" ht="12.75">
      <c r="G93" s="145" t="s">
        <v>117</v>
      </c>
      <c r="H93" s="144">
        <v>12</v>
      </c>
      <c r="I93" s="144" t="s">
        <v>113</v>
      </c>
      <c r="K93" s="144">
        <f t="shared" si="23"/>
        <v>500</v>
      </c>
      <c r="L93" s="144" t="str">
        <f t="shared" si="24"/>
        <v>1000pF</v>
      </c>
      <c r="M93" s="144" t="str">
        <f t="shared" si="25"/>
        <v>0.08uH</v>
      </c>
      <c r="N93" s="146">
        <v>0</v>
      </c>
      <c r="O93" s="146">
        <v>0</v>
      </c>
      <c r="P93" s="147">
        <v>0</v>
      </c>
      <c r="Q93" s="147">
        <v>0</v>
      </c>
      <c r="R93" s="147">
        <v>0</v>
      </c>
      <c r="S93" s="144">
        <v>0.1</v>
      </c>
      <c r="T93" s="148">
        <f t="shared" si="38"/>
        <v>0.5</v>
      </c>
      <c r="U93" s="148">
        <v>0.3333333333333333</v>
      </c>
      <c r="V93" s="148">
        <f t="shared" si="34"/>
        <v>0.16666666666666666</v>
      </c>
      <c r="W93" s="149">
        <f t="shared" si="35"/>
        <v>0</v>
      </c>
      <c r="X93" s="149">
        <f t="shared" si="36"/>
        <v>0</v>
      </c>
      <c r="Y93" s="150">
        <f t="shared" si="37"/>
        <v>0</v>
      </c>
    </row>
    <row r="94" spans="1:31" s="187" customFormat="1" ht="26.25" thickBot="1">
      <c r="A94" s="177"/>
      <c r="B94" s="178"/>
      <c r="C94" s="178"/>
      <c r="D94" s="179"/>
      <c r="E94" s="179"/>
      <c r="F94" s="179"/>
      <c r="G94" s="179" t="s">
        <v>710</v>
      </c>
      <c r="H94" s="178"/>
      <c r="I94" s="178"/>
      <c r="J94" s="180" t="s">
        <v>711</v>
      </c>
      <c r="K94" s="178">
        <v>50</v>
      </c>
      <c r="L94" s="178"/>
      <c r="M94" s="178" t="s">
        <v>712</v>
      </c>
      <c r="N94" s="181"/>
      <c r="O94" s="181"/>
      <c r="P94" s="182"/>
      <c r="Q94" s="182"/>
      <c r="R94" s="182"/>
      <c r="S94" s="178" t="s">
        <v>103</v>
      </c>
      <c r="T94" s="183"/>
      <c r="U94" s="183"/>
      <c r="V94" s="183"/>
      <c r="W94" s="184"/>
      <c r="X94" s="184"/>
      <c r="Y94" s="185">
        <f t="shared" si="37"/>
        <v>0</v>
      </c>
      <c r="Z94" s="186"/>
      <c r="AA94" s="186"/>
      <c r="AB94" s="186"/>
      <c r="AC94" s="186"/>
      <c r="AD94" s="186"/>
      <c r="AE94" s="186"/>
    </row>
    <row r="95" spans="1:25" s="49" customFormat="1" ht="13.5" thickTop="1">
      <c r="A95" s="143" t="s">
        <v>74</v>
      </c>
      <c r="B95" s="144" t="s">
        <v>95</v>
      </c>
      <c r="C95" s="144" t="s">
        <v>568</v>
      </c>
      <c r="D95" s="144" t="s">
        <v>629</v>
      </c>
      <c r="E95" s="144" t="s">
        <v>576</v>
      </c>
      <c r="F95" s="144" t="s">
        <v>50</v>
      </c>
      <c r="G95" s="145" t="s">
        <v>292</v>
      </c>
      <c r="H95" s="144">
        <v>24</v>
      </c>
      <c r="I95" s="144">
        <v>3</v>
      </c>
      <c r="J95" s="144" t="s">
        <v>83</v>
      </c>
      <c r="K95" s="144">
        <f t="shared" si="23"/>
        <v>500</v>
      </c>
      <c r="L95" s="144" t="str">
        <f t="shared" si="24"/>
        <v>1000pF</v>
      </c>
      <c r="M95" s="144" t="str">
        <f t="shared" si="25"/>
        <v>0.08uH</v>
      </c>
      <c r="N95" s="146">
        <f>+MAX_I_BOLSIG</f>
        <v>1E-09</v>
      </c>
      <c r="O95" s="146">
        <f>+AVG_I_BOLSIG</f>
        <v>5E-10</v>
      </c>
      <c r="P95" s="147">
        <v>1</v>
      </c>
      <c r="Q95" s="147">
        <v>0</v>
      </c>
      <c r="R95" s="147">
        <v>0</v>
      </c>
      <c r="S95" s="144">
        <v>0.1</v>
      </c>
      <c r="T95" s="148">
        <f>+DC_SPECT</f>
        <v>0.5</v>
      </c>
      <c r="U95" s="148">
        <v>0.3333333333333333</v>
      </c>
      <c r="V95" s="148">
        <f aca="true" t="shared" si="39" ref="V95:V102">+U95*T95</f>
        <v>0.16666666666666666</v>
      </c>
      <c r="W95" s="149">
        <f aca="true" t="shared" si="40" ref="W95:W102">+N95^2*K95*H95</f>
        <v>1.2000000000000001E-14</v>
      </c>
      <c r="X95" s="149">
        <f aca="true" t="shared" si="41" ref="X95:X102">+O95^2*K95*V95*H95</f>
        <v>5E-16</v>
      </c>
      <c r="Y95" s="150">
        <f t="shared" si="37"/>
        <v>5.157387100121526E-15</v>
      </c>
    </row>
    <row r="96" spans="1:31" s="49" customFormat="1" ht="12.75">
      <c r="A96" s="143"/>
      <c r="B96" s="144"/>
      <c r="C96" s="144"/>
      <c r="D96" s="144"/>
      <c r="E96" s="144"/>
      <c r="F96" s="144"/>
      <c r="G96" s="145" t="s">
        <v>117</v>
      </c>
      <c r="H96" s="144">
        <v>12</v>
      </c>
      <c r="I96" s="144" t="s">
        <v>113</v>
      </c>
      <c r="J96" s="144"/>
      <c r="K96" s="144">
        <f t="shared" si="23"/>
        <v>500</v>
      </c>
      <c r="L96" s="144" t="str">
        <f t="shared" si="24"/>
        <v>1000pF</v>
      </c>
      <c r="M96" s="144" t="str">
        <f t="shared" si="25"/>
        <v>0.08uH</v>
      </c>
      <c r="N96" s="146">
        <v>0</v>
      </c>
      <c r="O96" s="146">
        <v>0</v>
      </c>
      <c r="P96" s="147">
        <v>0</v>
      </c>
      <c r="Q96" s="147">
        <v>0</v>
      </c>
      <c r="R96" s="147">
        <v>0</v>
      </c>
      <c r="S96" s="144">
        <v>0.1</v>
      </c>
      <c r="T96" s="148">
        <f>+DC_SPECT</f>
        <v>0.5</v>
      </c>
      <c r="U96" s="148">
        <v>0.3333333333333333</v>
      </c>
      <c r="V96" s="148">
        <f t="shared" si="39"/>
        <v>0.16666666666666666</v>
      </c>
      <c r="W96" s="149">
        <f t="shared" si="40"/>
        <v>0</v>
      </c>
      <c r="X96" s="149">
        <f t="shared" si="41"/>
        <v>0</v>
      </c>
      <c r="Y96" s="150">
        <f t="shared" si="37"/>
        <v>0</v>
      </c>
      <c r="Z96" s="48"/>
      <c r="AA96" s="48"/>
      <c r="AB96" s="48"/>
      <c r="AC96" s="48"/>
      <c r="AD96" s="48"/>
      <c r="AE96" s="48"/>
    </row>
    <row r="97" spans="1:25" ht="12.75">
      <c r="A97" s="143" t="s">
        <v>3</v>
      </c>
      <c r="C97" s="158" t="s">
        <v>569</v>
      </c>
      <c r="D97" s="158" t="s">
        <v>629</v>
      </c>
      <c r="E97" s="158" t="s">
        <v>577</v>
      </c>
      <c r="F97" s="158" t="s">
        <v>50</v>
      </c>
      <c r="G97" s="159" t="s">
        <v>293</v>
      </c>
      <c r="H97" s="158">
        <v>24</v>
      </c>
      <c r="I97" s="158">
        <v>3</v>
      </c>
      <c r="J97" s="158" t="s">
        <v>83</v>
      </c>
      <c r="K97" s="158">
        <f t="shared" si="23"/>
        <v>500</v>
      </c>
      <c r="L97" s="158" t="str">
        <f t="shared" si="24"/>
        <v>1000pF</v>
      </c>
      <c r="M97" s="158" t="str">
        <f t="shared" si="25"/>
        <v>0.08uH</v>
      </c>
      <c r="N97" s="162">
        <f>+MAX_I_BOLSIG</f>
        <v>1E-09</v>
      </c>
      <c r="O97" s="162">
        <f>+AVG_I_BOLSIG</f>
        <v>5E-10</v>
      </c>
      <c r="P97" s="167">
        <v>1</v>
      </c>
      <c r="Q97" s="167">
        <v>0</v>
      </c>
      <c r="R97" s="167">
        <v>0</v>
      </c>
      <c r="S97" s="158">
        <v>0.1</v>
      </c>
      <c r="T97" s="163">
        <f aca="true" t="shared" si="42" ref="T97:T102">+DC_SPECT</f>
        <v>0.5</v>
      </c>
      <c r="U97" s="163">
        <v>0.3333333333333333</v>
      </c>
      <c r="V97" s="163">
        <f t="shared" si="39"/>
        <v>0.16666666666666666</v>
      </c>
      <c r="W97" s="160">
        <f t="shared" si="40"/>
        <v>1.2000000000000001E-14</v>
      </c>
      <c r="X97" s="160">
        <f t="shared" si="41"/>
        <v>5E-16</v>
      </c>
      <c r="Y97" s="161">
        <f t="shared" si="37"/>
        <v>5.157387100121526E-15</v>
      </c>
    </row>
    <row r="98" spans="3:25" ht="12.75">
      <c r="C98" s="151"/>
      <c r="D98" s="151"/>
      <c r="E98" s="151"/>
      <c r="F98" s="151"/>
      <c r="G98" s="152" t="s">
        <v>117</v>
      </c>
      <c r="H98" s="151">
        <v>12</v>
      </c>
      <c r="I98" s="151" t="s">
        <v>113</v>
      </c>
      <c r="J98" s="151"/>
      <c r="K98" s="151">
        <f t="shared" si="23"/>
        <v>500</v>
      </c>
      <c r="L98" s="151" t="str">
        <f t="shared" si="24"/>
        <v>1000pF</v>
      </c>
      <c r="M98" s="151" t="str">
        <f t="shared" si="25"/>
        <v>0.08uH</v>
      </c>
      <c r="N98" s="153">
        <v>0</v>
      </c>
      <c r="O98" s="153">
        <v>0</v>
      </c>
      <c r="P98" s="154">
        <v>0</v>
      </c>
      <c r="Q98" s="154">
        <v>0</v>
      </c>
      <c r="R98" s="154">
        <v>0</v>
      </c>
      <c r="S98" s="151">
        <v>0.1</v>
      </c>
      <c r="T98" s="155">
        <f t="shared" si="42"/>
        <v>0.5</v>
      </c>
      <c r="U98" s="155">
        <v>0.3333333333333333</v>
      </c>
      <c r="V98" s="155">
        <f t="shared" si="39"/>
        <v>0.16666666666666666</v>
      </c>
      <c r="W98" s="156">
        <f t="shared" si="40"/>
        <v>0</v>
      </c>
      <c r="X98" s="156">
        <f t="shared" si="41"/>
        <v>0</v>
      </c>
      <c r="Y98" s="157">
        <f t="shared" si="37"/>
        <v>0</v>
      </c>
    </row>
    <row r="99" spans="3:25" ht="12.75">
      <c r="C99" s="144" t="s">
        <v>570</v>
      </c>
      <c r="D99" s="144" t="s">
        <v>629</v>
      </c>
      <c r="E99" s="144" t="s">
        <v>578</v>
      </c>
      <c r="F99" s="144" t="s">
        <v>50</v>
      </c>
      <c r="G99" s="145" t="s">
        <v>294</v>
      </c>
      <c r="H99" s="144">
        <v>24</v>
      </c>
      <c r="I99" s="144">
        <v>3</v>
      </c>
      <c r="J99" s="144" t="s">
        <v>83</v>
      </c>
      <c r="K99" s="144">
        <f t="shared" si="23"/>
        <v>500</v>
      </c>
      <c r="L99" s="144" t="str">
        <f t="shared" si="24"/>
        <v>1000pF</v>
      </c>
      <c r="M99" s="144" t="str">
        <f t="shared" si="25"/>
        <v>0.08uH</v>
      </c>
      <c r="N99" s="146">
        <f>+MAX_I_BOLSIG</f>
        <v>1E-09</v>
      </c>
      <c r="O99" s="146">
        <f>+AVG_I_BOLSIG</f>
        <v>5E-10</v>
      </c>
      <c r="P99" s="147">
        <v>1</v>
      </c>
      <c r="Q99" s="147">
        <v>0</v>
      </c>
      <c r="R99" s="147">
        <v>0</v>
      </c>
      <c r="S99" s="144">
        <v>0.1</v>
      </c>
      <c r="T99" s="148">
        <f t="shared" si="42"/>
        <v>0.5</v>
      </c>
      <c r="U99" s="148">
        <v>0.3333333333333333</v>
      </c>
      <c r="V99" s="148">
        <f t="shared" si="39"/>
        <v>0.16666666666666666</v>
      </c>
      <c r="W99" s="149">
        <f t="shared" si="40"/>
        <v>1.2000000000000001E-14</v>
      </c>
      <c r="X99" s="149">
        <f t="shared" si="41"/>
        <v>5E-16</v>
      </c>
      <c r="Y99" s="150">
        <f t="shared" si="37"/>
        <v>5.157387100121526E-15</v>
      </c>
    </row>
    <row r="100" spans="3:25" ht="12.75">
      <c r="C100" s="151"/>
      <c r="D100" s="151"/>
      <c r="E100" s="151"/>
      <c r="F100" s="151"/>
      <c r="G100" s="152" t="s">
        <v>117</v>
      </c>
      <c r="H100" s="151">
        <v>12</v>
      </c>
      <c r="I100" s="151" t="s">
        <v>113</v>
      </c>
      <c r="J100" s="151"/>
      <c r="K100" s="151">
        <f t="shared" si="23"/>
        <v>500</v>
      </c>
      <c r="L100" s="151" t="str">
        <f t="shared" si="24"/>
        <v>1000pF</v>
      </c>
      <c r="M100" s="151" t="str">
        <f t="shared" si="25"/>
        <v>0.08uH</v>
      </c>
      <c r="N100" s="153">
        <v>0</v>
      </c>
      <c r="O100" s="153">
        <v>0</v>
      </c>
      <c r="P100" s="154">
        <v>0</v>
      </c>
      <c r="Q100" s="154">
        <v>0</v>
      </c>
      <c r="R100" s="154">
        <v>0</v>
      </c>
      <c r="S100" s="151">
        <v>0.1</v>
      </c>
      <c r="T100" s="155">
        <f t="shared" si="42"/>
        <v>0.5</v>
      </c>
      <c r="U100" s="155">
        <v>0.3333333333333333</v>
      </c>
      <c r="V100" s="155">
        <f t="shared" si="39"/>
        <v>0.16666666666666666</v>
      </c>
      <c r="W100" s="156">
        <f t="shared" si="40"/>
        <v>0</v>
      </c>
      <c r="X100" s="156">
        <f t="shared" si="41"/>
        <v>0</v>
      </c>
      <c r="Y100" s="157">
        <f t="shared" si="37"/>
        <v>0</v>
      </c>
    </row>
    <row r="101" spans="3:25" ht="12.75">
      <c r="C101" s="144" t="s">
        <v>571</v>
      </c>
      <c r="D101" s="144" t="s">
        <v>629</v>
      </c>
      <c r="E101" s="144" t="s">
        <v>579</v>
      </c>
      <c r="F101" s="144" t="s">
        <v>50</v>
      </c>
      <c r="G101" s="145" t="s">
        <v>295</v>
      </c>
      <c r="H101" s="144">
        <v>24</v>
      </c>
      <c r="I101" s="144">
        <v>3</v>
      </c>
      <c r="J101" s="144" t="s">
        <v>83</v>
      </c>
      <c r="K101" s="144">
        <f t="shared" si="23"/>
        <v>500</v>
      </c>
      <c r="L101" s="144" t="str">
        <f t="shared" si="24"/>
        <v>1000pF</v>
      </c>
      <c r="M101" s="144" t="str">
        <f t="shared" si="25"/>
        <v>0.08uH</v>
      </c>
      <c r="N101" s="146">
        <f>+MAX_I_BOLSIG</f>
        <v>1E-09</v>
      </c>
      <c r="O101" s="146">
        <f>+AVG_I_BOLSIG</f>
        <v>5E-10</v>
      </c>
      <c r="P101" s="147">
        <v>1</v>
      </c>
      <c r="Q101" s="147">
        <v>0</v>
      </c>
      <c r="R101" s="147">
        <v>0</v>
      </c>
      <c r="S101" s="144">
        <v>0.1</v>
      </c>
      <c r="T101" s="148">
        <f t="shared" si="42"/>
        <v>0.5</v>
      </c>
      <c r="U101" s="148">
        <v>0.3333333333333333</v>
      </c>
      <c r="V101" s="148">
        <f t="shared" si="39"/>
        <v>0.16666666666666666</v>
      </c>
      <c r="W101" s="149">
        <f t="shared" si="40"/>
        <v>1.2000000000000001E-14</v>
      </c>
      <c r="X101" s="149">
        <f t="shared" si="41"/>
        <v>5E-16</v>
      </c>
      <c r="Y101" s="150">
        <f t="shared" si="37"/>
        <v>5.157387100121526E-15</v>
      </c>
    </row>
    <row r="102" spans="7:25" ht="12.75">
      <c r="G102" s="145" t="s">
        <v>117</v>
      </c>
      <c r="H102" s="144">
        <v>12</v>
      </c>
      <c r="I102" s="144" t="s">
        <v>113</v>
      </c>
      <c r="K102" s="144">
        <f t="shared" si="23"/>
        <v>500</v>
      </c>
      <c r="L102" s="144" t="str">
        <f t="shared" si="24"/>
        <v>1000pF</v>
      </c>
      <c r="M102" s="144" t="str">
        <f t="shared" si="25"/>
        <v>0.08uH</v>
      </c>
      <c r="N102" s="146">
        <v>0</v>
      </c>
      <c r="O102" s="146">
        <v>0</v>
      </c>
      <c r="P102" s="147">
        <v>0</v>
      </c>
      <c r="Q102" s="147">
        <v>0</v>
      </c>
      <c r="R102" s="147">
        <v>0</v>
      </c>
      <c r="S102" s="144">
        <v>0.1</v>
      </c>
      <c r="T102" s="148">
        <f t="shared" si="42"/>
        <v>0.5</v>
      </c>
      <c r="U102" s="148">
        <v>0.3333333333333333</v>
      </c>
      <c r="V102" s="148">
        <f t="shared" si="39"/>
        <v>0.16666666666666666</v>
      </c>
      <c r="W102" s="149">
        <f t="shared" si="40"/>
        <v>0</v>
      </c>
      <c r="X102" s="149">
        <f t="shared" si="41"/>
        <v>0</v>
      </c>
      <c r="Y102" s="150">
        <f t="shared" si="37"/>
        <v>0</v>
      </c>
    </row>
    <row r="103" spans="1:31" s="187" customFormat="1" ht="26.25" thickBot="1">
      <c r="A103" s="177"/>
      <c r="B103" s="178"/>
      <c r="C103" s="178"/>
      <c r="D103" s="179"/>
      <c r="E103" s="179"/>
      <c r="F103" s="179"/>
      <c r="G103" s="179" t="s">
        <v>710</v>
      </c>
      <c r="H103" s="178"/>
      <c r="I103" s="178"/>
      <c r="J103" s="180" t="s">
        <v>711</v>
      </c>
      <c r="K103" s="178">
        <v>50</v>
      </c>
      <c r="L103" s="178"/>
      <c r="M103" s="178" t="s">
        <v>712</v>
      </c>
      <c r="N103" s="181"/>
      <c r="O103" s="181"/>
      <c r="P103" s="182"/>
      <c r="Q103" s="182"/>
      <c r="R103" s="182"/>
      <c r="S103" s="178" t="s">
        <v>103</v>
      </c>
      <c r="T103" s="183"/>
      <c r="U103" s="183"/>
      <c r="V103" s="183"/>
      <c r="W103" s="184"/>
      <c r="X103" s="184"/>
      <c r="Y103" s="185">
        <f t="shared" si="37"/>
        <v>0</v>
      </c>
      <c r="Z103" s="186"/>
      <c r="AA103" s="186"/>
      <c r="AB103" s="186"/>
      <c r="AC103" s="186"/>
      <c r="AD103" s="186"/>
      <c r="AE103" s="186"/>
    </row>
    <row r="104" spans="1:25" s="49" customFormat="1" ht="13.5" thickTop="1">
      <c r="A104" s="143" t="s">
        <v>75</v>
      </c>
      <c r="B104" s="144" t="s">
        <v>96</v>
      </c>
      <c r="C104" s="144" t="s">
        <v>580</v>
      </c>
      <c r="D104" s="144" t="s">
        <v>629</v>
      </c>
      <c r="E104" s="144" t="s">
        <v>584</v>
      </c>
      <c r="F104" s="144" t="s">
        <v>50</v>
      </c>
      <c r="G104" s="145" t="s">
        <v>486</v>
      </c>
      <c r="H104" s="144">
        <v>24</v>
      </c>
      <c r="I104" s="144">
        <v>3</v>
      </c>
      <c r="J104" s="144" t="s">
        <v>83</v>
      </c>
      <c r="K104" s="144">
        <f t="shared" si="23"/>
        <v>500</v>
      </c>
      <c r="L104" s="144" t="str">
        <f t="shared" si="24"/>
        <v>1000pF</v>
      </c>
      <c r="M104" s="144" t="str">
        <f t="shared" si="25"/>
        <v>0.08uH</v>
      </c>
      <c r="N104" s="146">
        <f>+MAX_I_BOLSIG</f>
        <v>1E-09</v>
      </c>
      <c r="O104" s="146">
        <f>+AVG_I_BOLSIG</f>
        <v>5E-10</v>
      </c>
      <c r="P104" s="147">
        <v>1</v>
      </c>
      <c r="Q104" s="147">
        <v>0</v>
      </c>
      <c r="R104" s="147">
        <v>0</v>
      </c>
      <c r="S104" s="144">
        <v>0.1</v>
      </c>
      <c r="T104" s="148">
        <f>+DC_SPECT</f>
        <v>0.5</v>
      </c>
      <c r="U104" s="148">
        <v>0.3333333333333333</v>
      </c>
      <c r="V104" s="148">
        <f aca="true" t="shared" si="43" ref="V104:V111">+U104*T104</f>
        <v>0.16666666666666666</v>
      </c>
      <c r="W104" s="149">
        <f aca="true" t="shared" si="44" ref="W104:W111">+N104^2*K104*H104</f>
        <v>1.2000000000000001E-14</v>
      </c>
      <c r="X104" s="149">
        <f aca="true" t="shared" si="45" ref="X104:X111">+O104^2*K104*V104*H104</f>
        <v>5E-16</v>
      </c>
      <c r="Y104" s="150">
        <f t="shared" si="37"/>
        <v>5.157387100121526E-15</v>
      </c>
    </row>
    <row r="105" spans="1:31" s="49" customFormat="1" ht="12.75">
      <c r="A105" s="143"/>
      <c r="B105" s="144"/>
      <c r="C105" s="144"/>
      <c r="D105" s="144"/>
      <c r="E105" s="144"/>
      <c r="F105" s="144"/>
      <c r="G105" s="145" t="s">
        <v>117</v>
      </c>
      <c r="H105" s="144">
        <v>12</v>
      </c>
      <c r="I105" s="144" t="s">
        <v>113</v>
      </c>
      <c r="J105" s="144"/>
      <c r="K105" s="144">
        <f t="shared" si="23"/>
        <v>500</v>
      </c>
      <c r="L105" s="144" t="str">
        <f t="shared" si="24"/>
        <v>1000pF</v>
      </c>
      <c r="M105" s="144" t="str">
        <f t="shared" si="25"/>
        <v>0.08uH</v>
      </c>
      <c r="N105" s="146">
        <v>0</v>
      </c>
      <c r="O105" s="146">
        <v>0</v>
      </c>
      <c r="P105" s="147">
        <v>0</v>
      </c>
      <c r="Q105" s="147">
        <v>0</v>
      </c>
      <c r="R105" s="147">
        <v>0</v>
      </c>
      <c r="S105" s="144">
        <v>0.1</v>
      </c>
      <c r="T105" s="148">
        <f>+DC_SPECT</f>
        <v>0.5</v>
      </c>
      <c r="U105" s="148">
        <v>0.3333333333333333</v>
      </c>
      <c r="V105" s="148">
        <f t="shared" si="43"/>
        <v>0.16666666666666666</v>
      </c>
      <c r="W105" s="149">
        <f t="shared" si="44"/>
        <v>0</v>
      </c>
      <c r="X105" s="149">
        <f t="shared" si="45"/>
        <v>0</v>
      </c>
      <c r="Y105" s="150">
        <f t="shared" si="37"/>
        <v>0</v>
      </c>
      <c r="Z105" s="48"/>
      <c r="AA105" s="48"/>
      <c r="AB105" s="48"/>
      <c r="AC105" s="48"/>
      <c r="AD105" s="48"/>
      <c r="AE105" s="48"/>
    </row>
    <row r="106" spans="1:25" ht="12.75">
      <c r="A106" s="143" t="s">
        <v>3</v>
      </c>
      <c r="C106" s="158" t="s">
        <v>581</v>
      </c>
      <c r="D106" s="158" t="s">
        <v>629</v>
      </c>
      <c r="E106" s="158" t="s">
        <v>585</v>
      </c>
      <c r="F106" s="158" t="s">
        <v>50</v>
      </c>
      <c r="G106" s="159" t="s">
        <v>487</v>
      </c>
      <c r="H106" s="158">
        <v>24</v>
      </c>
      <c r="I106" s="158">
        <v>3</v>
      </c>
      <c r="J106" s="158" t="s">
        <v>83</v>
      </c>
      <c r="K106" s="158">
        <f t="shared" si="23"/>
        <v>500</v>
      </c>
      <c r="L106" s="158" t="str">
        <f t="shared" si="24"/>
        <v>1000pF</v>
      </c>
      <c r="M106" s="158" t="str">
        <f t="shared" si="25"/>
        <v>0.08uH</v>
      </c>
      <c r="N106" s="162">
        <f>+MAX_I_BOLSIG</f>
        <v>1E-09</v>
      </c>
      <c r="O106" s="162">
        <f>+AVG_I_BOLSIG</f>
        <v>5E-10</v>
      </c>
      <c r="P106" s="167">
        <v>1</v>
      </c>
      <c r="Q106" s="167">
        <v>0</v>
      </c>
      <c r="R106" s="167">
        <v>0</v>
      </c>
      <c r="S106" s="158">
        <v>0.1</v>
      </c>
      <c r="T106" s="163">
        <f aca="true" t="shared" si="46" ref="T106:T111">+DC_SPECT</f>
        <v>0.5</v>
      </c>
      <c r="U106" s="163">
        <v>0.3333333333333333</v>
      </c>
      <c r="V106" s="163">
        <f t="shared" si="43"/>
        <v>0.16666666666666666</v>
      </c>
      <c r="W106" s="160">
        <f t="shared" si="44"/>
        <v>1.2000000000000001E-14</v>
      </c>
      <c r="X106" s="160">
        <f t="shared" si="45"/>
        <v>5E-16</v>
      </c>
      <c r="Y106" s="161">
        <f t="shared" si="37"/>
        <v>5.157387100121526E-15</v>
      </c>
    </row>
    <row r="107" spans="3:25" ht="12.75">
      <c r="C107" s="151"/>
      <c r="D107" s="151"/>
      <c r="E107" s="151"/>
      <c r="F107" s="151"/>
      <c r="G107" s="152" t="s">
        <v>117</v>
      </c>
      <c r="H107" s="151">
        <v>12</v>
      </c>
      <c r="I107" s="151" t="s">
        <v>113</v>
      </c>
      <c r="J107" s="151"/>
      <c r="K107" s="151">
        <f t="shared" si="23"/>
        <v>500</v>
      </c>
      <c r="L107" s="151" t="str">
        <f t="shared" si="24"/>
        <v>1000pF</v>
      </c>
      <c r="M107" s="151" t="str">
        <f t="shared" si="25"/>
        <v>0.08uH</v>
      </c>
      <c r="N107" s="153">
        <v>0</v>
      </c>
      <c r="O107" s="153">
        <v>0</v>
      </c>
      <c r="P107" s="154">
        <v>0</v>
      </c>
      <c r="Q107" s="154">
        <v>0</v>
      </c>
      <c r="R107" s="154">
        <v>0</v>
      </c>
      <c r="S107" s="151">
        <v>0.1</v>
      </c>
      <c r="T107" s="155">
        <f t="shared" si="46"/>
        <v>0.5</v>
      </c>
      <c r="U107" s="155">
        <v>0.3333333333333333</v>
      </c>
      <c r="V107" s="155">
        <f t="shared" si="43"/>
        <v>0.16666666666666666</v>
      </c>
      <c r="W107" s="156">
        <f t="shared" si="44"/>
        <v>0</v>
      </c>
      <c r="X107" s="156">
        <f t="shared" si="45"/>
        <v>0</v>
      </c>
      <c r="Y107" s="157">
        <f t="shared" si="37"/>
        <v>0</v>
      </c>
    </row>
    <row r="108" spans="3:25" ht="12.75">
      <c r="C108" s="144" t="s">
        <v>582</v>
      </c>
      <c r="D108" s="144" t="s">
        <v>629</v>
      </c>
      <c r="E108" s="144" t="s">
        <v>586</v>
      </c>
      <c r="F108" s="144" t="s">
        <v>50</v>
      </c>
      <c r="G108" s="145" t="s">
        <v>488</v>
      </c>
      <c r="H108" s="144">
        <v>24</v>
      </c>
      <c r="I108" s="144">
        <v>3</v>
      </c>
      <c r="J108" s="144" t="s">
        <v>83</v>
      </c>
      <c r="K108" s="144">
        <f t="shared" si="23"/>
        <v>500</v>
      </c>
      <c r="L108" s="144" t="str">
        <f t="shared" si="24"/>
        <v>1000pF</v>
      </c>
      <c r="M108" s="144" t="str">
        <f t="shared" si="25"/>
        <v>0.08uH</v>
      </c>
      <c r="N108" s="146">
        <f>+MAX_I_BOLSIG</f>
        <v>1E-09</v>
      </c>
      <c r="O108" s="146">
        <f>+AVG_I_BOLSIG</f>
        <v>5E-10</v>
      </c>
      <c r="P108" s="147">
        <v>1</v>
      </c>
      <c r="Q108" s="147">
        <v>0</v>
      </c>
      <c r="R108" s="147">
        <v>0</v>
      </c>
      <c r="S108" s="144">
        <v>0.1</v>
      </c>
      <c r="T108" s="148">
        <f t="shared" si="46"/>
        <v>0.5</v>
      </c>
      <c r="U108" s="148">
        <v>0.3333333333333333</v>
      </c>
      <c r="V108" s="148">
        <f t="shared" si="43"/>
        <v>0.16666666666666666</v>
      </c>
      <c r="W108" s="149">
        <f t="shared" si="44"/>
        <v>1.2000000000000001E-14</v>
      </c>
      <c r="X108" s="149">
        <f t="shared" si="45"/>
        <v>5E-16</v>
      </c>
      <c r="Y108" s="150">
        <f t="shared" si="37"/>
        <v>5.157387100121526E-15</v>
      </c>
    </row>
    <row r="109" spans="3:25" ht="12.75">
      <c r="C109" s="151"/>
      <c r="D109" s="151"/>
      <c r="E109" s="151"/>
      <c r="F109" s="151"/>
      <c r="G109" s="152" t="s">
        <v>117</v>
      </c>
      <c r="H109" s="151">
        <v>12</v>
      </c>
      <c r="I109" s="151" t="s">
        <v>113</v>
      </c>
      <c r="J109" s="151"/>
      <c r="K109" s="151">
        <f t="shared" si="23"/>
        <v>500</v>
      </c>
      <c r="L109" s="151" t="str">
        <f t="shared" si="24"/>
        <v>1000pF</v>
      </c>
      <c r="M109" s="151" t="str">
        <f t="shared" si="25"/>
        <v>0.08uH</v>
      </c>
      <c r="N109" s="153">
        <v>0</v>
      </c>
      <c r="O109" s="153">
        <v>0</v>
      </c>
      <c r="P109" s="154">
        <v>0</v>
      </c>
      <c r="Q109" s="154">
        <v>0</v>
      </c>
      <c r="R109" s="154">
        <v>0</v>
      </c>
      <c r="S109" s="151">
        <v>0.1</v>
      </c>
      <c r="T109" s="155">
        <f t="shared" si="46"/>
        <v>0.5</v>
      </c>
      <c r="U109" s="155">
        <v>0.3333333333333333</v>
      </c>
      <c r="V109" s="155">
        <f t="shared" si="43"/>
        <v>0.16666666666666666</v>
      </c>
      <c r="W109" s="156">
        <f t="shared" si="44"/>
        <v>0</v>
      </c>
      <c r="X109" s="156">
        <f t="shared" si="45"/>
        <v>0</v>
      </c>
      <c r="Y109" s="157">
        <f t="shared" si="37"/>
        <v>0</v>
      </c>
    </row>
    <row r="110" spans="3:25" ht="12.75">
      <c r="C110" s="144" t="s">
        <v>583</v>
      </c>
      <c r="D110" s="144" t="s">
        <v>629</v>
      </c>
      <c r="E110" s="144" t="s">
        <v>587</v>
      </c>
      <c r="F110" s="144" t="s">
        <v>50</v>
      </c>
      <c r="G110" s="145" t="s">
        <v>296</v>
      </c>
      <c r="H110" s="144">
        <v>24</v>
      </c>
      <c r="I110" s="144">
        <v>3</v>
      </c>
      <c r="J110" s="144" t="s">
        <v>83</v>
      </c>
      <c r="K110" s="144">
        <f t="shared" si="23"/>
        <v>500</v>
      </c>
      <c r="L110" s="144" t="str">
        <f t="shared" si="24"/>
        <v>1000pF</v>
      </c>
      <c r="M110" s="144" t="str">
        <f t="shared" si="25"/>
        <v>0.08uH</v>
      </c>
      <c r="N110" s="146">
        <f>+MAX_I_BOLSIG</f>
        <v>1E-09</v>
      </c>
      <c r="O110" s="146">
        <f>+AVG_I_BOLSIG</f>
        <v>5E-10</v>
      </c>
      <c r="P110" s="147">
        <v>1</v>
      </c>
      <c r="Q110" s="147">
        <v>0</v>
      </c>
      <c r="R110" s="147">
        <v>0</v>
      </c>
      <c r="S110" s="144">
        <v>0.1</v>
      </c>
      <c r="T110" s="148">
        <f t="shared" si="46"/>
        <v>0.5</v>
      </c>
      <c r="U110" s="148">
        <v>0.3333333333333333</v>
      </c>
      <c r="V110" s="148">
        <f t="shared" si="43"/>
        <v>0.16666666666666666</v>
      </c>
      <c r="W110" s="149">
        <f t="shared" si="44"/>
        <v>1.2000000000000001E-14</v>
      </c>
      <c r="X110" s="149">
        <f t="shared" si="45"/>
        <v>5E-16</v>
      </c>
      <c r="Y110" s="150">
        <f t="shared" si="37"/>
        <v>5.157387100121526E-15</v>
      </c>
    </row>
    <row r="111" spans="7:25" ht="12.75">
      <c r="G111" s="145" t="s">
        <v>117</v>
      </c>
      <c r="H111" s="144">
        <v>12</v>
      </c>
      <c r="I111" s="144" t="s">
        <v>113</v>
      </c>
      <c r="K111" s="144">
        <f t="shared" si="23"/>
        <v>500</v>
      </c>
      <c r="L111" s="144" t="str">
        <f t="shared" si="24"/>
        <v>1000pF</v>
      </c>
      <c r="M111" s="144" t="str">
        <f t="shared" si="25"/>
        <v>0.08uH</v>
      </c>
      <c r="N111" s="146">
        <v>0</v>
      </c>
      <c r="O111" s="146">
        <v>0</v>
      </c>
      <c r="P111" s="147">
        <v>0</v>
      </c>
      <c r="Q111" s="147">
        <v>0</v>
      </c>
      <c r="R111" s="147">
        <v>0</v>
      </c>
      <c r="S111" s="144">
        <v>0.1</v>
      </c>
      <c r="T111" s="148">
        <f t="shared" si="46"/>
        <v>0.5</v>
      </c>
      <c r="U111" s="148">
        <v>0.3333333333333333</v>
      </c>
      <c r="V111" s="148">
        <f t="shared" si="43"/>
        <v>0.16666666666666666</v>
      </c>
      <c r="W111" s="149">
        <f t="shared" si="44"/>
        <v>0</v>
      </c>
      <c r="X111" s="149">
        <f t="shared" si="45"/>
        <v>0</v>
      </c>
      <c r="Y111" s="150">
        <f t="shared" si="37"/>
        <v>0</v>
      </c>
    </row>
    <row r="112" spans="1:31" s="187" customFormat="1" ht="26.25" thickBot="1">
      <c r="A112" s="177"/>
      <c r="B112" s="178"/>
      <c r="C112" s="178"/>
      <c r="D112" s="179"/>
      <c r="E112" s="179"/>
      <c r="F112" s="179"/>
      <c r="G112" s="179" t="s">
        <v>710</v>
      </c>
      <c r="H112" s="178"/>
      <c r="I112" s="178"/>
      <c r="J112" s="180" t="s">
        <v>711</v>
      </c>
      <c r="K112" s="178">
        <v>50</v>
      </c>
      <c r="L112" s="178"/>
      <c r="M112" s="178" t="s">
        <v>712</v>
      </c>
      <c r="N112" s="181"/>
      <c r="O112" s="181"/>
      <c r="P112" s="182"/>
      <c r="Q112" s="182"/>
      <c r="R112" s="182"/>
      <c r="S112" s="178" t="s">
        <v>103</v>
      </c>
      <c r="T112" s="183"/>
      <c r="U112" s="183"/>
      <c r="V112" s="183"/>
      <c r="W112" s="184"/>
      <c r="X112" s="184"/>
      <c r="Y112" s="185">
        <f t="shared" si="37"/>
        <v>0</v>
      </c>
      <c r="Z112" s="186"/>
      <c r="AA112" s="186"/>
      <c r="AB112" s="186"/>
      <c r="AC112" s="186"/>
      <c r="AD112" s="186"/>
      <c r="AE112" s="186"/>
    </row>
    <row r="113" spans="1:25" s="49" customFormat="1" ht="13.5" thickTop="1">
      <c r="A113" s="143" t="s">
        <v>76</v>
      </c>
      <c r="B113" s="144" t="s">
        <v>97</v>
      </c>
      <c r="C113" s="144" t="s">
        <v>588</v>
      </c>
      <c r="D113" s="144" t="s">
        <v>629</v>
      </c>
      <c r="E113" s="144" t="s">
        <v>592</v>
      </c>
      <c r="F113" s="144" t="s">
        <v>50</v>
      </c>
      <c r="G113" s="145" t="s">
        <v>297</v>
      </c>
      <c r="H113" s="144">
        <v>24</v>
      </c>
      <c r="I113" s="144">
        <v>3</v>
      </c>
      <c r="J113" s="144" t="s">
        <v>83</v>
      </c>
      <c r="K113" s="144">
        <f t="shared" si="23"/>
        <v>500</v>
      </c>
      <c r="L113" s="144" t="str">
        <f t="shared" si="24"/>
        <v>1000pF</v>
      </c>
      <c r="M113" s="144" t="str">
        <f t="shared" si="25"/>
        <v>0.08uH</v>
      </c>
      <c r="N113" s="146">
        <f>+MAX_I_BOLSIG</f>
        <v>1E-09</v>
      </c>
      <c r="O113" s="146">
        <f>+AVG_I_BOLSIG</f>
        <v>5E-10</v>
      </c>
      <c r="P113" s="147">
        <v>1</v>
      </c>
      <c r="Q113" s="147">
        <v>0</v>
      </c>
      <c r="R113" s="147">
        <v>0</v>
      </c>
      <c r="S113" s="144">
        <v>0.1</v>
      </c>
      <c r="T113" s="148">
        <f>+DC_SPECT</f>
        <v>0.5</v>
      </c>
      <c r="U113" s="148">
        <v>0.3333333333333333</v>
      </c>
      <c r="V113" s="148">
        <f aca="true" t="shared" si="47" ref="V113:V120">+U113*T113</f>
        <v>0.16666666666666666</v>
      </c>
      <c r="W113" s="149">
        <f aca="true" t="shared" si="48" ref="W113:W120">+N113^2*K113*H113</f>
        <v>1.2000000000000001E-14</v>
      </c>
      <c r="X113" s="149">
        <f aca="true" t="shared" si="49" ref="X113:X120">+O113^2*K113*V113*H113</f>
        <v>5E-16</v>
      </c>
      <c r="Y113" s="150">
        <f t="shared" si="37"/>
        <v>5.157387100121526E-15</v>
      </c>
    </row>
    <row r="114" spans="1:25" s="49" customFormat="1" ht="12.75">
      <c r="A114" s="143"/>
      <c r="B114" s="144"/>
      <c r="C114" s="144"/>
      <c r="D114" s="144"/>
      <c r="E114" s="144"/>
      <c r="F114" s="144"/>
      <c r="G114" s="145" t="s">
        <v>117</v>
      </c>
      <c r="H114" s="144">
        <v>12</v>
      </c>
      <c r="I114" s="144" t="s">
        <v>113</v>
      </c>
      <c r="J114" s="144"/>
      <c r="K114" s="144">
        <f t="shared" si="23"/>
        <v>500</v>
      </c>
      <c r="L114" s="144" t="str">
        <f t="shared" si="24"/>
        <v>1000pF</v>
      </c>
      <c r="M114" s="144" t="str">
        <f t="shared" si="25"/>
        <v>0.08uH</v>
      </c>
      <c r="N114" s="146">
        <v>0</v>
      </c>
      <c r="O114" s="146">
        <v>0</v>
      </c>
      <c r="P114" s="147">
        <v>0</v>
      </c>
      <c r="Q114" s="147">
        <v>0</v>
      </c>
      <c r="R114" s="147">
        <v>0</v>
      </c>
      <c r="S114" s="144">
        <v>0.1</v>
      </c>
      <c r="T114" s="148">
        <f>+DC_SPECT</f>
        <v>0.5</v>
      </c>
      <c r="U114" s="148">
        <v>0.3333333333333333</v>
      </c>
      <c r="V114" s="148">
        <f t="shared" si="47"/>
        <v>0.16666666666666666</v>
      </c>
      <c r="W114" s="149">
        <f t="shared" si="48"/>
        <v>0</v>
      </c>
      <c r="X114" s="149">
        <f t="shared" si="49"/>
        <v>0</v>
      </c>
      <c r="Y114" s="150">
        <f t="shared" si="37"/>
        <v>0</v>
      </c>
    </row>
    <row r="115" spans="1:25" ht="12.75">
      <c r="A115" s="143" t="s">
        <v>3</v>
      </c>
      <c r="C115" s="158" t="s">
        <v>589</v>
      </c>
      <c r="D115" s="158" t="s">
        <v>629</v>
      </c>
      <c r="E115" s="158" t="s">
        <v>593</v>
      </c>
      <c r="F115" s="158" t="s">
        <v>50</v>
      </c>
      <c r="G115" s="159" t="s">
        <v>298</v>
      </c>
      <c r="H115" s="158">
        <v>24</v>
      </c>
      <c r="I115" s="158">
        <v>3</v>
      </c>
      <c r="J115" s="158" t="s">
        <v>83</v>
      </c>
      <c r="K115" s="158">
        <f t="shared" si="23"/>
        <v>500</v>
      </c>
      <c r="L115" s="158" t="str">
        <f t="shared" si="24"/>
        <v>1000pF</v>
      </c>
      <c r="M115" s="158" t="str">
        <f t="shared" si="25"/>
        <v>0.08uH</v>
      </c>
      <c r="N115" s="162">
        <f>+MAX_I_BOLSIG</f>
        <v>1E-09</v>
      </c>
      <c r="O115" s="162">
        <f>+AVG_I_BOLSIG</f>
        <v>5E-10</v>
      </c>
      <c r="P115" s="167">
        <v>1</v>
      </c>
      <c r="Q115" s="167">
        <v>0</v>
      </c>
      <c r="R115" s="167">
        <v>0</v>
      </c>
      <c r="S115" s="158">
        <v>0.1</v>
      </c>
      <c r="T115" s="163">
        <f aca="true" t="shared" si="50" ref="T115:T120">+DC_SPECT</f>
        <v>0.5</v>
      </c>
      <c r="U115" s="163">
        <v>0.3333333333333333</v>
      </c>
      <c r="V115" s="163">
        <f t="shared" si="47"/>
        <v>0.16666666666666666</v>
      </c>
      <c r="W115" s="160">
        <f t="shared" si="48"/>
        <v>1.2000000000000001E-14</v>
      </c>
      <c r="X115" s="160">
        <f t="shared" si="49"/>
        <v>5E-16</v>
      </c>
      <c r="Y115" s="161">
        <f t="shared" si="37"/>
        <v>5.157387100121526E-15</v>
      </c>
    </row>
    <row r="116" spans="3:25" ht="12.75">
      <c r="C116" s="151"/>
      <c r="D116" s="151"/>
      <c r="E116" s="151"/>
      <c r="F116" s="151"/>
      <c r="G116" s="152" t="s">
        <v>117</v>
      </c>
      <c r="H116" s="151">
        <v>12</v>
      </c>
      <c r="I116" s="151" t="s">
        <v>113</v>
      </c>
      <c r="J116" s="151"/>
      <c r="K116" s="151">
        <f t="shared" si="23"/>
        <v>500</v>
      </c>
      <c r="L116" s="151" t="str">
        <f t="shared" si="24"/>
        <v>1000pF</v>
      </c>
      <c r="M116" s="151" t="str">
        <f t="shared" si="25"/>
        <v>0.08uH</v>
      </c>
      <c r="N116" s="153">
        <v>0</v>
      </c>
      <c r="O116" s="153">
        <v>0</v>
      </c>
      <c r="P116" s="154">
        <v>0</v>
      </c>
      <c r="Q116" s="154">
        <v>0</v>
      </c>
      <c r="R116" s="154">
        <v>0</v>
      </c>
      <c r="S116" s="151">
        <v>0.1</v>
      </c>
      <c r="T116" s="155">
        <f t="shared" si="50"/>
        <v>0.5</v>
      </c>
      <c r="U116" s="155">
        <v>0.3333333333333333</v>
      </c>
      <c r="V116" s="155">
        <f t="shared" si="47"/>
        <v>0.16666666666666666</v>
      </c>
      <c r="W116" s="156">
        <f t="shared" si="48"/>
        <v>0</v>
      </c>
      <c r="X116" s="156">
        <f t="shared" si="49"/>
        <v>0</v>
      </c>
      <c r="Y116" s="157">
        <f t="shared" si="37"/>
        <v>0</v>
      </c>
    </row>
    <row r="117" spans="3:25" ht="12.75">
      <c r="C117" s="144" t="s">
        <v>590</v>
      </c>
      <c r="D117" s="144" t="s">
        <v>629</v>
      </c>
      <c r="E117" s="144" t="s">
        <v>594</v>
      </c>
      <c r="F117" s="144" t="s">
        <v>50</v>
      </c>
      <c r="G117" s="145" t="s">
        <v>299</v>
      </c>
      <c r="H117" s="144">
        <v>24</v>
      </c>
      <c r="I117" s="144">
        <v>3</v>
      </c>
      <c r="J117" s="144" t="s">
        <v>83</v>
      </c>
      <c r="K117" s="144">
        <f t="shared" si="23"/>
        <v>500</v>
      </c>
      <c r="L117" s="144" t="str">
        <f t="shared" si="24"/>
        <v>1000pF</v>
      </c>
      <c r="M117" s="144" t="str">
        <f t="shared" si="25"/>
        <v>0.08uH</v>
      </c>
      <c r="N117" s="146">
        <f>+MAX_I_BOLSIG</f>
        <v>1E-09</v>
      </c>
      <c r="O117" s="146">
        <f>+AVG_I_BOLSIG</f>
        <v>5E-10</v>
      </c>
      <c r="P117" s="147">
        <v>1</v>
      </c>
      <c r="Q117" s="147">
        <v>0</v>
      </c>
      <c r="R117" s="147">
        <v>0</v>
      </c>
      <c r="S117" s="144">
        <v>0.1</v>
      </c>
      <c r="T117" s="148">
        <f t="shared" si="50"/>
        <v>0.5</v>
      </c>
      <c r="U117" s="148">
        <v>0.3333333333333333</v>
      </c>
      <c r="V117" s="148">
        <f t="shared" si="47"/>
        <v>0.16666666666666666</v>
      </c>
      <c r="W117" s="149">
        <f t="shared" si="48"/>
        <v>1.2000000000000001E-14</v>
      </c>
      <c r="X117" s="149">
        <f t="shared" si="49"/>
        <v>5E-16</v>
      </c>
      <c r="Y117" s="150">
        <f t="shared" si="37"/>
        <v>5.157387100121526E-15</v>
      </c>
    </row>
    <row r="118" spans="3:25" ht="12.75">
      <c r="C118" s="151"/>
      <c r="D118" s="151"/>
      <c r="E118" s="151"/>
      <c r="F118" s="151"/>
      <c r="G118" s="152" t="s">
        <v>117</v>
      </c>
      <c r="H118" s="151">
        <v>12</v>
      </c>
      <c r="I118" s="151" t="s">
        <v>113</v>
      </c>
      <c r="J118" s="151"/>
      <c r="K118" s="151">
        <f t="shared" si="23"/>
        <v>500</v>
      </c>
      <c r="L118" s="151" t="str">
        <f t="shared" si="24"/>
        <v>1000pF</v>
      </c>
      <c r="M118" s="151" t="str">
        <f t="shared" si="25"/>
        <v>0.08uH</v>
      </c>
      <c r="N118" s="153">
        <v>0</v>
      </c>
      <c r="O118" s="153">
        <v>0</v>
      </c>
      <c r="P118" s="154">
        <v>0</v>
      </c>
      <c r="Q118" s="154">
        <v>0</v>
      </c>
      <c r="R118" s="154">
        <v>0</v>
      </c>
      <c r="S118" s="151">
        <v>0.1</v>
      </c>
      <c r="T118" s="155">
        <f t="shared" si="50"/>
        <v>0.5</v>
      </c>
      <c r="U118" s="155">
        <v>0.3333333333333333</v>
      </c>
      <c r="V118" s="155">
        <f t="shared" si="47"/>
        <v>0.16666666666666666</v>
      </c>
      <c r="W118" s="156">
        <f t="shared" si="48"/>
        <v>0</v>
      </c>
      <c r="X118" s="156">
        <f t="shared" si="49"/>
        <v>0</v>
      </c>
      <c r="Y118" s="157">
        <f>+X118/$X$189</f>
        <v>0</v>
      </c>
    </row>
    <row r="119" spans="3:25" ht="12.75">
      <c r="C119" s="144" t="s">
        <v>591</v>
      </c>
      <c r="D119" s="144" t="s">
        <v>629</v>
      </c>
      <c r="E119" s="144" t="s">
        <v>595</v>
      </c>
      <c r="F119" s="144" t="s">
        <v>50</v>
      </c>
      <c r="G119" s="145" t="s">
        <v>300</v>
      </c>
      <c r="H119" s="144">
        <v>24</v>
      </c>
      <c r="I119" s="144">
        <v>3</v>
      </c>
      <c r="J119" s="144" t="s">
        <v>83</v>
      </c>
      <c r="K119" s="144">
        <f t="shared" si="23"/>
        <v>500</v>
      </c>
      <c r="L119" s="144" t="str">
        <f t="shared" si="24"/>
        <v>1000pF</v>
      </c>
      <c r="M119" s="144" t="str">
        <f t="shared" si="25"/>
        <v>0.08uH</v>
      </c>
      <c r="N119" s="146">
        <f>+MAX_I_BOLSIG</f>
        <v>1E-09</v>
      </c>
      <c r="O119" s="146">
        <f>+AVG_I_BOLSIG</f>
        <v>5E-10</v>
      </c>
      <c r="P119" s="147">
        <v>1</v>
      </c>
      <c r="Q119" s="147">
        <v>0</v>
      </c>
      <c r="R119" s="147">
        <v>0</v>
      </c>
      <c r="S119" s="144">
        <v>0.1</v>
      </c>
      <c r="T119" s="148">
        <f t="shared" si="50"/>
        <v>0.5</v>
      </c>
      <c r="U119" s="148">
        <v>0.3333333333333333</v>
      </c>
      <c r="V119" s="148">
        <f t="shared" si="47"/>
        <v>0.16666666666666666</v>
      </c>
      <c r="W119" s="149">
        <f t="shared" si="48"/>
        <v>1.2000000000000001E-14</v>
      </c>
      <c r="X119" s="149">
        <f t="shared" si="49"/>
        <v>5E-16</v>
      </c>
      <c r="Y119" s="150">
        <f>+X119/$X$189</f>
        <v>5.157387100121526E-15</v>
      </c>
    </row>
    <row r="120" spans="7:25" ht="12.75">
      <c r="G120" s="145" t="s">
        <v>117</v>
      </c>
      <c r="H120" s="144">
        <v>12</v>
      </c>
      <c r="I120" s="144" t="s">
        <v>113</v>
      </c>
      <c r="K120" s="144">
        <f t="shared" si="23"/>
        <v>500</v>
      </c>
      <c r="L120" s="144" t="str">
        <f t="shared" si="24"/>
        <v>1000pF</v>
      </c>
      <c r="M120" s="144" t="str">
        <f t="shared" si="25"/>
        <v>0.08uH</v>
      </c>
      <c r="N120" s="146">
        <v>0</v>
      </c>
      <c r="O120" s="146">
        <v>0</v>
      </c>
      <c r="P120" s="147">
        <v>0</v>
      </c>
      <c r="Q120" s="147">
        <v>0</v>
      </c>
      <c r="R120" s="147">
        <v>0</v>
      </c>
      <c r="S120" s="144">
        <v>0.1</v>
      </c>
      <c r="T120" s="148">
        <f t="shared" si="50"/>
        <v>0.5</v>
      </c>
      <c r="U120" s="148">
        <v>0.3333333333333333</v>
      </c>
      <c r="V120" s="148">
        <f t="shared" si="47"/>
        <v>0.16666666666666666</v>
      </c>
      <c r="W120" s="149">
        <f t="shared" si="48"/>
        <v>0</v>
      </c>
      <c r="X120" s="149">
        <f t="shared" si="49"/>
        <v>0</v>
      </c>
      <c r="Y120" s="150">
        <f>+X120/$X$189</f>
        <v>0</v>
      </c>
    </row>
    <row r="121" spans="1:31" s="187" customFormat="1" ht="26.25" thickBot="1">
      <c r="A121" s="177"/>
      <c r="B121" s="178"/>
      <c r="C121" s="178"/>
      <c r="D121" s="179"/>
      <c r="E121" s="179"/>
      <c r="F121" s="179"/>
      <c r="G121" s="179" t="s">
        <v>710</v>
      </c>
      <c r="H121" s="178"/>
      <c r="I121" s="178"/>
      <c r="J121" s="180" t="s">
        <v>711</v>
      </c>
      <c r="K121" s="178">
        <v>50</v>
      </c>
      <c r="L121" s="178"/>
      <c r="M121" s="178" t="s">
        <v>712</v>
      </c>
      <c r="N121" s="181"/>
      <c r="O121" s="181"/>
      <c r="P121" s="182"/>
      <c r="Q121" s="182"/>
      <c r="R121" s="182"/>
      <c r="S121" s="178" t="s">
        <v>103</v>
      </c>
      <c r="T121" s="183"/>
      <c r="U121" s="183"/>
      <c r="V121" s="183"/>
      <c r="W121" s="184"/>
      <c r="X121" s="184"/>
      <c r="Y121" s="185">
        <f>+X121/$X$189</f>
        <v>0</v>
      </c>
      <c r="Z121" s="186"/>
      <c r="AA121" s="186"/>
      <c r="AB121" s="186"/>
      <c r="AC121" s="186"/>
      <c r="AD121" s="186"/>
      <c r="AE121" s="186"/>
    </row>
    <row r="122" spans="1:25" s="49" customFormat="1" ht="13.5" thickTop="1">
      <c r="A122" s="143" t="s">
        <v>77</v>
      </c>
      <c r="B122" s="144" t="s">
        <v>154</v>
      </c>
      <c r="C122" s="144" t="s">
        <v>596</v>
      </c>
      <c r="D122" s="144" t="s">
        <v>516</v>
      </c>
      <c r="E122" s="144" t="s">
        <v>599</v>
      </c>
      <c r="F122" s="144" t="s">
        <v>56</v>
      </c>
      <c r="G122" s="145" t="s">
        <v>40</v>
      </c>
      <c r="H122" s="144">
        <v>4</v>
      </c>
      <c r="I122" s="144">
        <v>0</v>
      </c>
      <c r="J122" s="144" t="s">
        <v>158</v>
      </c>
      <c r="K122" s="144">
        <f>+RC_SCO_SPH</f>
        <v>10</v>
      </c>
      <c r="L122" s="144"/>
      <c r="M122" s="144"/>
      <c r="N122" s="146">
        <f>+SCO_MAXI_SPH</f>
        <v>0.025</v>
      </c>
      <c r="O122" s="146">
        <f>+SCO_AVGI_SPH</f>
        <v>0.00625</v>
      </c>
      <c r="P122" s="147">
        <v>0</v>
      </c>
      <c r="Q122" s="147">
        <v>0</v>
      </c>
      <c r="R122" s="147">
        <v>1</v>
      </c>
      <c r="S122" s="144"/>
      <c r="T122" s="148">
        <f>+SCO_DC_SPH</f>
        <v>0.020833333333333332</v>
      </c>
      <c r="U122" s="148">
        <v>0.3333333333333333</v>
      </c>
      <c r="V122" s="148">
        <f aca="true" t="shared" si="51" ref="V122:V127">+U122*T122</f>
        <v>0.006944444444444444</v>
      </c>
      <c r="W122" s="149">
        <f>+N122^2*K122*H122</f>
        <v>0.025000000000000005</v>
      </c>
      <c r="X122" s="149">
        <f>+O122^2*K122*V122*H122</f>
        <v>1.0850694444444447E-05</v>
      </c>
      <c r="Y122" s="150">
        <f>+X122/$X$189</f>
        <v>0.00011192246311027619</v>
      </c>
    </row>
    <row r="123" spans="1:25" s="49" customFormat="1" ht="12.75">
      <c r="A123" s="143"/>
      <c r="B123" s="144"/>
      <c r="C123" s="144"/>
      <c r="D123" s="144"/>
      <c r="E123" s="144"/>
      <c r="F123" s="144"/>
      <c r="G123" s="145" t="s">
        <v>708</v>
      </c>
      <c r="H123" s="144">
        <v>4</v>
      </c>
      <c r="I123" s="144">
        <v>0</v>
      </c>
      <c r="J123" s="144" t="s">
        <v>158</v>
      </c>
      <c r="K123" s="144">
        <f>+RC_SCO_HSH</f>
        <v>50</v>
      </c>
      <c r="L123" s="144"/>
      <c r="M123" s="144"/>
      <c r="N123" s="146">
        <f>+SCO_MAXI_HSH</f>
        <v>0.0015</v>
      </c>
      <c r="O123" s="146">
        <f>+SCO_AVGI_HSH</f>
        <v>0.000375</v>
      </c>
      <c r="P123" s="147">
        <v>0</v>
      </c>
      <c r="Q123" s="147">
        <v>0</v>
      </c>
      <c r="R123" s="147">
        <v>1</v>
      </c>
      <c r="S123" s="144"/>
      <c r="T123" s="148"/>
      <c r="U123" s="148"/>
      <c r="V123" s="148"/>
      <c r="W123" s="149"/>
      <c r="X123" s="149"/>
      <c r="Y123" s="150"/>
    </row>
    <row r="124" spans="1:31" s="49" customFormat="1" ht="12.75">
      <c r="A124" s="143" t="s">
        <v>4</v>
      </c>
      <c r="B124" s="144"/>
      <c r="C124" s="144"/>
      <c r="D124" s="144"/>
      <c r="E124" s="144"/>
      <c r="F124" s="144"/>
      <c r="G124" s="145" t="s">
        <v>709</v>
      </c>
      <c r="H124" s="144">
        <v>4</v>
      </c>
      <c r="I124" s="144">
        <v>0</v>
      </c>
      <c r="J124" s="144" t="s">
        <v>158</v>
      </c>
      <c r="K124" s="144">
        <f>+RC_SCO_HSH</f>
        <v>50</v>
      </c>
      <c r="L124" s="144"/>
      <c r="M124" s="144"/>
      <c r="N124" s="146">
        <f>+SCO_MAXI_HSH</f>
        <v>0.0015</v>
      </c>
      <c r="O124" s="146">
        <f>+SCO_AVGI_HSH</f>
        <v>0.000375</v>
      </c>
      <c r="P124" s="147">
        <v>1</v>
      </c>
      <c r="Q124" s="147">
        <v>1</v>
      </c>
      <c r="R124" s="147">
        <v>1</v>
      </c>
      <c r="S124" s="144"/>
      <c r="T124" s="148">
        <f>+SCO_DC_HSH</f>
        <v>0.020833333333333332</v>
      </c>
      <c r="U124" s="148">
        <v>0.3333333333333333</v>
      </c>
      <c r="V124" s="148">
        <f t="shared" si="51"/>
        <v>0.006944444444444444</v>
      </c>
      <c r="W124" s="149">
        <f aca="true" t="shared" si="52" ref="W124:W130">+N124^2*K124*H124</f>
        <v>0.00045</v>
      </c>
      <c r="X124" s="149">
        <f aca="true" t="shared" si="53" ref="X124:X130">+O124^2*K124*V124*H124</f>
        <v>1.9531249999999998E-07</v>
      </c>
      <c r="Y124" s="150">
        <f aca="true" t="shared" si="54" ref="Y124:Y163">+X124/$X$189</f>
        <v>2.014604335984971E-06</v>
      </c>
      <c r="Z124" s="48"/>
      <c r="AA124" s="48"/>
      <c r="AB124" s="48"/>
      <c r="AC124" s="48"/>
      <c r="AD124" s="48"/>
      <c r="AE124" s="48"/>
    </row>
    <row r="125" spans="7:25" ht="12.75">
      <c r="G125" s="145" t="s">
        <v>52</v>
      </c>
      <c r="H125" s="144">
        <v>20</v>
      </c>
      <c r="I125" s="144">
        <v>5</v>
      </c>
      <c r="J125" s="144" t="s">
        <v>155</v>
      </c>
      <c r="K125" s="144">
        <f>+RC_CERNOX</f>
        <v>1000</v>
      </c>
      <c r="N125" s="146">
        <f>+I_CERNOX</f>
        <v>1E-06</v>
      </c>
      <c r="O125" s="146">
        <f>+I_CERNOX</f>
        <v>1E-06</v>
      </c>
      <c r="P125" s="147">
        <v>1</v>
      </c>
      <c r="Q125" s="147">
        <v>1</v>
      </c>
      <c r="R125" s="147">
        <v>1</v>
      </c>
      <c r="T125" s="148">
        <v>1</v>
      </c>
      <c r="U125" s="148">
        <v>0.333</v>
      </c>
      <c r="V125" s="148">
        <f t="shared" si="51"/>
        <v>0.333</v>
      </c>
      <c r="W125" s="149">
        <f t="shared" si="52"/>
        <v>2E-08</v>
      </c>
      <c r="X125" s="149">
        <f t="shared" si="53"/>
        <v>6.6600000000000006E-09</v>
      </c>
      <c r="Y125" s="150">
        <f t="shared" si="54"/>
        <v>6.869639617361873E-08</v>
      </c>
    </row>
    <row r="126" spans="3:25" ht="12.75">
      <c r="C126" s="158" t="s">
        <v>597</v>
      </c>
      <c r="D126" s="158" t="s">
        <v>516</v>
      </c>
      <c r="E126" s="158" t="s">
        <v>600</v>
      </c>
      <c r="F126" s="158" t="s">
        <v>56</v>
      </c>
      <c r="G126" s="159" t="s">
        <v>60</v>
      </c>
      <c r="H126" s="158">
        <v>12</v>
      </c>
      <c r="I126" s="158">
        <v>3</v>
      </c>
      <c r="J126" s="158" t="s">
        <v>155</v>
      </c>
      <c r="K126" s="158">
        <f>+RC_CERNOX</f>
        <v>1000</v>
      </c>
      <c r="L126" s="158"/>
      <c r="M126" s="158"/>
      <c r="N126" s="162">
        <f>+I_CERNOX</f>
        <v>1E-06</v>
      </c>
      <c r="O126" s="162">
        <f>+I_CERNOX</f>
        <v>1E-06</v>
      </c>
      <c r="P126" s="167">
        <v>1</v>
      </c>
      <c r="Q126" s="167">
        <v>1</v>
      </c>
      <c r="R126" s="167">
        <v>0</v>
      </c>
      <c r="S126" s="158"/>
      <c r="T126" s="163">
        <v>1</v>
      </c>
      <c r="U126" s="163">
        <v>0.33333</v>
      </c>
      <c r="V126" s="163">
        <f t="shared" si="51"/>
        <v>0.33333</v>
      </c>
      <c r="W126" s="160">
        <f t="shared" si="52"/>
        <v>1.2000000000000002E-08</v>
      </c>
      <c r="X126" s="160">
        <f t="shared" si="53"/>
        <v>3.99996E-09</v>
      </c>
      <c r="Y126" s="161">
        <f t="shared" si="54"/>
        <v>4.1258684210004195E-08</v>
      </c>
    </row>
    <row r="127" spans="7:25" ht="12.75">
      <c r="G127" s="145" t="s">
        <v>140</v>
      </c>
      <c r="H127" s="144">
        <v>4</v>
      </c>
      <c r="I127" s="144">
        <v>0</v>
      </c>
      <c r="J127" s="144" t="s">
        <v>158</v>
      </c>
      <c r="K127" s="144">
        <f>+RC_SCAL_4</f>
        <v>30</v>
      </c>
      <c r="N127" s="146">
        <f>+SCAL_MAXI_4</f>
        <v>0.009</v>
      </c>
      <c r="O127" s="146">
        <f>+SCAL_AVGI_4</f>
        <v>0.00225</v>
      </c>
      <c r="P127" s="147">
        <v>0</v>
      </c>
      <c r="Q127" s="147">
        <v>1</v>
      </c>
      <c r="R127" s="147">
        <v>0</v>
      </c>
      <c r="S127" s="170"/>
      <c r="T127" s="148">
        <v>0.5</v>
      </c>
      <c r="U127" s="148">
        <v>0.333</v>
      </c>
      <c r="V127" s="144">
        <f t="shared" si="51"/>
        <v>0.1665</v>
      </c>
      <c r="W127" s="149">
        <f t="shared" si="52"/>
        <v>0.00972</v>
      </c>
      <c r="X127" s="149">
        <f t="shared" si="53"/>
        <v>0.00010114875</v>
      </c>
      <c r="Y127" s="150">
        <f t="shared" si="54"/>
        <v>0.0010433265168868344</v>
      </c>
    </row>
    <row r="128" spans="3:25" ht="12.75">
      <c r="C128" s="151"/>
      <c r="D128" s="151"/>
      <c r="E128" s="151"/>
      <c r="F128" s="151"/>
      <c r="G128" s="152" t="s">
        <v>141</v>
      </c>
      <c r="H128" s="151">
        <v>4</v>
      </c>
      <c r="I128" s="151">
        <v>0</v>
      </c>
      <c r="J128" s="151" t="s">
        <v>158</v>
      </c>
      <c r="K128" s="151">
        <f>+RC_SCAL_2</f>
        <v>30</v>
      </c>
      <c r="L128" s="151"/>
      <c r="M128" s="151"/>
      <c r="N128" s="153">
        <f>+SCAL_MAXI_2</f>
        <v>0.007</v>
      </c>
      <c r="O128" s="153">
        <f>+SCAL_AVGI_2</f>
        <v>0.00175</v>
      </c>
      <c r="P128" s="154">
        <v>0</v>
      </c>
      <c r="Q128" s="154">
        <v>1</v>
      </c>
      <c r="R128" s="154">
        <v>0</v>
      </c>
      <c r="S128" s="151"/>
      <c r="T128" s="155">
        <v>0.5</v>
      </c>
      <c r="U128" s="155">
        <v>0.333</v>
      </c>
      <c r="V128" s="155">
        <f>+U128*T128</f>
        <v>0.1665</v>
      </c>
      <c r="W128" s="156">
        <f t="shared" si="52"/>
        <v>0.005880000000000001</v>
      </c>
      <c r="X128" s="156">
        <f t="shared" si="53"/>
        <v>6.118875000000001E-05</v>
      </c>
      <c r="Y128" s="157">
        <f t="shared" si="54"/>
        <v>0.0006311481398451221</v>
      </c>
    </row>
    <row r="129" spans="3:25" ht="12.75">
      <c r="C129" s="144" t="s">
        <v>598</v>
      </c>
      <c r="D129" s="144" t="s">
        <v>516</v>
      </c>
      <c r="E129" s="144" t="s">
        <v>601</v>
      </c>
      <c r="F129" s="144" t="s">
        <v>56</v>
      </c>
      <c r="G129" s="145" t="s">
        <v>243</v>
      </c>
      <c r="H129" s="144">
        <v>24</v>
      </c>
      <c r="I129" s="144">
        <v>6</v>
      </c>
      <c r="J129" s="144" t="s">
        <v>155</v>
      </c>
      <c r="K129" s="144">
        <f>+RC_CERNOX</f>
        <v>1000</v>
      </c>
      <c r="N129" s="146">
        <f>+I_CERNOX</f>
        <v>1E-06</v>
      </c>
      <c r="O129" s="146">
        <f>+I_CERNOX</f>
        <v>1E-06</v>
      </c>
      <c r="P129" s="147">
        <v>1</v>
      </c>
      <c r="Q129" s="147">
        <v>1</v>
      </c>
      <c r="R129" s="147">
        <v>1</v>
      </c>
      <c r="T129" s="148">
        <v>1</v>
      </c>
      <c r="U129" s="148">
        <v>0.3333333333333333</v>
      </c>
      <c r="V129" s="148">
        <f>+U129*T129</f>
        <v>0.3333333333333333</v>
      </c>
      <c r="W129" s="149">
        <f t="shared" si="52"/>
        <v>2.4000000000000003E-08</v>
      </c>
      <c r="X129" s="149">
        <f t="shared" si="53"/>
        <v>7.999999999999999E-09</v>
      </c>
      <c r="Y129" s="150">
        <f t="shared" si="54"/>
        <v>8.25181936019444E-08</v>
      </c>
    </row>
    <row r="130" spans="7:25" ht="12.75">
      <c r="G130" s="145" t="s">
        <v>53</v>
      </c>
      <c r="H130" s="144">
        <v>4</v>
      </c>
      <c r="I130" s="144">
        <v>1</v>
      </c>
      <c r="J130" s="144" t="s">
        <v>155</v>
      </c>
      <c r="K130" s="144">
        <f>+RC_TC</f>
        <v>30</v>
      </c>
      <c r="N130" s="146">
        <f>+TC_MAXI</f>
        <v>0.002</v>
      </c>
      <c r="O130" s="146">
        <f>+TC_AVGI</f>
        <v>0.0005</v>
      </c>
      <c r="P130" s="147">
        <v>1</v>
      </c>
      <c r="Q130" s="147">
        <v>0</v>
      </c>
      <c r="R130" s="147">
        <v>0</v>
      </c>
      <c r="T130" s="148">
        <v>0.5</v>
      </c>
      <c r="U130" s="148">
        <v>0.333</v>
      </c>
      <c r="V130" s="148">
        <f>+U130*T130</f>
        <v>0.1665</v>
      </c>
      <c r="W130" s="149">
        <f t="shared" si="52"/>
        <v>0.00047999999999999996</v>
      </c>
      <c r="X130" s="149">
        <f t="shared" si="53"/>
        <v>4.995E-06</v>
      </c>
      <c r="Y130" s="150">
        <f t="shared" si="54"/>
        <v>5.152229713021404E-05</v>
      </c>
    </row>
    <row r="131" spans="1:31" s="187" customFormat="1" ht="26.25" thickBot="1">
      <c r="A131" s="177"/>
      <c r="B131" s="178"/>
      <c r="C131" s="178"/>
      <c r="D131" s="179"/>
      <c r="E131" s="179"/>
      <c r="F131" s="179"/>
      <c r="G131" s="179" t="s">
        <v>710</v>
      </c>
      <c r="H131" s="178"/>
      <c r="I131" s="178"/>
      <c r="J131" s="180" t="s">
        <v>711</v>
      </c>
      <c r="K131" s="178">
        <v>50</v>
      </c>
      <c r="L131" s="178"/>
      <c r="M131" s="178" t="s">
        <v>712</v>
      </c>
      <c r="N131" s="181"/>
      <c r="O131" s="181"/>
      <c r="P131" s="182"/>
      <c r="Q131" s="182"/>
      <c r="R131" s="182"/>
      <c r="S131" s="178" t="s">
        <v>103</v>
      </c>
      <c r="T131" s="183"/>
      <c r="U131" s="183"/>
      <c r="V131" s="183"/>
      <c r="W131" s="184"/>
      <c r="X131" s="184"/>
      <c r="Y131" s="185">
        <f t="shared" si="54"/>
        <v>0</v>
      </c>
      <c r="Z131" s="186"/>
      <c r="AA131" s="186"/>
      <c r="AB131" s="186"/>
      <c r="AC131" s="186"/>
      <c r="AD131" s="186"/>
      <c r="AE131" s="186"/>
    </row>
    <row r="132" spans="1:25" s="49" customFormat="1" ht="13.5" thickTop="1">
      <c r="A132" s="143" t="s">
        <v>78</v>
      </c>
      <c r="B132" s="144" t="s">
        <v>161</v>
      </c>
      <c r="C132" s="144" t="s">
        <v>602</v>
      </c>
      <c r="D132" s="144" t="s">
        <v>516</v>
      </c>
      <c r="E132" s="144" t="s">
        <v>605</v>
      </c>
      <c r="F132" s="144" t="s">
        <v>56</v>
      </c>
      <c r="G132" s="145" t="s">
        <v>58</v>
      </c>
      <c r="H132" s="144">
        <v>3</v>
      </c>
      <c r="I132" s="144">
        <v>1</v>
      </c>
      <c r="J132" s="144" t="s">
        <v>163</v>
      </c>
      <c r="K132" s="144">
        <f>+RC_BSM_SNS</f>
        <v>1000</v>
      </c>
      <c r="L132" s="144"/>
      <c r="M132" s="144"/>
      <c r="N132" s="146">
        <f>+BSM_I_SNS</f>
        <v>1E-06</v>
      </c>
      <c r="O132" s="146">
        <f>+BSM_I_SNS</f>
        <v>1E-06</v>
      </c>
      <c r="P132" s="147">
        <v>1</v>
      </c>
      <c r="Q132" s="147">
        <v>1</v>
      </c>
      <c r="R132" s="147">
        <v>0</v>
      </c>
      <c r="S132" s="144">
        <v>0.4</v>
      </c>
      <c r="T132" s="148">
        <f>+BSM_DC</f>
        <v>0.4</v>
      </c>
      <c r="U132" s="148">
        <v>0.33</v>
      </c>
      <c r="V132" s="148">
        <f aca="true" t="shared" si="55" ref="V132:V141">+U132*T132</f>
        <v>0.132</v>
      </c>
      <c r="W132" s="149">
        <f aca="true" t="shared" si="56" ref="W132:W154">+N132^2*K132*H132</f>
        <v>3.0000000000000004E-09</v>
      </c>
      <c r="X132" s="149">
        <f aca="true" t="shared" si="57" ref="X132:X154">+O132^2*K132*V132*H132</f>
        <v>3.9600000000000003E-10</v>
      </c>
      <c r="Y132" s="150">
        <f t="shared" si="54"/>
        <v>4.084650583296249E-09</v>
      </c>
    </row>
    <row r="133" spans="1:31" s="49" customFormat="1" ht="12.75">
      <c r="A133" s="143"/>
      <c r="B133" s="144"/>
      <c r="C133" s="144"/>
      <c r="D133" s="144"/>
      <c r="E133" s="144"/>
      <c r="F133" s="144"/>
      <c r="G133" s="145"/>
      <c r="H133" s="144">
        <v>2</v>
      </c>
      <c r="I133" s="144">
        <v>1</v>
      </c>
      <c r="J133" s="144" t="s">
        <v>261</v>
      </c>
      <c r="K133" s="144">
        <f>+RC_BSM_SNS</f>
        <v>1000</v>
      </c>
      <c r="L133" s="144"/>
      <c r="M133" s="144"/>
      <c r="N133" s="146">
        <f>+BSM_I_SNS</f>
        <v>1E-06</v>
      </c>
      <c r="O133" s="146">
        <f>+BSM_I_SNS</f>
        <v>1E-06</v>
      </c>
      <c r="P133" s="147">
        <v>1</v>
      </c>
      <c r="Q133" s="147">
        <v>1</v>
      </c>
      <c r="R133" s="147">
        <v>0</v>
      </c>
      <c r="S133" s="144"/>
      <c r="T133" s="148">
        <f>+BSM_DC</f>
        <v>0.4</v>
      </c>
      <c r="U133" s="148">
        <v>0.33</v>
      </c>
      <c r="V133" s="148">
        <f t="shared" si="55"/>
        <v>0.132</v>
      </c>
      <c r="W133" s="149">
        <f t="shared" si="56"/>
        <v>2E-09</v>
      </c>
      <c r="X133" s="149">
        <f t="shared" si="57"/>
        <v>2.64E-10</v>
      </c>
      <c r="Y133" s="150">
        <f t="shared" si="54"/>
        <v>2.7231003888641657E-09</v>
      </c>
      <c r="Z133" s="48"/>
      <c r="AA133" s="48"/>
      <c r="AB133" s="48"/>
      <c r="AC133" s="48"/>
      <c r="AD133" s="48"/>
      <c r="AE133" s="48"/>
    </row>
    <row r="134" spans="1:25" ht="12.75">
      <c r="A134" s="143" t="s">
        <v>5</v>
      </c>
      <c r="G134" s="145" t="s">
        <v>59</v>
      </c>
      <c r="H134" s="144">
        <v>3</v>
      </c>
      <c r="I134" s="144">
        <v>1</v>
      </c>
      <c r="J134" s="144" t="s">
        <v>163</v>
      </c>
      <c r="K134" s="144">
        <f>+RC_BSM_SNS</f>
        <v>1000</v>
      </c>
      <c r="N134" s="146">
        <f aca="true" t="shared" si="58" ref="N134:O136">+BSM_I_SNS</f>
        <v>1E-06</v>
      </c>
      <c r="O134" s="146">
        <f t="shared" si="58"/>
        <v>1E-06</v>
      </c>
      <c r="P134" s="147">
        <v>1</v>
      </c>
      <c r="Q134" s="147">
        <v>1</v>
      </c>
      <c r="R134" s="147">
        <v>0</v>
      </c>
      <c r="T134" s="148">
        <f>+BSM_DC</f>
        <v>0.4</v>
      </c>
      <c r="U134" s="148">
        <v>0.33</v>
      </c>
      <c r="V134" s="148">
        <f t="shared" si="55"/>
        <v>0.132</v>
      </c>
      <c r="W134" s="149">
        <f t="shared" si="56"/>
        <v>3.0000000000000004E-09</v>
      </c>
      <c r="X134" s="149">
        <f t="shared" si="57"/>
        <v>3.9600000000000003E-10</v>
      </c>
      <c r="Y134" s="150">
        <f t="shared" si="54"/>
        <v>4.084650583296249E-09</v>
      </c>
    </row>
    <row r="135" spans="8:25" ht="12.75">
      <c r="H135" s="144">
        <v>2</v>
      </c>
      <c r="I135" s="144">
        <v>1</v>
      </c>
      <c r="J135" s="144" t="s">
        <v>261</v>
      </c>
      <c r="K135" s="144">
        <f>+RC_BSM_SNS</f>
        <v>1000</v>
      </c>
      <c r="N135" s="146">
        <f t="shared" si="58"/>
        <v>1E-06</v>
      </c>
      <c r="O135" s="146">
        <f t="shared" si="58"/>
        <v>1E-06</v>
      </c>
      <c r="P135" s="147">
        <v>1</v>
      </c>
      <c r="Q135" s="147">
        <v>1</v>
      </c>
      <c r="R135" s="147">
        <v>0</v>
      </c>
      <c r="T135" s="148">
        <f>+BSM_DC</f>
        <v>0.4</v>
      </c>
      <c r="U135" s="148">
        <v>0.33</v>
      </c>
      <c r="V135" s="148">
        <f t="shared" si="55"/>
        <v>0.132</v>
      </c>
      <c r="W135" s="149">
        <f t="shared" si="56"/>
        <v>2E-09</v>
      </c>
      <c r="X135" s="149">
        <f t="shared" si="57"/>
        <v>2.64E-10</v>
      </c>
      <c r="Y135" s="150">
        <f t="shared" si="54"/>
        <v>2.7231003888641657E-09</v>
      </c>
    </row>
    <row r="136" spans="7:25" ht="12.75">
      <c r="G136" s="145" t="s">
        <v>244</v>
      </c>
      <c r="H136" s="144">
        <v>4</v>
      </c>
      <c r="I136" s="144">
        <v>1</v>
      </c>
      <c r="J136" s="144" t="s">
        <v>155</v>
      </c>
      <c r="K136" s="144">
        <f>+RC_CERNOX</f>
        <v>1000</v>
      </c>
      <c r="N136" s="146">
        <f t="shared" si="58"/>
        <v>1E-06</v>
      </c>
      <c r="O136" s="146">
        <f t="shared" si="58"/>
        <v>1E-06</v>
      </c>
      <c r="P136" s="147">
        <v>1</v>
      </c>
      <c r="Q136" s="147">
        <v>1</v>
      </c>
      <c r="R136" s="147">
        <v>1</v>
      </c>
      <c r="T136" s="148">
        <v>1</v>
      </c>
      <c r="U136" s="148">
        <v>0.33</v>
      </c>
      <c r="V136" s="148">
        <f t="shared" si="55"/>
        <v>0.33</v>
      </c>
      <c r="W136" s="149">
        <f t="shared" si="56"/>
        <v>4E-09</v>
      </c>
      <c r="X136" s="149">
        <f t="shared" si="57"/>
        <v>1.3200000000000002E-09</v>
      </c>
      <c r="Y136" s="150">
        <f t="shared" si="54"/>
        <v>1.3615501944320831E-08</v>
      </c>
    </row>
    <row r="137" spans="7:25" ht="12.75">
      <c r="G137" s="145" t="s">
        <v>57</v>
      </c>
      <c r="H137" s="144">
        <v>4</v>
      </c>
      <c r="I137" s="144">
        <v>1</v>
      </c>
      <c r="J137" s="144" t="s">
        <v>155</v>
      </c>
      <c r="K137" s="144">
        <f>+RC_PCAL</f>
        <v>10</v>
      </c>
      <c r="N137" s="146">
        <f>+PCAL_MAXI</f>
        <v>0.007</v>
      </c>
      <c r="O137" s="146">
        <f>+PCAL_AVGI</f>
        <v>0.00175</v>
      </c>
      <c r="P137" s="147">
        <v>1</v>
      </c>
      <c r="Q137" s="147">
        <v>0</v>
      </c>
      <c r="R137" s="147">
        <v>0</v>
      </c>
      <c r="T137" s="148">
        <f>+PCAL_DC</f>
        <v>0.05</v>
      </c>
      <c r="U137" s="148">
        <v>0.33</v>
      </c>
      <c r="V137" s="148">
        <f t="shared" si="55"/>
        <v>0.0165</v>
      </c>
      <c r="W137" s="149">
        <f t="shared" si="56"/>
        <v>0.0019600000000000004</v>
      </c>
      <c r="X137" s="149">
        <f t="shared" si="57"/>
        <v>2.0212500000000003E-06</v>
      </c>
      <c r="Y137" s="150">
        <f t="shared" si="54"/>
        <v>2.0848737352241274E-05</v>
      </c>
    </row>
    <row r="138" spans="7:25" ht="12.75">
      <c r="G138" s="145" t="s">
        <v>245</v>
      </c>
      <c r="H138" s="144">
        <v>2</v>
      </c>
      <c r="I138" s="144">
        <v>1</v>
      </c>
      <c r="J138" s="144" t="s">
        <v>261</v>
      </c>
      <c r="K138" s="144">
        <f>+RC_BSM_LL_CNF</f>
        <v>1000</v>
      </c>
      <c r="N138" s="149">
        <f>+BSM_I_LLS</f>
        <v>0.001</v>
      </c>
      <c r="O138" s="147">
        <v>0</v>
      </c>
      <c r="P138" s="147">
        <v>0</v>
      </c>
      <c r="Q138" s="147">
        <v>0</v>
      </c>
      <c r="R138" s="147">
        <v>0</v>
      </c>
      <c r="T138" s="148">
        <v>0</v>
      </c>
      <c r="U138" s="148">
        <v>0</v>
      </c>
      <c r="V138" s="148">
        <f t="shared" si="55"/>
        <v>0</v>
      </c>
      <c r="W138" s="149">
        <f t="shared" si="56"/>
        <v>0.002</v>
      </c>
      <c r="X138" s="149">
        <f t="shared" si="57"/>
        <v>0</v>
      </c>
      <c r="Y138" s="150">
        <f t="shared" si="54"/>
        <v>0</v>
      </c>
    </row>
    <row r="139" spans="7:25" ht="12.75">
      <c r="G139" s="145" t="s">
        <v>246</v>
      </c>
      <c r="H139" s="144">
        <v>2</v>
      </c>
      <c r="I139" s="144">
        <v>1</v>
      </c>
      <c r="J139" s="144" t="s">
        <v>163</v>
      </c>
      <c r="K139" s="144">
        <f>+RC_BSM_LL_DRV</f>
        <v>10</v>
      </c>
      <c r="N139" s="146">
        <f>+BSM_I_LLD</f>
        <v>0.035</v>
      </c>
      <c r="O139" s="147">
        <v>0</v>
      </c>
      <c r="P139" s="147">
        <v>0</v>
      </c>
      <c r="Q139" s="147">
        <v>0</v>
      </c>
      <c r="R139" s="147">
        <v>0</v>
      </c>
      <c r="T139" s="148">
        <v>0</v>
      </c>
      <c r="U139" s="148">
        <v>0</v>
      </c>
      <c r="V139" s="148">
        <f t="shared" si="55"/>
        <v>0</v>
      </c>
      <c r="W139" s="149">
        <f t="shared" si="56"/>
        <v>0.024500000000000004</v>
      </c>
      <c r="X139" s="149">
        <f t="shared" si="57"/>
        <v>0</v>
      </c>
      <c r="Y139" s="150">
        <f t="shared" si="54"/>
        <v>0</v>
      </c>
    </row>
    <row r="140" spans="7:25" ht="12.75">
      <c r="G140" s="145" t="s">
        <v>247</v>
      </c>
      <c r="H140" s="144">
        <v>4</v>
      </c>
      <c r="I140" s="144">
        <v>1</v>
      </c>
      <c r="J140" s="144" t="s">
        <v>155</v>
      </c>
      <c r="K140" s="144">
        <f>+RC_BSM_DRV</f>
        <v>10</v>
      </c>
      <c r="N140" s="146">
        <f>+BSM_MAXI_DRV</f>
        <v>0.04</v>
      </c>
      <c r="O140" s="146">
        <f>+BSM_AVGI_CDRV</f>
        <v>0.02</v>
      </c>
      <c r="P140" s="147">
        <v>1</v>
      </c>
      <c r="Q140" s="147">
        <v>1</v>
      </c>
      <c r="R140" s="147">
        <v>0</v>
      </c>
      <c r="T140" s="148">
        <f>+BSM_DC</f>
        <v>0.4</v>
      </c>
      <c r="U140" s="148">
        <v>0.33</v>
      </c>
      <c r="V140" s="148">
        <f t="shared" si="55"/>
        <v>0.132</v>
      </c>
      <c r="W140" s="149">
        <f t="shared" si="56"/>
        <v>0.064</v>
      </c>
      <c r="X140" s="149">
        <f t="shared" si="57"/>
        <v>0.002112</v>
      </c>
      <c r="Y140" s="150">
        <f t="shared" si="54"/>
        <v>0.02178480311091333</v>
      </c>
    </row>
    <row r="141" spans="3:25" ht="12.75">
      <c r="C141" s="151"/>
      <c r="D141" s="151"/>
      <c r="E141" s="151"/>
      <c r="F141" s="151"/>
      <c r="G141" s="152" t="s">
        <v>248</v>
      </c>
      <c r="H141" s="151">
        <v>4</v>
      </c>
      <c r="I141" s="151">
        <v>1</v>
      </c>
      <c r="J141" s="151" t="s">
        <v>155</v>
      </c>
      <c r="K141" s="151">
        <f>+RC_BSM_DRV</f>
        <v>10</v>
      </c>
      <c r="L141" s="151"/>
      <c r="M141" s="151"/>
      <c r="N141" s="153">
        <f>+BSM_MAXI_DRV</f>
        <v>0.04</v>
      </c>
      <c r="O141" s="153">
        <f>+BSM_AVGI_JDRV</f>
        <v>0.005</v>
      </c>
      <c r="P141" s="154">
        <v>1</v>
      </c>
      <c r="Q141" s="154">
        <v>1</v>
      </c>
      <c r="R141" s="154">
        <v>0</v>
      </c>
      <c r="S141" s="151"/>
      <c r="T141" s="155">
        <f>+BSM_DC</f>
        <v>0.4</v>
      </c>
      <c r="U141" s="155">
        <v>0.33</v>
      </c>
      <c r="V141" s="155">
        <f t="shared" si="55"/>
        <v>0.132</v>
      </c>
      <c r="W141" s="156">
        <f t="shared" si="56"/>
        <v>0.064</v>
      </c>
      <c r="X141" s="156">
        <f t="shared" si="57"/>
        <v>0.000132</v>
      </c>
      <c r="Y141" s="157">
        <f t="shared" si="54"/>
        <v>0.001361550194432083</v>
      </c>
    </row>
    <row r="142" spans="3:25" ht="12.75">
      <c r="C142" s="144" t="s">
        <v>603</v>
      </c>
      <c r="D142" s="144" t="s">
        <v>516</v>
      </c>
      <c r="E142" s="144" t="s">
        <v>606</v>
      </c>
      <c r="F142" s="144" t="s">
        <v>56</v>
      </c>
      <c r="G142" s="145" t="s">
        <v>123</v>
      </c>
      <c r="H142" s="144">
        <v>8</v>
      </c>
      <c r="I142" s="144">
        <v>2</v>
      </c>
      <c r="J142" s="144" t="s">
        <v>155</v>
      </c>
      <c r="K142" s="144">
        <f>+RC_CERNOX</f>
        <v>1000</v>
      </c>
      <c r="N142" s="146">
        <f>+I_CERNOX</f>
        <v>1E-06</v>
      </c>
      <c r="O142" s="146">
        <f>+I_CERNOX</f>
        <v>1E-06</v>
      </c>
      <c r="P142" s="147">
        <v>1</v>
      </c>
      <c r="Q142" s="147">
        <v>1</v>
      </c>
      <c r="R142" s="147">
        <v>1</v>
      </c>
      <c r="T142" s="148">
        <v>1</v>
      </c>
      <c r="U142" s="148">
        <v>0.33</v>
      </c>
      <c r="V142" s="148">
        <f aca="true" t="shared" si="59" ref="V142:V154">+U142*T142</f>
        <v>0.33</v>
      </c>
      <c r="W142" s="149">
        <f t="shared" si="56"/>
        <v>8E-09</v>
      </c>
      <c r="X142" s="149">
        <f t="shared" si="57"/>
        <v>2.6400000000000004E-09</v>
      </c>
      <c r="Y142" s="150">
        <f t="shared" si="54"/>
        <v>2.7231003888641662E-08</v>
      </c>
    </row>
    <row r="143" spans="7:25" ht="12.75">
      <c r="G143" s="145" t="s">
        <v>65</v>
      </c>
      <c r="H143" s="144">
        <v>2</v>
      </c>
      <c r="I143" s="144">
        <v>1</v>
      </c>
      <c r="J143" s="144" t="s">
        <v>261</v>
      </c>
      <c r="K143" s="144">
        <f>+RC_FTS_LVDT_P</f>
        <v>5</v>
      </c>
      <c r="N143" s="146">
        <f>+FTS_MAXI_LVDTP</f>
        <v>0.005</v>
      </c>
      <c r="O143" s="146">
        <f>+FTS_AVGI_LVDTP</f>
        <v>0.0025</v>
      </c>
      <c r="P143" s="147">
        <v>0</v>
      </c>
      <c r="Q143" s="147">
        <v>1</v>
      </c>
      <c r="R143" s="147">
        <v>0</v>
      </c>
      <c r="S143" s="144">
        <v>5</v>
      </c>
      <c r="T143" s="148">
        <v>0.5</v>
      </c>
      <c r="U143" s="148">
        <v>0.33</v>
      </c>
      <c r="V143" s="148">
        <f t="shared" si="59"/>
        <v>0.165</v>
      </c>
      <c r="W143" s="149">
        <f t="shared" si="56"/>
        <v>0.00025</v>
      </c>
      <c r="X143" s="149">
        <f t="shared" si="57"/>
        <v>1.03125E-05</v>
      </c>
      <c r="Y143" s="150">
        <f t="shared" si="54"/>
        <v>0.00010637110894000647</v>
      </c>
    </row>
    <row r="144" spans="7:25" ht="12.75">
      <c r="G144" s="145" t="s">
        <v>66</v>
      </c>
      <c r="H144" s="144">
        <v>4</v>
      </c>
      <c r="I144" s="144">
        <v>2</v>
      </c>
      <c r="J144" s="144" t="s">
        <v>261</v>
      </c>
      <c r="K144" s="144">
        <v>50</v>
      </c>
      <c r="N144" s="146">
        <f>+FTS_AVGI_LVDTS</f>
        <v>5E-05</v>
      </c>
      <c r="O144" s="146">
        <f>+'I &amp; Duty Cycle Assumptions'!E215</f>
        <v>0.05</v>
      </c>
      <c r="P144" s="147">
        <v>0</v>
      </c>
      <c r="Q144" s="147">
        <v>1</v>
      </c>
      <c r="R144" s="147">
        <v>0</v>
      </c>
      <c r="S144" s="144">
        <v>15</v>
      </c>
      <c r="T144" s="148">
        <v>0.5</v>
      </c>
      <c r="U144" s="148">
        <v>0.33</v>
      </c>
      <c r="V144" s="148">
        <f t="shared" si="59"/>
        <v>0.165</v>
      </c>
      <c r="W144" s="149">
        <f t="shared" si="56"/>
        <v>5E-07</v>
      </c>
      <c r="X144" s="149">
        <f t="shared" si="57"/>
        <v>0.08250000000000002</v>
      </c>
      <c r="Y144" s="150">
        <f t="shared" si="54"/>
        <v>0.850968871520052</v>
      </c>
    </row>
    <row r="145" spans="7:25" ht="12.75">
      <c r="G145" s="145" t="s">
        <v>409</v>
      </c>
      <c r="H145" s="144">
        <v>4</v>
      </c>
      <c r="I145" s="144">
        <v>2</v>
      </c>
      <c r="J145" s="144" t="s">
        <v>261</v>
      </c>
      <c r="K145" s="144">
        <f>+RC_FTS_LLP</f>
        <v>5</v>
      </c>
      <c r="N145" s="146">
        <f>+FT_MAXI_LLP</f>
        <v>0.4</v>
      </c>
      <c r="O145" s="146">
        <v>0</v>
      </c>
      <c r="P145" s="147">
        <v>0</v>
      </c>
      <c r="Q145" s="147">
        <v>0</v>
      </c>
      <c r="R145" s="147">
        <v>0</v>
      </c>
      <c r="S145" s="144">
        <v>15</v>
      </c>
      <c r="T145" s="148">
        <v>0</v>
      </c>
      <c r="U145" s="148">
        <v>0</v>
      </c>
      <c r="V145" s="148">
        <f t="shared" si="59"/>
        <v>0</v>
      </c>
      <c r="W145" s="149">
        <f t="shared" si="56"/>
        <v>3.2000000000000006</v>
      </c>
      <c r="X145" s="149">
        <f t="shared" si="57"/>
        <v>0</v>
      </c>
      <c r="Y145" s="150">
        <f t="shared" si="54"/>
        <v>0</v>
      </c>
    </row>
    <row r="146" spans="7:25" ht="12.75">
      <c r="G146" s="145" t="s">
        <v>677</v>
      </c>
      <c r="H146" s="144">
        <v>4</v>
      </c>
      <c r="I146" s="144">
        <v>2</v>
      </c>
      <c r="J146" s="144" t="s">
        <v>261</v>
      </c>
      <c r="K146" s="144">
        <f>+RC_FTS_LLP</f>
        <v>5</v>
      </c>
      <c r="N146" s="146">
        <f>+FT_MAXI_LLP</f>
        <v>0.4</v>
      </c>
      <c r="O146" s="146">
        <v>0</v>
      </c>
      <c r="P146" s="147">
        <v>0</v>
      </c>
      <c r="Q146" s="147">
        <v>0</v>
      </c>
      <c r="R146" s="147">
        <v>0</v>
      </c>
      <c r="S146" s="144">
        <v>15</v>
      </c>
      <c r="T146" s="148">
        <v>0</v>
      </c>
      <c r="U146" s="148">
        <v>0</v>
      </c>
      <c r="V146" s="148">
        <f>+U146*T146</f>
        <v>0</v>
      </c>
      <c r="W146" s="149">
        <f t="shared" si="56"/>
        <v>3.2000000000000006</v>
      </c>
      <c r="X146" s="149">
        <f t="shared" si="57"/>
        <v>0</v>
      </c>
      <c r="Y146" s="150">
        <f t="shared" si="54"/>
        <v>0</v>
      </c>
    </row>
    <row r="147" spans="3:25" ht="12.75">
      <c r="C147" s="151"/>
      <c r="D147" s="151"/>
      <c r="E147" s="151"/>
      <c r="F147" s="151"/>
      <c r="G147" s="152" t="s">
        <v>410</v>
      </c>
      <c r="H147" s="151">
        <v>4</v>
      </c>
      <c r="I147" s="151">
        <v>2</v>
      </c>
      <c r="J147" s="151" t="s">
        <v>261</v>
      </c>
      <c r="K147" s="151">
        <f>+RC_FTS_LLS</f>
        <v>5</v>
      </c>
      <c r="L147" s="151"/>
      <c r="M147" s="151"/>
      <c r="N147" s="153">
        <f>+FTS_MAXI_LLS</f>
        <v>0.001</v>
      </c>
      <c r="O147" s="153">
        <v>0</v>
      </c>
      <c r="P147" s="154">
        <v>0</v>
      </c>
      <c r="Q147" s="154">
        <v>0</v>
      </c>
      <c r="R147" s="154">
        <v>0</v>
      </c>
      <c r="S147" s="151">
        <v>15</v>
      </c>
      <c r="T147" s="155">
        <v>0</v>
      </c>
      <c r="U147" s="155">
        <v>0</v>
      </c>
      <c r="V147" s="155">
        <f t="shared" si="59"/>
        <v>0</v>
      </c>
      <c r="W147" s="156">
        <f t="shared" si="56"/>
        <v>1.9999999999999998E-05</v>
      </c>
      <c r="X147" s="156">
        <f t="shared" si="57"/>
        <v>0</v>
      </c>
      <c r="Y147" s="157">
        <f t="shared" si="54"/>
        <v>0</v>
      </c>
    </row>
    <row r="148" spans="3:25" ht="12.75">
      <c r="C148" s="144" t="s">
        <v>604</v>
      </c>
      <c r="D148" s="144" t="s">
        <v>516</v>
      </c>
      <c r="E148" s="144" t="s">
        <v>607</v>
      </c>
      <c r="F148" s="144" t="s">
        <v>56</v>
      </c>
      <c r="G148" s="145" t="s">
        <v>164</v>
      </c>
      <c r="H148" s="144">
        <v>2</v>
      </c>
      <c r="I148" s="144">
        <v>1</v>
      </c>
      <c r="J148" s="144" t="s">
        <v>261</v>
      </c>
      <c r="K148" s="144">
        <f>+RC_FTS_DRV</f>
        <v>5</v>
      </c>
      <c r="N148" s="146">
        <f>+FTS_I_DRVM</f>
        <v>0.1</v>
      </c>
      <c r="O148" s="146">
        <f>+FTS_I_DRVA</f>
        <v>0.08</v>
      </c>
      <c r="P148" s="147">
        <v>0</v>
      </c>
      <c r="Q148" s="147">
        <v>1</v>
      </c>
      <c r="R148" s="147">
        <v>0</v>
      </c>
      <c r="S148" s="144">
        <v>15</v>
      </c>
      <c r="T148" s="148">
        <v>0.5</v>
      </c>
      <c r="U148" s="148">
        <v>0.33</v>
      </c>
      <c r="V148" s="148">
        <f t="shared" si="59"/>
        <v>0.165</v>
      </c>
      <c r="W148" s="149">
        <f t="shared" si="56"/>
        <v>0.10000000000000002</v>
      </c>
      <c r="X148" s="149">
        <f t="shared" si="57"/>
        <v>0.01056</v>
      </c>
      <c r="Y148" s="150">
        <f t="shared" si="54"/>
        <v>0.10892401555456663</v>
      </c>
    </row>
    <row r="149" spans="7:25" ht="12.75">
      <c r="G149" s="145" t="s">
        <v>678</v>
      </c>
      <c r="H149" s="144">
        <v>2</v>
      </c>
      <c r="I149" s="144">
        <v>1</v>
      </c>
      <c r="J149" s="144" t="s">
        <v>261</v>
      </c>
      <c r="K149" s="144">
        <f>+RC_FTS_DRV</f>
        <v>5</v>
      </c>
      <c r="N149" s="146">
        <f>+FTS_I_DRVM</f>
        <v>0.1</v>
      </c>
      <c r="O149" s="146">
        <v>0</v>
      </c>
      <c r="P149" s="147">
        <v>0</v>
      </c>
      <c r="Q149" s="147">
        <v>1</v>
      </c>
      <c r="R149" s="147">
        <v>0</v>
      </c>
      <c r="S149" s="144">
        <v>15</v>
      </c>
      <c r="T149" s="148">
        <v>0.5</v>
      </c>
      <c r="U149" s="148">
        <v>0.33</v>
      </c>
      <c r="V149" s="148">
        <f>+U149*T149</f>
        <v>0.165</v>
      </c>
      <c r="W149" s="149">
        <f t="shared" si="56"/>
        <v>0.10000000000000002</v>
      </c>
      <c r="X149" s="149">
        <f t="shared" si="57"/>
        <v>0</v>
      </c>
      <c r="Y149" s="150">
        <f t="shared" si="54"/>
        <v>0</v>
      </c>
    </row>
    <row r="150" spans="7:25" ht="12.75">
      <c r="G150" s="145" t="s">
        <v>249</v>
      </c>
      <c r="H150" s="144">
        <v>2</v>
      </c>
      <c r="I150" s="144">
        <v>1</v>
      </c>
      <c r="J150" s="144" t="s">
        <v>261</v>
      </c>
      <c r="K150" s="144">
        <f>+RC_FTS_DRV_SNS</f>
        <v>500</v>
      </c>
      <c r="N150" s="146">
        <f>+FTS_I_DRV_SNS</f>
        <v>1E-05</v>
      </c>
      <c r="O150" s="146">
        <f>+FTS_I_DRV_SNS</f>
        <v>1E-05</v>
      </c>
      <c r="P150" s="147">
        <v>0</v>
      </c>
      <c r="Q150" s="147">
        <v>1</v>
      </c>
      <c r="R150" s="147">
        <v>0</v>
      </c>
      <c r="S150" s="144">
        <v>15</v>
      </c>
      <c r="T150" s="148">
        <v>0.5</v>
      </c>
      <c r="U150" s="148">
        <v>0.33</v>
      </c>
      <c r="V150" s="148">
        <f t="shared" si="59"/>
        <v>0.165</v>
      </c>
      <c r="W150" s="149">
        <f t="shared" si="56"/>
        <v>1.0000000000000002E-07</v>
      </c>
      <c r="X150" s="149">
        <f t="shared" si="57"/>
        <v>1.6500000000000005E-08</v>
      </c>
      <c r="Y150" s="150">
        <f t="shared" si="54"/>
        <v>1.7019377430401042E-07</v>
      </c>
    </row>
    <row r="151" spans="7:25" ht="12.75">
      <c r="G151" s="145" t="s">
        <v>67</v>
      </c>
      <c r="H151" s="144">
        <v>2</v>
      </c>
      <c r="I151" s="144">
        <v>1</v>
      </c>
      <c r="J151" s="144" t="s">
        <v>261</v>
      </c>
      <c r="K151" s="144">
        <f>RC_FTS_PS_PWR</f>
        <v>100</v>
      </c>
      <c r="N151" s="146">
        <f>FTS_PSP_I</f>
        <v>0.001</v>
      </c>
      <c r="O151" s="146">
        <f>FTS_PSP_I</f>
        <v>0.001</v>
      </c>
      <c r="P151" s="147">
        <v>0</v>
      </c>
      <c r="Q151" s="147">
        <v>1</v>
      </c>
      <c r="R151" s="147">
        <v>0</v>
      </c>
      <c r="S151" s="144">
        <v>5</v>
      </c>
      <c r="T151" s="148">
        <v>0.5</v>
      </c>
      <c r="U151" s="148">
        <v>0.33</v>
      </c>
      <c r="V151" s="148">
        <f t="shared" si="59"/>
        <v>0.165</v>
      </c>
      <c r="W151" s="149">
        <f t="shared" si="56"/>
        <v>0.00019999999999999998</v>
      </c>
      <c r="X151" s="149">
        <f t="shared" si="57"/>
        <v>3.2999999999999996E-05</v>
      </c>
      <c r="Y151" s="150">
        <f t="shared" si="54"/>
        <v>0.00034038754860802066</v>
      </c>
    </row>
    <row r="152" spans="7:25" ht="12.75">
      <c r="G152" s="145" t="s">
        <v>682</v>
      </c>
      <c r="H152" s="144">
        <v>2</v>
      </c>
      <c r="I152" s="144">
        <v>1</v>
      </c>
      <c r="J152" s="144" t="s">
        <v>261</v>
      </c>
      <c r="K152" s="144">
        <f>+RC_FTS_LED_PWR</f>
        <v>100</v>
      </c>
      <c r="N152" s="146">
        <f>+FTS_LED_IM</f>
        <v>0.001</v>
      </c>
      <c r="O152" s="146">
        <f>+FTS_LED_IA</f>
        <v>0.0008</v>
      </c>
      <c r="P152" s="147">
        <v>0</v>
      </c>
      <c r="Q152" s="147">
        <v>1</v>
      </c>
      <c r="R152" s="147">
        <v>0</v>
      </c>
      <c r="S152" s="144">
        <v>5</v>
      </c>
      <c r="T152" s="148">
        <v>0.5</v>
      </c>
      <c r="U152" s="148">
        <v>0.33</v>
      </c>
      <c r="V152" s="148">
        <f>+U152*T152</f>
        <v>0.165</v>
      </c>
      <c r="W152" s="149">
        <f t="shared" si="56"/>
        <v>0.00019999999999999998</v>
      </c>
      <c r="X152" s="149">
        <f t="shared" si="57"/>
        <v>2.112E-05</v>
      </c>
      <c r="Y152" s="150">
        <f t="shared" si="54"/>
        <v>0.00021784803110913326</v>
      </c>
    </row>
    <row r="153" spans="7:25" ht="12.75">
      <c r="G153" s="145" t="s">
        <v>240</v>
      </c>
      <c r="H153" s="144">
        <v>6</v>
      </c>
      <c r="I153" s="144">
        <v>3</v>
      </c>
      <c r="J153" s="144" t="s">
        <v>261</v>
      </c>
      <c r="K153" s="144">
        <f>RC_FTS_PS_PHOT</f>
        <v>1000</v>
      </c>
      <c r="N153" s="146">
        <f>FTS_PS_PHOT_I</f>
        <v>2E-05</v>
      </c>
      <c r="O153" s="146">
        <f>FTS_PS_PHOT_I</f>
        <v>2E-05</v>
      </c>
      <c r="P153" s="147">
        <v>0</v>
      </c>
      <c r="Q153" s="147">
        <v>1</v>
      </c>
      <c r="R153" s="147">
        <v>0</v>
      </c>
      <c r="S153" s="144">
        <v>5</v>
      </c>
      <c r="T153" s="148">
        <v>0.5</v>
      </c>
      <c r="U153" s="148">
        <v>0.33</v>
      </c>
      <c r="V153" s="148">
        <f t="shared" si="59"/>
        <v>0.165</v>
      </c>
      <c r="W153" s="149">
        <f t="shared" si="56"/>
        <v>2.4000000000000007E-06</v>
      </c>
      <c r="X153" s="149">
        <f t="shared" si="57"/>
        <v>3.960000000000001E-07</v>
      </c>
      <c r="Y153" s="150">
        <f t="shared" si="54"/>
        <v>4.08465058329625E-06</v>
      </c>
    </row>
    <row r="154" spans="7:25" ht="12.75">
      <c r="G154" s="145" t="s">
        <v>241</v>
      </c>
      <c r="H154" s="144">
        <v>6</v>
      </c>
      <c r="I154" s="144">
        <v>3</v>
      </c>
      <c r="J154" s="144" t="s">
        <v>261</v>
      </c>
      <c r="K154" s="144">
        <f>RC_FTS_PS_FB</f>
        <v>1000</v>
      </c>
      <c r="N154" s="146">
        <f>FTS_PS_FB_I</f>
        <v>1E-05</v>
      </c>
      <c r="O154" s="146">
        <f>FTS_PS_FB_I</f>
        <v>1E-05</v>
      </c>
      <c r="P154" s="147">
        <v>0</v>
      </c>
      <c r="Q154" s="147">
        <v>1</v>
      </c>
      <c r="R154" s="147">
        <v>0</v>
      </c>
      <c r="S154" s="144">
        <v>5</v>
      </c>
      <c r="T154" s="148">
        <v>0.5</v>
      </c>
      <c r="U154" s="148">
        <v>0.33</v>
      </c>
      <c r="V154" s="148">
        <f t="shared" si="59"/>
        <v>0.165</v>
      </c>
      <c r="W154" s="149">
        <f t="shared" si="56"/>
        <v>6.000000000000002E-07</v>
      </c>
      <c r="X154" s="149">
        <f t="shared" si="57"/>
        <v>9.900000000000003E-08</v>
      </c>
      <c r="Y154" s="150">
        <f t="shared" si="54"/>
        <v>1.0211626458240625E-06</v>
      </c>
    </row>
    <row r="155" spans="1:31" s="187" customFormat="1" ht="26.25" thickBot="1">
      <c r="A155" s="177"/>
      <c r="B155" s="178"/>
      <c r="C155" s="178"/>
      <c r="D155" s="179"/>
      <c r="E155" s="179"/>
      <c r="F155" s="179"/>
      <c r="G155" s="179" t="s">
        <v>710</v>
      </c>
      <c r="H155" s="178"/>
      <c r="I155" s="178"/>
      <c r="J155" s="180" t="s">
        <v>711</v>
      </c>
      <c r="K155" s="178">
        <v>50</v>
      </c>
      <c r="L155" s="178"/>
      <c r="M155" s="178" t="s">
        <v>712</v>
      </c>
      <c r="N155" s="181"/>
      <c r="O155" s="181"/>
      <c r="P155" s="182"/>
      <c r="Q155" s="182"/>
      <c r="R155" s="182"/>
      <c r="S155" s="178" t="s">
        <v>103</v>
      </c>
      <c r="T155" s="183"/>
      <c r="U155" s="183"/>
      <c r="V155" s="183"/>
      <c r="W155" s="184"/>
      <c r="X155" s="184"/>
      <c r="Y155" s="185">
        <f t="shared" si="54"/>
        <v>0</v>
      </c>
      <c r="Z155" s="186"/>
      <c r="AA155" s="186"/>
      <c r="AB155" s="186"/>
      <c r="AC155" s="186"/>
      <c r="AD155" s="186"/>
      <c r="AE155" s="186"/>
    </row>
    <row r="156" spans="1:25" s="49" customFormat="1" ht="13.5" thickTop="1">
      <c r="A156" s="143" t="s">
        <v>79</v>
      </c>
      <c r="B156" s="144" t="s">
        <v>124</v>
      </c>
      <c r="C156" s="144" t="s">
        <v>608</v>
      </c>
      <c r="D156" s="144" t="s">
        <v>516</v>
      </c>
      <c r="E156" s="144" t="s">
        <v>695</v>
      </c>
      <c r="F156" s="144" t="s">
        <v>56</v>
      </c>
      <c r="G156" s="145" t="s">
        <v>40</v>
      </c>
      <c r="H156" s="144">
        <v>4</v>
      </c>
      <c r="I156" s="144">
        <v>0</v>
      </c>
      <c r="J156" s="144" t="s">
        <v>158</v>
      </c>
      <c r="K156" s="144">
        <f>+RC_SCO_SPH</f>
        <v>10</v>
      </c>
      <c r="L156" s="144"/>
      <c r="M156" s="144"/>
      <c r="N156" s="146">
        <f>+SCO_MAXI_SPH</f>
        <v>0.025</v>
      </c>
      <c r="O156" s="147">
        <v>0</v>
      </c>
      <c r="P156" s="147">
        <v>0</v>
      </c>
      <c r="Q156" s="147">
        <v>0</v>
      </c>
      <c r="R156" s="147">
        <v>0</v>
      </c>
      <c r="S156" s="144"/>
      <c r="T156" s="148">
        <f>+SCO_DC_SPH</f>
        <v>0.020833333333333332</v>
      </c>
      <c r="U156" s="148">
        <v>0.3333333333333333</v>
      </c>
      <c r="V156" s="148">
        <f aca="true" t="shared" si="60" ref="V156:V163">+U156*T156</f>
        <v>0.006944444444444444</v>
      </c>
      <c r="W156" s="149">
        <f aca="true" t="shared" si="61" ref="W156:W163">+N156^2*K156*H156</f>
        <v>0.025000000000000005</v>
      </c>
      <c r="X156" s="149">
        <f aca="true" t="shared" si="62" ref="X156:X163">+O156^2*K156*V156*H156</f>
        <v>0</v>
      </c>
      <c r="Y156" s="150">
        <f t="shared" si="54"/>
        <v>0</v>
      </c>
    </row>
    <row r="157" spans="1:31" s="49" customFormat="1" ht="12.75">
      <c r="A157" s="143" t="s">
        <v>6</v>
      </c>
      <c r="B157" s="144"/>
      <c r="C157" s="144"/>
      <c r="D157" s="144"/>
      <c r="E157" s="144"/>
      <c r="F157" s="144"/>
      <c r="G157" s="145" t="s">
        <v>51</v>
      </c>
      <c r="H157" s="144">
        <v>8</v>
      </c>
      <c r="I157" s="144">
        <v>0</v>
      </c>
      <c r="J157" s="144" t="s">
        <v>158</v>
      </c>
      <c r="K157" s="144">
        <f>+RC_SCO_HSH</f>
        <v>50</v>
      </c>
      <c r="L157" s="144"/>
      <c r="M157" s="144"/>
      <c r="N157" s="146">
        <f>+SCO_MAXI_HSH</f>
        <v>0.0015</v>
      </c>
      <c r="O157" s="147">
        <v>0</v>
      </c>
      <c r="P157" s="147">
        <v>0</v>
      </c>
      <c r="Q157" s="147">
        <v>0</v>
      </c>
      <c r="R157" s="147">
        <v>0</v>
      </c>
      <c r="S157" s="144"/>
      <c r="T157" s="148">
        <f>+SCO_DC_HSH</f>
        <v>0.020833333333333332</v>
      </c>
      <c r="U157" s="148">
        <v>0.3333333333333333</v>
      </c>
      <c r="V157" s="148">
        <f t="shared" si="60"/>
        <v>0.006944444444444444</v>
      </c>
      <c r="W157" s="149">
        <f t="shared" si="61"/>
        <v>0.0009</v>
      </c>
      <c r="X157" s="149">
        <f t="shared" si="62"/>
        <v>0</v>
      </c>
      <c r="Y157" s="150">
        <f t="shared" si="54"/>
        <v>0</v>
      </c>
      <c r="Z157" s="48"/>
      <c r="AA157" s="48"/>
      <c r="AB157" s="48"/>
      <c r="AC157" s="48"/>
      <c r="AD157" s="48"/>
      <c r="AE157" s="48"/>
    </row>
    <row r="158" spans="7:25" ht="12.75">
      <c r="G158" s="145" t="s">
        <v>52</v>
      </c>
      <c r="H158" s="144">
        <v>20</v>
      </c>
      <c r="I158" s="144">
        <v>5</v>
      </c>
      <c r="J158" s="144" t="s">
        <v>155</v>
      </c>
      <c r="K158" s="144">
        <f>+RC_CERNOX</f>
        <v>1000</v>
      </c>
      <c r="N158" s="146">
        <f>+I_CERNOX</f>
        <v>1E-06</v>
      </c>
      <c r="O158" s="147">
        <v>0</v>
      </c>
      <c r="P158" s="147">
        <v>0</v>
      </c>
      <c r="Q158" s="147">
        <v>0</v>
      </c>
      <c r="R158" s="147">
        <v>0</v>
      </c>
      <c r="T158" s="148">
        <v>1</v>
      </c>
      <c r="U158" s="148">
        <v>0.333</v>
      </c>
      <c r="V158" s="148">
        <f t="shared" si="60"/>
        <v>0.333</v>
      </c>
      <c r="W158" s="149">
        <f t="shared" si="61"/>
        <v>2E-08</v>
      </c>
      <c r="X158" s="149">
        <f t="shared" si="62"/>
        <v>0</v>
      </c>
      <c r="Y158" s="150">
        <f t="shared" si="54"/>
        <v>0</v>
      </c>
    </row>
    <row r="159" spans="3:25" ht="12.75">
      <c r="C159" s="144" t="s">
        <v>609</v>
      </c>
      <c r="D159" s="144" t="s">
        <v>516</v>
      </c>
      <c r="E159" s="144" t="s">
        <v>694</v>
      </c>
      <c r="F159" s="144" t="s">
        <v>56</v>
      </c>
      <c r="G159" s="145" t="s">
        <v>60</v>
      </c>
      <c r="H159" s="144">
        <v>12</v>
      </c>
      <c r="I159" s="144">
        <v>3</v>
      </c>
      <c r="J159" s="144" t="s">
        <v>155</v>
      </c>
      <c r="K159" s="144">
        <f>+RC_CERNOX</f>
        <v>1000</v>
      </c>
      <c r="N159" s="146">
        <f>+I_CERNOX</f>
        <v>1E-06</v>
      </c>
      <c r="O159" s="147">
        <v>0</v>
      </c>
      <c r="P159" s="147">
        <v>0</v>
      </c>
      <c r="Q159" s="147">
        <v>0</v>
      </c>
      <c r="R159" s="147">
        <v>0</v>
      </c>
      <c r="T159" s="148">
        <v>1</v>
      </c>
      <c r="U159" s="148">
        <v>0.33333</v>
      </c>
      <c r="V159" s="148">
        <f t="shared" si="60"/>
        <v>0.33333</v>
      </c>
      <c r="W159" s="149">
        <f t="shared" si="61"/>
        <v>1.2000000000000002E-08</v>
      </c>
      <c r="X159" s="149">
        <f t="shared" si="62"/>
        <v>0</v>
      </c>
      <c r="Y159" s="150">
        <f t="shared" si="54"/>
        <v>0</v>
      </c>
    </row>
    <row r="160" spans="7:25" ht="12.75">
      <c r="G160" s="145" t="s">
        <v>140</v>
      </c>
      <c r="H160" s="144">
        <v>4</v>
      </c>
      <c r="I160" s="144">
        <v>0</v>
      </c>
      <c r="J160" s="144" t="s">
        <v>158</v>
      </c>
      <c r="K160" s="144">
        <f>+RC_SCAL_4</f>
        <v>30</v>
      </c>
      <c r="N160" s="146">
        <f>+SCAL_MAXI_4</f>
        <v>0.009</v>
      </c>
      <c r="O160" s="147">
        <v>0</v>
      </c>
      <c r="P160" s="147">
        <v>0</v>
      </c>
      <c r="Q160" s="147">
        <v>0</v>
      </c>
      <c r="R160" s="147">
        <v>0</v>
      </c>
      <c r="S160" s="170"/>
      <c r="T160" s="148">
        <v>0.5</v>
      </c>
      <c r="U160" s="148">
        <v>0.333</v>
      </c>
      <c r="V160" s="144">
        <f t="shared" si="60"/>
        <v>0.1665</v>
      </c>
      <c r="W160" s="149">
        <f t="shared" si="61"/>
        <v>0.00972</v>
      </c>
      <c r="X160" s="149">
        <f t="shared" si="62"/>
        <v>0</v>
      </c>
      <c r="Y160" s="150">
        <f t="shared" si="54"/>
        <v>0</v>
      </c>
    </row>
    <row r="161" spans="3:25" ht="12.75">
      <c r="C161" s="151"/>
      <c r="D161" s="151"/>
      <c r="E161" s="151"/>
      <c r="F161" s="151"/>
      <c r="G161" s="152" t="s">
        <v>141</v>
      </c>
      <c r="H161" s="151">
        <v>4</v>
      </c>
      <c r="I161" s="151">
        <v>0</v>
      </c>
      <c r="J161" s="151" t="s">
        <v>158</v>
      </c>
      <c r="K161" s="151">
        <f>+RC_SCAL_2</f>
        <v>30</v>
      </c>
      <c r="L161" s="151"/>
      <c r="M161" s="151"/>
      <c r="N161" s="153">
        <f>+SCAL_MAXI_2</f>
        <v>0.007</v>
      </c>
      <c r="O161" s="154">
        <v>0</v>
      </c>
      <c r="P161" s="154">
        <v>0</v>
      </c>
      <c r="Q161" s="154">
        <v>0</v>
      </c>
      <c r="R161" s="154">
        <v>0</v>
      </c>
      <c r="S161" s="151"/>
      <c r="T161" s="155">
        <v>0.5</v>
      </c>
      <c r="U161" s="155">
        <v>0.333</v>
      </c>
      <c r="V161" s="155">
        <f t="shared" si="60"/>
        <v>0.1665</v>
      </c>
      <c r="W161" s="156">
        <f t="shared" si="61"/>
        <v>0.005880000000000001</v>
      </c>
      <c r="X161" s="156">
        <f t="shared" si="62"/>
        <v>0</v>
      </c>
      <c r="Y161" s="157">
        <f t="shared" si="54"/>
        <v>0</v>
      </c>
    </row>
    <row r="162" spans="3:25" ht="12.75">
      <c r="C162" s="144" t="s">
        <v>610</v>
      </c>
      <c r="D162" s="144" t="s">
        <v>516</v>
      </c>
      <c r="E162" s="144" t="s">
        <v>693</v>
      </c>
      <c r="F162" s="144" t="s">
        <v>56</v>
      </c>
      <c r="G162" s="145" t="s">
        <v>243</v>
      </c>
      <c r="H162" s="144">
        <v>24</v>
      </c>
      <c r="I162" s="144">
        <v>6</v>
      </c>
      <c r="J162" s="144" t="s">
        <v>155</v>
      </c>
      <c r="K162" s="144">
        <f>+RC_CERNOX</f>
        <v>1000</v>
      </c>
      <c r="N162" s="146">
        <f>+I_CERNOX</f>
        <v>1E-06</v>
      </c>
      <c r="O162" s="147">
        <v>0</v>
      </c>
      <c r="P162" s="147">
        <v>0</v>
      </c>
      <c r="Q162" s="147">
        <v>0</v>
      </c>
      <c r="R162" s="147">
        <v>0</v>
      </c>
      <c r="T162" s="148">
        <v>1</v>
      </c>
      <c r="U162" s="148">
        <v>0.3333333333333333</v>
      </c>
      <c r="V162" s="148">
        <f t="shared" si="60"/>
        <v>0.3333333333333333</v>
      </c>
      <c r="W162" s="149">
        <f t="shared" si="61"/>
        <v>2.4000000000000003E-08</v>
      </c>
      <c r="X162" s="149">
        <f t="shared" si="62"/>
        <v>0</v>
      </c>
      <c r="Y162" s="150">
        <f t="shared" si="54"/>
        <v>0</v>
      </c>
    </row>
    <row r="163" spans="7:25" ht="12.75">
      <c r="G163" s="145" t="s">
        <v>53</v>
      </c>
      <c r="H163" s="144">
        <v>4</v>
      </c>
      <c r="I163" s="144">
        <v>1</v>
      </c>
      <c r="J163" s="144" t="s">
        <v>155</v>
      </c>
      <c r="K163" s="144">
        <f>+RC_TC</f>
        <v>30</v>
      </c>
      <c r="N163" s="146">
        <f>+TC_MAXI</f>
        <v>0.002</v>
      </c>
      <c r="O163" s="147">
        <v>0</v>
      </c>
      <c r="P163" s="147">
        <v>0</v>
      </c>
      <c r="Q163" s="147">
        <v>0</v>
      </c>
      <c r="R163" s="147">
        <v>0</v>
      </c>
      <c r="T163" s="148">
        <v>0.5</v>
      </c>
      <c r="U163" s="148">
        <v>0.333</v>
      </c>
      <c r="V163" s="148">
        <f t="shared" si="60"/>
        <v>0.1665</v>
      </c>
      <c r="W163" s="149">
        <f t="shared" si="61"/>
        <v>0.00047999999999999996</v>
      </c>
      <c r="X163" s="149">
        <f t="shared" si="62"/>
        <v>0</v>
      </c>
      <c r="Y163" s="150">
        <f t="shared" si="54"/>
        <v>0</v>
      </c>
    </row>
    <row r="164" spans="1:31" s="187" customFormat="1" ht="13.5" thickBot="1">
      <c r="A164" s="177"/>
      <c r="B164" s="178"/>
      <c r="C164" s="178"/>
      <c r="D164" s="179"/>
      <c r="E164" s="179"/>
      <c r="F164" s="179"/>
      <c r="G164" s="179" t="s">
        <v>710</v>
      </c>
      <c r="H164" s="178"/>
      <c r="I164" s="178"/>
      <c r="J164" s="180" t="s">
        <v>711</v>
      </c>
      <c r="K164" s="178">
        <v>50</v>
      </c>
      <c r="L164" s="178"/>
      <c r="M164" s="178" t="s">
        <v>712</v>
      </c>
      <c r="N164" s="181"/>
      <c r="O164" s="182"/>
      <c r="P164" s="182"/>
      <c r="Q164" s="182"/>
      <c r="R164" s="182"/>
      <c r="S164" s="178" t="s">
        <v>103</v>
      </c>
      <c r="T164" s="183"/>
      <c r="U164" s="183"/>
      <c r="V164" s="183"/>
      <c r="W164" s="184"/>
      <c r="X164" s="184"/>
      <c r="Y164" s="185">
        <f aca="true" t="shared" si="63" ref="Y164:Y187">+X164/$X$189</f>
        <v>0</v>
      </c>
      <c r="Z164" s="186"/>
      <c r="AA164" s="186"/>
      <c r="AB164" s="186"/>
      <c r="AC164" s="186"/>
      <c r="AD164" s="186"/>
      <c r="AE164" s="186"/>
    </row>
    <row r="165" spans="1:25" s="49" customFormat="1" ht="13.5" thickTop="1">
      <c r="A165" s="143" t="s">
        <v>80</v>
      </c>
      <c r="B165" s="144" t="s">
        <v>81</v>
      </c>
      <c r="C165" s="144" t="s">
        <v>611</v>
      </c>
      <c r="D165" s="144" t="s">
        <v>516</v>
      </c>
      <c r="E165" s="144" t="s">
        <v>612</v>
      </c>
      <c r="F165" s="144" t="s">
        <v>56</v>
      </c>
      <c r="G165" s="145" t="s">
        <v>58</v>
      </c>
      <c r="H165" s="144">
        <v>3</v>
      </c>
      <c r="I165" s="144">
        <v>1</v>
      </c>
      <c r="J165" s="144" t="s">
        <v>163</v>
      </c>
      <c r="K165" s="144">
        <f>+RC_BSM_SNS</f>
        <v>1000</v>
      </c>
      <c r="L165" s="144"/>
      <c r="M165" s="144"/>
      <c r="N165" s="146">
        <f>+BSM_I_SNS</f>
        <v>1E-06</v>
      </c>
      <c r="O165" s="147">
        <v>0</v>
      </c>
      <c r="P165" s="147">
        <v>0</v>
      </c>
      <c r="Q165" s="147">
        <v>0</v>
      </c>
      <c r="R165" s="147">
        <v>0</v>
      </c>
      <c r="S165" s="144">
        <v>0.4</v>
      </c>
      <c r="T165" s="148">
        <f>+BSM_DC</f>
        <v>0.4</v>
      </c>
      <c r="U165" s="148">
        <v>0.33</v>
      </c>
      <c r="V165" s="148">
        <f aca="true" t="shared" si="64" ref="V165:V178">+U165*T165</f>
        <v>0.132</v>
      </c>
      <c r="W165" s="149">
        <f aca="true" t="shared" si="65" ref="W165:W187">+N165^2*K165*H165</f>
        <v>3.0000000000000004E-09</v>
      </c>
      <c r="X165" s="149">
        <f aca="true" t="shared" si="66" ref="X165:X187">+O165^2*K165*V165*H165</f>
        <v>0</v>
      </c>
      <c r="Y165" s="150">
        <f t="shared" si="63"/>
        <v>0</v>
      </c>
    </row>
    <row r="166" spans="1:31" s="49" customFormat="1" ht="12.75">
      <c r="A166" s="143"/>
      <c r="B166" s="144"/>
      <c r="C166" s="144"/>
      <c r="D166" s="144"/>
      <c r="E166" s="144"/>
      <c r="F166" s="144"/>
      <c r="G166" s="145"/>
      <c r="H166" s="144">
        <v>2</v>
      </c>
      <c r="I166" s="144">
        <v>1</v>
      </c>
      <c r="J166" s="144" t="s">
        <v>261</v>
      </c>
      <c r="K166" s="144">
        <f>+RC_BSM_SNS</f>
        <v>1000</v>
      </c>
      <c r="L166" s="144"/>
      <c r="M166" s="144"/>
      <c r="N166" s="146">
        <f>+BSM_I_SNS</f>
        <v>1E-06</v>
      </c>
      <c r="O166" s="147">
        <v>0</v>
      </c>
      <c r="P166" s="147">
        <v>0</v>
      </c>
      <c r="Q166" s="147">
        <v>0</v>
      </c>
      <c r="R166" s="147">
        <v>0</v>
      </c>
      <c r="S166" s="144"/>
      <c r="T166" s="148">
        <f>+BSM_DC</f>
        <v>0.4</v>
      </c>
      <c r="U166" s="148">
        <v>0.33</v>
      </c>
      <c r="V166" s="148">
        <f t="shared" si="64"/>
        <v>0.132</v>
      </c>
      <c r="W166" s="149">
        <f t="shared" si="65"/>
        <v>2E-09</v>
      </c>
      <c r="X166" s="149">
        <f t="shared" si="66"/>
        <v>0</v>
      </c>
      <c r="Y166" s="150">
        <f t="shared" si="63"/>
        <v>0</v>
      </c>
      <c r="Z166" s="48"/>
      <c r="AA166" s="48"/>
      <c r="AB166" s="48"/>
      <c r="AC166" s="48"/>
      <c r="AD166" s="48"/>
      <c r="AE166" s="48"/>
    </row>
    <row r="167" spans="1:25" ht="12.75">
      <c r="A167" s="143" t="s">
        <v>7</v>
      </c>
      <c r="G167" s="145" t="s">
        <v>59</v>
      </c>
      <c r="H167" s="144">
        <v>3</v>
      </c>
      <c r="I167" s="144">
        <v>1</v>
      </c>
      <c r="J167" s="144" t="s">
        <v>163</v>
      </c>
      <c r="K167" s="144">
        <f>+RC_BSM_SNS</f>
        <v>1000</v>
      </c>
      <c r="N167" s="146">
        <f>+BSM_I_SNS</f>
        <v>1E-06</v>
      </c>
      <c r="O167" s="147">
        <v>0</v>
      </c>
      <c r="P167" s="147">
        <v>0</v>
      </c>
      <c r="Q167" s="147">
        <v>0</v>
      </c>
      <c r="R167" s="147">
        <v>0</v>
      </c>
      <c r="T167" s="148">
        <f>+BSM_DC</f>
        <v>0.4</v>
      </c>
      <c r="U167" s="148">
        <v>0.33</v>
      </c>
      <c r="V167" s="148">
        <f t="shared" si="64"/>
        <v>0.132</v>
      </c>
      <c r="W167" s="149">
        <f t="shared" si="65"/>
        <v>3.0000000000000004E-09</v>
      </c>
      <c r="X167" s="149">
        <f t="shared" si="66"/>
        <v>0</v>
      </c>
      <c r="Y167" s="150">
        <f t="shared" si="63"/>
        <v>0</v>
      </c>
    </row>
    <row r="168" spans="8:25" ht="12.75">
      <c r="H168" s="144">
        <v>2</v>
      </c>
      <c r="I168" s="144">
        <v>1</v>
      </c>
      <c r="J168" s="144" t="s">
        <v>261</v>
      </c>
      <c r="K168" s="144">
        <f>+RC_BSM_SNS</f>
        <v>1000</v>
      </c>
      <c r="N168" s="146">
        <f>+BSM_I_SNS</f>
        <v>1E-06</v>
      </c>
      <c r="O168" s="147">
        <v>0</v>
      </c>
      <c r="P168" s="147">
        <v>0</v>
      </c>
      <c r="Q168" s="147">
        <v>0</v>
      </c>
      <c r="R168" s="147">
        <v>0</v>
      </c>
      <c r="T168" s="148">
        <f>+BSM_DC</f>
        <v>0.4</v>
      </c>
      <c r="U168" s="148">
        <v>0.33</v>
      </c>
      <c r="V168" s="148">
        <f t="shared" si="64"/>
        <v>0.132</v>
      </c>
      <c r="W168" s="149">
        <f t="shared" si="65"/>
        <v>2E-09</v>
      </c>
      <c r="X168" s="149">
        <f t="shared" si="66"/>
        <v>0</v>
      </c>
      <c r="Y168" s="150">
        <f t="shared" si="63"/>
        <v>0</v>
      </c>
    </row>
    <row r="169" spans="7:25" ht="12.75">
      <c r="G169" s="145" t="s">
        <v>244</v>
      </c>
      <c r="H169" s="144">
        <v>4</v>
      </c>
      <c r="I169" s="144">
        <v>1</v>
      </c>
      <c r="J169" s="144" t="s">
        <v>155</v>
      </c>
      <c r="K169" s="144">
        <f>+RC_CERNOX</f>
        <v>1000</v>
      </c>
      <c r="N169" s="146">
        <f>+BSM_I_SNS</f>
        <v>1E-06</v>
      </c>
      <c r="O169" s="147">
        <v>0</v>
      </c>
      <c r="P169" s="147">
        <v>0</v>
      </c>
      <c r="Q169" s="147">
        <v>0</v>
      </c>
      <c r="R169" s="147">
        <v>0</v>
      </c>
      <c r="T169" s="148">
        <v>1</v>
      </c>
      <c r="U169" s="148">
        <v>0.33</v>
      </c>
      <c r="V169" s="148">
        <f t="shared" si="64"/>
        <v>0.33</v>
      </c>
      <c r="W169" s="149">
        <f t="shared" si="65"/>
        <v>4E-09</v>
      </c>
      <c r="X169" s="149">
        <f t="shared" si="66"/>
        <v>0</v>
      </c>
      <c r="Y169" s="150">
        <f t="shared" si="63"/>
        <v>0</v>
      </c>
    </row>
    <row r="170" spans="7:25" ht="12.75">
      <c r="G170" s="145" t="s">
        <v>57</v>
      </c>
      <c r="H170" s="144">
        <v>4</v>
      </c>
      <c r="I170" s="144">
        <v>1</v>
      </c>
      <c r="J170" s="144" t="s">
        <v>155</v>
      </c>
      <c r="K170" s="144">
        <f>+RC_PCAL</f>
        <v>10</v>
      </c>
      <c r="N170" s="146">
        <f>+PCAL_MAXI</f>
        <v>0.007</v>
      </c>
      <c r="O170" s="147">
        <v>0</v>
      </c>
      <c r="P170" s="147">
        <v>0</v>
      </c>
      <c r="Q170" s="147">
        <v>0</v>
      </c>
      <c r="R170" s="147">
        <v>0</v>
      </c>
      <c r="T170" s="148">
        <f>+PCAL_DC</f>
        <v>0.05</v>
      </c>
      <c r="U170" s="148">
        <v>0.33</v>
      </c>
      <c r="V170" s="148">
        <f t="shared" si="64"/>
        <v>0.0165</v>
      </c>
      <c r="W170" s="149">
        <f t="shared" si="65"/>
        <v>0.0019600000000000004</v>
      </c>
      <c r="X170" s="149">
        <f t="shared" si="66"/>
        <v>0</v>
      </c>
      <c r="Y170" s="150">
        <f t="shared" si="63"/>
        <v>0</v>
      </c>
    </row>
    <row r="171" spans="7:25" ht="12.75">
      <c r="G171" s="145" t="s">
        <v>245</v>
      </c>
      <c r="H171" s="144">
        <v>2</v>
      </c>
      <c r="I171" s="144">
        <v>1</v>
      </c>
      <c r="J171" s="144" t="s">
        <v>261</v>
      </c>
      <c r="K171" s="144">
        <f>+RC_BSM_SNS</f>
        <v>1000</v>
      </c>
      <c r="N171" s="149">
        <f>+BSM_I_LLS</f>
        <v>0.001</v>
      </c>
      <c r="O171" s="147">
        <v>0</v>
      </c>
      <c r="P171" s="147">
        <v>0</v>
      </c>
      <c r="Q171" s="147">
        <v>0</v>
      </c>
      <c r="R171" s="147">
        <v>0</v>
      </c>
      <c r="T171" s="148">
        <v>0</v>
      </c>
      <c r="U171" s="148">
        <v>0</v>
      </c>
      <c r="V171" s="148">
        <f t="shared" si="64"/>
        <v>0</v>
      </c>
      <c r="W171" s="149">
        <f t="shared" si="65"/>
        <v>0.002</v>
      </c>
      <c r="X171" s="149">
        <f t="shared" si="66"/>
        <v>0</v>
      </c>
      <c r="Y171" s="150">
        <f t="shared" si="63"/>
        <v>0</v>
      </c>
    </row>
    <row r="172" spans="7:25" ht="12.75">
      <c r="G172" s="145" t="s">
        <v>246</v>
      </c>
      <c r="H172" s="144">
        <v>2</v>
      </c>
      <c r="I172" s="144">
        <v>1</v>
      </c>
      <c r="J172" s="144" t="s">
        <v>163</v>
      </c>
      <c r="K172" s="144">
        <f>+RC_BSM_DRV</f>
        <v>10</v>
      </c>
      <c r="N172" s="146">
        <f>+BSM_I_LLD</f>
        <v>0.035</v>
      </c>
      <c r="O172" s="147">
        <v>0</v>
      </c>
      <c r="P172" s="147">
        <v>0</v>
      </c>
      <c r="Q172" s="147">
        <v>0</v>
      </c>
      <c r="R172" s="147">
        <v>0</v>
      </c>
      <c r="T172" s="148">
        <v>0</v>
      </c>
      <c r="U172" s="148">
        <v>0</v>
      </c>
      <c r="V172" s="148">
        <f t="shared" si="64"/>
        <v>0</v>
      </c>
      <c r="W172" s="149">
        <f t="shared" si="65"/>
        <v>0.024500000000000004</v>
      </c>
      <c r="X172" s="149">
        <f t="shared" si="66"/>
        <v>0</v>
      </c>
      <c r="Y172" s="150">
        <f t="shared" si="63"/>
        <v>0</v>
      </c>
    </row>
    <row r="173" spans="7:25" ht="12.75">
      <c r="G173" s="145" t="s">
        <v>247</v>
      </c>
      <c r="H173" s="144">
        <v>4</v>
      </c>
      <c r="I173" s="144">
        <v>1</v>
      </c>
      <c r="J173" s="144" t="s">
        <v>155</v>
      </c>
      <c r="K173" s="144">
        <f>+RC_BSM_DRV</f>
        <v>10</v>
      </c>
      <c r="N173" s="146">
        <f>+BSM_MAXI_DRV</f>
        <v>0.04</v>
      </c>
      <c r="O173" s="147">
        <v>0</v>
      </c>
      <c r="P173" s="147">
        <v>0</v>
      </c>
      <c r="Q173" s="147">
        <v>0</v>
      </c>
      <c r="R173" s="147">
        <v>0</v>
      </c>
      <c r="T173" s="148">
        <f>+BSM_DC</f>
        <v>0.4</v>
      </c>
      <c r="U173" s="148">
        <v>0.33</v>
      </c>
      <c r="V173" s="148">
        <f t="shared" si="64"/>
        <v>0.132</v>
      </c>
      <c r="W173" s="149">
        <f t="shared" si="65"/>
        <v>0.064</v>
      </c>
      <c r="X173" s="149">
        <f t="shared" si="66"/>
        <v>0</v>
      </c>
      <c r="Y173" s="150">
        <f t="shared" si="63"/>
        <v>0</v>
      </c>
    </row>
    <row r="174" spans="3:25" ht="12.75">
      <c r="C174" s="151"/>
      <c r="D174" s="151"/>
      <c r="E174" s="151"/>
      <c r="F174" s="151"/>
      <c r="G174" s="152" t="s">
        <v>248</v>
      </c>
      <c r="H174" s="151">
        <v>4</v>
      </c>
      <c r="I174" s="151">
        <v>1</v>
      </c>
      <c r="J174" s="151" t="s">
        <v>155</v>
      </c>
      <c r="K174" s="151">
        <f>+RC_BSM_DRV</f>
        <v>10</v>
      </c>
      <c r="L174" s="151"/>
      <c r="M174" s="151"/>
      <c r="N174" s="153">
        <f>+BSM_MAXI_DRV</f>
        <v>0.04</v>
      </c>
      <c r="O174" s="154">
        <v>0</v>
      </c>
      <c r="P174" s="154">
        <v>0</v>
      </c>
      <c r="Q174" s="154">
        <v>0</v>
      </c>
      <c r="R174" s="154">
        <v>0</v>
      </c>
      <c r="S174" s="151"/>
      <c r="T174" s="155">
        <f>+BSM_DC</f>
        <v>0.4</v>
      </c>
      <c r="U174" s="155">
        <v>0.33</v>
      </c>
      <c r="V174" s="155">
        <f t="shared" si="64"/>
        <v>0.132</v>
      </c>
      <c r="W174" s="156">
        <f t="shared" si="65"/>
        <v>0.064</v>
      </c>
      <c r="X174" s="156">
        <f t="shared" si="66"/>
        <v>0</v>
      </c>
      <c r="Y174" s="157">
        <f t="shared" si="63"/>
        <v>0</v>
      </c>
    </row>
    <row r="175" spans="3:25" ht="12.75">
      <c r="C175" s="144" t="s">
        <v>613</v>
      </c>
      <c r="D175" s="144" t="s">
        <v>516</v>
      </c>
      <c r="E175" s="144" t="s">
        <v>615</v>
      </c>
      <c r="F175" s="144" t="s">
        <v>56</v>
      </c>
      <c r="G175" s="145" t="s">
        <v>123</v>
      </c>
      <c r="H175" s="144">
        <v>8</v>
      </c>
      <c r="I175" s="144">
        <v>2</v>
      </c>
      <c r="J175" s="144" t="s">
        <v>155</v>
      </c>
      <c r="K175" s="144">
        <f>+RC_CERNOX</f>
        <v>1000</v>
      </c>
      <c r="N175" s="146">
        <f>+I_CERNOX</f>
        <v>1E-06</v>
      </c>
      <c r="O175" s="147">
        <v>0</v>
      </c>
      <c r="P175" s="147">
        <v>0</v>
      </c>
      <c r="Q175" s="147">
        <v>0</v>
      </c>
      <c r="R175" s="147">
        <v>0</v>
      </c>
      <c r="T175" s="148">
        <v>1</v>
      </c>
      <c r="U175" s="148">
        <v>0.33</v>
      </c>
      <c r="V175" s="148">
        <f t="shared" si="64"/>
        <v>0.33</v>
      </c>
      <c r="W175" s="149">
        <f t="shared" si="65"/>
        <v>8E-09</v>
      </c>
      <c r="X175" s="149">
        <f t="shared" si="66"/>
        <v>0</v>
      </c>
      <c r="Y175" s="150">
        <f t="shared" si="63"/>
        <v>0</v>
      </c>
    </row>
    <row r="176" spans="7:25" ht="12.75">
      <c r="G176" s="145" t="s">
        <v>65</v>
      </c>
      <c r="H176" s="144">
        <v>2</v>
      </c>
      <c r="I176" s="144">
        <v>1</v>
      </c>
      <c r="J176" s="144" t="s">
        <v>261</v>
      </c>
      <c r="K176" s="144">
        <f>+RC_FTS_LVDT_P</f>
        <v>5</v>
      </c>
      <c r="N176" s="146">
        <f>+FTS_MAXI_LVDTP</f>
        <v>0.005</v>
      </c>
      <c r="O176" s="147">
        <v>0</v>
      </c>
      <c r="P176" s="147">
        <v>0</v>
      </c>
      <c r="Q176" s="147">
        <v>0</v>
      </c>
      <c r="R176" s="147">
        <v>0</v>
      </c>
      <c r="S176" s="144">
        <v>5</v>
      </c>
      <c r="T176" s="148">
        <v>0.5</v>
      </c>
      <c r="U176" s="148">
        <v>0.33</v>
      </c>
      <c r="V176" s="148">
        <f t="shared" si="64"/>
        <v>0.165</v>
      </c>
      <c r="W176" s="149">
        <f t="shared" si="65"/>
        <v>0.00025</v>
      </c>
      <c r="X176" s="149">
        <f t="shared" si="66"/>
        <v>0</v>
      </c>
      <c r="Y176" s="150">
        <f t="shared" si="63"/>
        <v>0</v>
      </c>
    </row>
    <row r="177" spans="7:25" ht="12.75">
      <c r="G177" s="145" t="s">
        <v>66</v>
      </c>
      <c r="H177" s="144">
        <v>4</v>
      </c>
      <c r="I177" s="144">
        <v>2</v>
      </c>
      <c r="J177" s="144" t="s">
        <v>261</v>
      </c>
      <c r="K177" s="144">
        <v>50</v>
      </c>
      <c r="N177" s="146">
        <f>+FTS_AVGI_LVDTS</f>
        <v>5E-05</v>
      </c>
      <c r="O177" s="147">
        <v>0</v>
      </c>
      <c r="P177" s="147">
        <v>0</v>
      </c>
      <c r="Q177" s="147">
        <v>0</v>
      </c>
      <c r="R177" s="147">
        <v>0</v>
      </c>
      <c r="S177" s="144">
        <v>15</v>
      </c>
      <c r="T177" s="148">
        <v>0.5</v>
      </c>
      <c r="U177" s="148">
        <v>0.33</v>
      </c>
      <c r="V177" s="148">
        <f t="shared" si="64"/>
        <v>0.165</v>
      </c>
      <c r="W177" s="149">
        <f t="shared" si="65"/>
        <v>5E-07</v>
      </c>
      <c r="X177" s="149">
        <f t="shared" si="66"/>
        <v>0</v>
      </c>
      <c r="Y177" s="150">
        <f t="shared" si="63"/>
        <v>0</v>
      </c>
    </row>
    <row r="178" spans="7:25" ht="12.75">
      <c r="G178" s="145" t="s">
        <v>409</v>
      </c>
      <c r="H178" s="144">
        <v>4</v>
      </c>
      <c r="I178" s="144">
        <v>2</v>
      </c>
      <c r="J178" s="144" t="s">
        <v>261</v>
      </c>
      <c r="K178" s="144">
        <f>+RC_FTS_LLP</f>
        <v>5</v>
      </c>
      <c r="N178" s="146">
        <f>+FT_MAXI_LLP</f>
        <v>0.4</v>
      </c>
      <c r="O178" s="147">
        <v>0</v>
      </c>
      <c r="P178" s="147">
        <v>0</v>
      </c>
      <c r="Q178" s="147">
        <v>0</v>
      </c>
      <c r="R178" s="147">
        <v>0</v>
      </c>
      <c r="S178" s="144">
        <v>15</v>
      </c>
      <c r="T178" s="148">
        <v>0</v>
      </c>
      <c r="U178" s="148">
        <v>0</v>
      </c>
      <c r="V178" s="148">
        <f t="shared" si="64"/>
        <v>0</v>
      </c>
      <c r="W178" s="149">
        <f t="shared" si="65"/>
        <v>3.2000000000000006</v>
      </c>
      <c r="X178" s="149">
        <f t="shared" si="66"/>
        <v>0</v>
      </c>
      <c r="Y178" s="150">
        <f t="shared" si="63"/>
        <v>0</v>
      </c>
    </row>
    <row r="179" spans="7:25" ht="12.75">
      <c r="G179" s="145" t="s">
        <v>677</v>
      </c>
      <c r="H179" s="144">
        <v>4</v>
      </c>
      <c r="I179" s="144">
        <v>2</v>
      </c>
      <c r="J179" s="144" t="s">
        <v>261</v>
      </c>
      <c r="K179" s="144">
        <f>+RC_FTS_LLP</f>
        <v>5</v>
      </c>
      <c r="N179" s="146">
        <f>+FT_MAXI_LLP</f>
        <v>0.4</v>
      </c>
      <c r="O179" s="147">
        <v>0</v>
      </c>
      <c r="P179" s="147">
        <v>0</v>
      </c>
      <c r="Q179" s="147">
        <v>0</v>
      </c>
      <c r="R179" s="147">
        <v>0</v>
      </c>
      <c r="S179" s="144">
        <v>15</v>
      </c>
      <c r="T179" s="148">
        <v>0</v>
      </c>
      <c r="U179" s="148">
        <v>0</v>
      </c>
      <c r="V179" s="148">
        <f aca="true" t="shared" si="67" ref="V179:V187">+U179*T179</f>
        <v>0</v>
      </c>
      <c r="W179" s="149">
        <f t="shared" si="65"/>
        <v>3.2000000000000006</v>
      </c>
      <c r="X179" s="149">
        <f t="shared" si="66"/>
        <v>0</v>
      </c>
      <c r="Y179" s="150">
        <f t="shared" si="63"/>
        <v>0</v>
      </c>
    </row>
    <row r="180" spans="4:25" ht="12.75">
      <c r="D180" s="151"/>
      <c r="G180" s="152" t="s">
        <v>410</v>
      </c>
      <c r="H180" s="151">
        <v>4</v>
      </c>
      <c r="I180" s="151">
        <v>2</v>
      </c>
      <c r="J180" s="151" t="s">
        <v>261</v>
      </c>
      <c r="K180" s="151">
        <f>+RC_FTS_LLS</f>
        <v>5</v>
      </c>
      <c r="L180" s="151"/>
      <c r="M180" s="151"/>
      <c r="N180" s="153">
        <f>+FTS_MAXI_LLS</f>
        <v>0.001</v>
      </c>
      <c r="O180" s="154">
        <v>0</v>
      </c>
      <c r="P180" s="154">
        <v>0</v>
      </c>
      <c r="Q180" s="154">
        <v>0</v>
      </c>
      <c r="R180" s="154">
        <v>0</v>
      </c>
      <c r="S180" s="151">
        <v>15</v>
      </c>
      <c r="T180" s="155">
        <v>0</v>
      </c>
      <c r="U180" s="155">
        <v>0</v>
      </c>
      <c r="V180" s="155">
        <f t="shared" si="67"/>
        <v>0</v>
      </c>
      <c r="W180" s="156">
        <f t="shared" si="65"/>
        <v>1.9999999999999998E-05</v>
      </c>
      <c r="X180" s="156">
        <f t="shared" si="66"/>
        <v>0</v>
      </c>
      <c r="Y180" s="157">
        <f t="shared" si="63"/>
        <v>0</v>
      </c>
    </row>
    <row r="181" spans="3:25" ht="12.75">
      <c r="C181" s="158" t="s">
        <v>614</v>
      </c>
      <c r="D181" s="144" t="s">
        <v>516</v>
      </c>
      <c r="E181" s="158" t="s">
        <v>616</v>
      </c>
      <c r="F181" s="158" t="s">
        <v>56</v>
      </c>
      <c r="G181" s="145" t="s">
        <v>164</v>
      </c>
      <c r="H181" s="144">
        <v>2</v>
      </c>
      <c r="I181" s="144">
        <v>1</v>
      </c>
      <c r="J181" s="144" t="s">
        <v>261</v>
      </c>
      <c r="K181" s="144">
        <f>+RC_FTS_DRV</f>
        <v>5</v>
      </c>
      <c r="N181" s="146">
        <f>+FTS_I_DRVM</f>
        <v>0.1</v>
      </c>
      <c r="O181" s="147">
        <v>0</v>
      </c>
      <c r="P181" s="147">
        <v>0</v>
      </c>
      <c r="Q181" s="147">
        <v>0</v>
      </c>
      <c r="R181" s="147">
        <v>0</v>
      </c>
      <c r="S181" s="144">
        <v>15</v>
      </c>
      <c r="T181" s="148">
        <v>0.5</v>
      </c>
      <c r="U181" s="148">
        <v>0.33</v>
      </c>
      <c r="V181" s="148">
        <f t="shared" si="67"/>
        <v>0.165</v>
      </c>
      <c r="W181" s="149">
        <f t="shared" si="65"/>
        <v>0.10000000000000002</v>
      </c>
      <c r="X181" s="149">
        <f t="shared" si="66"/>
        <v>0</v>
      </c>
      <c r="Y181" s="150">
        <f t="shared" si="63"/>
        <v>0</v>
      </c>
    </row>
    <row r="182" spans="7:25" ht="12.75">
      <c r="G182" s="145" t="s">
        <v>678</v>
      </c>
      <c r="H182" s="144">
        <v>2</v>
      </c>
      <c r="I182" s="144">
        <v>1</v>
      </c>
      <c r="J182" s="144" t="s">
        <v>261</v>
      </c>
      <c r="K182" s="144">
        <f>+RC_FTS_DRV</f>
        <v>5</v>
      </c>
      <c r="N182" s="146">
        <f>+FTS_I_DRVM</f>
        <v>0.1</v>
      </c>
      <c r="O182" s="147">
        <v>0</v>
      </c>
      <c r="P182" s="147">
        <v>0</v>
      </c>
      <c r="Q182" s="147">
        <v>0</v>
      </c>
      <c r="R182" s="147">
        <v>0</v>
      </c>
      <c r="S182" s="144">
        <v>15</v>
      </c>
      <c r="T182" s="148">
        <v>0.5</v>
      </c>
      <c r="U182" s="148">
        <v>0.33</v>
      </c>
      <c r="V182" s="148">
        <f t="shared" si="67"/>
        <v>0.165</v>
      </c>
      <c r="W182" s="149">
        <f t="shared" si="65"/>
        <v>0.10000000000000002</v>
      </c>
      <c r="X182" s="149">
        <f t="shared" si="66"/>
        <v>0</v>
      </c>
      <c r="Y182" s="150">
        <f t="shared" si="63"/>
        <v>0</v>
      </c>
    </row>
    <row r="183" spans="7:25" ht="12.75">
      <c r="G183" s="145" t="s">
        <v>249</v>
      </c>
      <c r="H183" s="144">
        <v>2</v>
      </c>
      <c r="I183" s="144">
        <v>1</v>
      </c>
      <c r="J183" s="144" t="s">
        <v>261</v>
      </c>
      <c r="K183" s="144">
        <f>+RC_FTS_DRV_SNS</f>
        <v>500</v>
      </c>
      <c r="N183" s="146">
        <f>+FTS_I_DRV_SNS</f>
        <v>1E-05</v>
      </c>
      <c r="O183" s="147">
        <v>0</v>
      </c>
      <c r="P183" s="147">
        <v>0</v>
      </c>
      <c r="Q183" s="147">
        <v>0</v>
      </c>
      <c r="R183" s="147">
        <v>0</v>
      </c>
      <c r="S183" s="144">
        <v>15</v>
      </c>
      <c r="T183" s="148">
        <v>0.5</v>
      </c>
      <c r="U183" s="148">
        <v>0.33</v>
      </c>
      <c r="V183" s="148">
        <f t="shared" si="67"/>
        <v>0.165</v>
      </c>
      <c r="W183" s="149">
        <f t="shared" si="65"/>
        <v>1.0000000000000002E-07</v>
      </c>
      <c r="X183" s="149">
        <f t="shared" si="66"/>
        <v>0</v>
      </c>
      <c r="Y183" s="150">
        <f t="shared" si="63"/>
        <v>0</v>
      </c>
    </row>
    <row r="184" spans="7:25" ht="12.75">
      <c r="G184" s="145" t="s">
        <v>67</v>
      </c>
      <c r="H184" s="144">
        <v>2</v>
      </c>
      <c r="I184" s="144">
        <v>1</v>
      </c>
      <c r="J184" s="144" t="s">
        <v>261</v>
      </c>
      <c r="K184" s="144">
        <f>RC_FTS_PS_PWR</f>
        <v>100</v>
      </c>
      <c r="N184" s="146">
        <f>FTS_PSP_I</f>
        <v>0.001</v>
      </c>
      <c r="O184" s="147">
        <v>0</v>
      </c>
      <c r="P184" s="147">
        <v>0</v>
      </c>
      <c r="Q184" s="147">
        <v>0</v>
      </c>
      <c r="R184" s="147">
        <v>0</v>
      </c>
      <c r="S184" s="144">
        <v>5</v>
      </c>
      <c r="T184" s="148">
        <v>0.5</v>
      </c>
      <c r="U184" s="148">
        <v>0.33</v>
      </c>
      <c r="V184" s="148">
        <f t="shared" si="67"/>
        <v>0.165</v>
      </c>
      <c r="W184" s="149">
        <f t="shared" si="65"/>
        <v>0.00019999999999999998</v>
      </c>
      <c r="X184" s="149">
        <f t="shared" si="66"/>
        <v>0</v>
      </c>
      <c r="Y184" s="150">
        <f t="shared" si="63"/>
        <v>0</v>
      </c>
    </row>
    <row r="185" spans="7:25" ht="12.75">
      <c r="G185" s="145" t="s">
        <v>682</v>
      </c>
      <c r="H185" s="144">
        <v>2</v>
      </c>
      <c r="I185" s="144">
        <v>1</v>
      </c>
      <c r="J185" s="144" t="s">
        <v>261</v>
      </c>
      <c r="K185" s="144">
        <f>+RC_FTS_LED_PWR</f>
        <v>100</v>
      </c>
      <c r="N185" s="146">
        <f>+FTS_LED_IM</f>
        <v>0.001</v>
      </c>
      <c r="O185" s="147">
        <v>0</v>
      </c>
      <c r="P185" s="147">
        <v>0</v>
      </c>
      <c r="Q185" s="147">
        <v>0</v>
      </c>
      <c r="R185" s="147">
        <v>0</v>
      </c>
      <c r="S185" s="144">
        <v>5</v>
      </c>
      <c r="T185" s="148">
        <v>0.5</v>
      </c>
      <c r="U185" s="148">
        <v>0.33</v>
      </c>
      <c r="V185" s="148">
        <f t="shared" si="67"/>
        <v>0.165</v>
      </c>
      <c r="W185" s="149">
        <f t="shared" si="65"/>
        <v>0.00019999999999999998</v>
      </c>
      <c r="X185" s="149">
        <f t="shared" si="66"/>
        <v>0</v>
      </c>
      <c r="Y185" s="150">
        <f t="shared" si="63"/>
        <v>0</v>
      </c>
    </row>
    <row r="186" spans="7:25" ht="12.75">
      <c r="G186" s="145" t="s">
        <v>240</v>
      </c>
      <c r="H186" s="144">
        <v>6</v>
      </c>
      <c r="I186" s="144">
        <v>3</v>
      </c>
      <c r="J186" s="144" t="s">
        <v>261</v>
      </c>
      <c r="K186" s="144">
        <f>RC_FTS_PS_PHOT</f>
        <v>1000</v>
      </c>
      <c r="N186" s="146">
        <f>FTS_PS_PHOT_I</f>
        <v>2E-05</v>
      </c>
      <c r="O186" s="147">
        <v>0</v>
      </c>
      <c r="P186" s="147">
        <v>0</v>
      </c>
      <c r="Q186" s="147">
        <v>0</v>
      </c>
      <c r="R186" s="147">
        <v>0</v>
      </c>
      <c r="S186" s="144">
        <v>5</v>
      </c>
      <c r="T186" s="148">
        <v>0.5</v>
      </c>
      <c r="U186" s="148">
        <v>0.33</v>
      </c>
      <c r="V186" s="148">
        <f t="shared" si="67"/>
        <v>0.165</v>
      </c>
      <c r="W186" s="149">
        <f t="shared" si="65"/>
        <v>2.4000000000000007E-06</v>
      </c>
      <c r="X186" s="149">
        <f t="shared" si="66"/>
        <v>0</v>
      </c>
      <c r="Y186" s="150">
        <f t="shared" si="63"/>
        <v>0</v>
      </c>
    </row>
    <row r="187" spans="7:25" ht="12.75">
      <c r="G187" s="145" t="s">
        <v>241</v>
      </c>
      <c r="H187" s="144">
        <v>6</v>
      </c>
      <c r="I187" s="144">
        <v>3</v>
      </c>
      <c r="J187" s="144" t="s">
        <v>261</v>
      </c>
      <c r="K187" s="144">
        <f>RC_FTS_PS_FB</f>
        <v>1000</v>
      </c>
      <c r="N187" s="146">
        <f>FTS_PS_FB_I</f>
        <v>1E-05</v>
      </c>
      <c r="O187" s="147">
        <v>0</v>
      </c>
      <c r="P187" s="147">
        <v>0</v>
      </c>
      <c r="Q187" s="147">
        <v>0</v>
      </c>
      <c r="R187" s="147">
        <v>0</v>
      </c>
      <c r="S187" s="144">
        <v>5</v>
      </c>
      <c r="T187" s="148">
        <v>0.5</v>
      </c>
      <c r="U187" s="148">
        <v>0.33</v>
      </c>
      <c r="V187" s="148">
        <f t="shared" si="67"/>
        <v>0.165</v>
      </c>
      <c r="W187" s="149">
        <f t="shared" si="65"/>
        <v>6.000000000000002E-07</v>
      </c>
      <c r="X187" s="149">
        <f t="shared" si="66"/>
        <v>0</v>
      </c>
      <c r="Y187" s="150">
        <f t="shared" si="63"/>
        <v>0</v>
      </c>
    </row>
    <row r="188" spans="1:25" s="187" customFormat="1" ht="13.5" thickBot="1">
      <c r="A188" s="177"/>
      <c r="B188" s="178"/>
      <c r="C188" s="178"/>
      <c r="D188" s="179"/>
      <c r="E188" s="179"/>
      <c r="F188" s="179"/>
      <c r="G188" s="179" t="s">
        <v>713</v>
      </c>
      <c r="H188" s="178"/>
      <c r="I188" s="178"/>
      <c r="J188" s="180" t="s">
        <v>711</v>
      </c>
      <c r="K188" s="178">
        <v>50</v>
      </c>
      <c r="L188" s="178"/>
      <c r="M188" s="178" t="s">
        <v>712</v>
      </c>
      <c r="N188" s="181"/>
      <c r="O188" s="181"/>
      <c r="P188" s="182"/>
      <c r="Q188" s="182"/>
      <c r="R188" s="182"/>
      <c r="S188" s="178" t="s">
        <v>103</v>
      </c>
      <c r="T188" s="183"/>
      <c r="U188" s="183"/>
      <c r="V188" s="183"/>
      <c r="W188" s="184"/>
      <c r="X188" s="184"/>
      <c r="Y188" s="185">
        <v>0</v>
      </c>
    </row>
    <row r="189" spans="23:24" ht="13.5" thickTop="1">
      <c r="W189" s="149">
        <f>SUM(W3:W187)</f>
        <v>13.873490298150596</v>
      </c>
      <c r="X189" s="149">
        <f>SUM(X3:X187)</f>
        <v>0.09694831710193293</v>
      </c>
    </row>
    <row r="190" spans="23:24" ht="12.75">
      <c r="W190" s="172">
        <f>+W189*1000</f>
        <v>13873.490298150597</v>
      </c>
      <c r="X190" s="172">
        <f>+X189*1000</f>
        <v>96.94831710193293</v>
      </c>
    </row>
  </sheetData>
  <mergeCells count="16">
    <mergeCell ref="T1:V1"/>
    <mergeCell ref="S1:S2"/>
    <mergeCell ref="N1:N2"/>
    <mergeCell ref="O1:O2"/>
    <mergeCell ref="P1:R1"/>
    <mergeCell ref="H1:H2"/>
    <mergeCell ref="I1:I2"/>
    <mergeCell ref="J1:J2"/>
    <mergeCell ref="K1:M1"/>
    <mergeCell ref="A1:A2"/>
    <mergeCell ref="B1:B2"/>
    <mergeCell ref="C1:C2"/>
    <mergeCell ref="G1:G2"/>
    <mergeCell ref="D1:D2"/>
    <mergeCell ref="E1:E2"/>
    <mergeCell ref="F1:F2"/>
  </mergeCells>
  <printOptions gridLines="1" horizontalCentered="1" verticalCentered="1"/>
  <pageMargins left="0.4330708661417323" right="0.4330708661417323" top="0.4330708661417323" bottom="0.3937007874015748" header="0.35433070866141736" footer="0.35433070866141736"/>
  <pageSetup fitToHeight="3" fitToWidth="1" horizontalDpi="600" verticalDpi="600" orientation="landscape" paperSize="9" scale="66"/>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Z200"/>
  <sheetViews>
    <sheetView showGridLines="0" zoomScale="70" zoomScaleNormal="70" workbookViewId="0" topLeftCell="C1">
      <pane xSplit="11925" ySplit="5925" topLeftCell="S1" activePane="topRight" state="split"/>
      <selection pane="topLeft" activeCell="G1" sqref="G1:G2"/>
      <selection pane="topRight" activeCell="U3" sqref="U3"/>
      <selection pane="bottomLeft" activeCell="T194" sqref="T194"/>
      <selection pane="bottomRight" activeCell="X207" sqref="X207"/>
    </sheetView>
  </sheetViews>
  <sheetFormatPr defaultColWidth="9.140625" defaultRowHeight="12.75"/>
  <cols>
    <col min="1" max="1" width="7.8515625" style="53" customWidth="1"/>
    <col min="2" max="2" width="10.00390625" style="52" customWidth="1"/>
    <col min="3" max="3" width="14.00390625" style="55" customWidth="1"/>
    <col min="4" max="4" width="12.8515625" style="52" customWidth="1"/>
    <col min="5" max="5" width="12.00390625" style="52" customWidth="1"/>
    <col min="6" max="6" width="12.8515625" style="52" customWidth="1"/>
    <col min="7" max="7" width="33.421875" style="55" customWidth="1"/>
    <col min="8" max="8" width="11.28125" style="52" customWidth="1"/>
    <col min="9" max="9" width="11.140625" style="52" customWidth="1"/>
    <col min="10" max="10" width="13.00390625" style="52" customWidth="1"/>
    <col min="11" max="11" width="9.00390625" style="52" bestFit="1" customWidth="1"/>
    <col min="12" max="12" width="7.140625" style="52" bestFit="1" customWidth="1"/>
    <col min="13" max="13" width="9.00390625" style="52" bestFit="1" customWidth="1"/>
    <col min="14" max="14" width="11.421875" style="52" customWidth="1"/>
    <col min="15" max="15" width="9.7109375" style="52" customWidth="1"/>
    <col min="16" max="18" width="5.7109375" style="60" hidden="1" customWidth="1"/>
    <col min="19" max="19" width="6.8515625" style="52" bestFit="1" customWidth="1"/>
    <col min="20" max="20" width="5.8515625" style="56" bestFit="1" customWidth="1"/>
    <col min="21" max="21" width="8.00390625" style="56" bestFit="1" customWidth="1"/>
    <col min="22" max="22" width="7.421875" style="56" bestFit="1" customWidth="1"/>
    <col min="23" max="23" width="18.421875" style="48" bestFit="1" customWidth="1"/>
    <col min="24" max="24" width="12.7109375" style="48" bestFit="1" customWidth="1"/>
    <col min="25" max="25" width="6.28125" style="48" bestFit="1" customWidth="1"/>
    <col min="26" max="16384" width="9.140625" style="52" customWidth="1"/>
  </cols>
  <sheetData>
    <row r="1" spans="1:25" ht="12" customHeight="1">
      <c r="A1" s="198" t="s">
        <v>256</v>
      </c>
      <c r="B1" s="200" t="s">
        <v>472</v>
      </c>
      <c r="C1" s="200" t="s">
        <v>738</v>
      </c>
      <c r="D1" s="202" t="s">
        <v>476</v>
      </c>
      <c r="E1" s="202" t="s">
        <v>737</v>
      </c>
      <c r="F1" s="202" t="s">
        <v>736</v>
      </c>
      <c r="G1" s="200" t="s">
        <v>257</v>
      </c>
      <c r="H1" s="202" t="s">
        <v>101</v>
      </c>
      <c r="I1" s="202" t="s">
        <v>102</v>
      </c>
      <c r="J1" s="202" t="s">
        <v>475</v>
      </c>
      <c r="K1" s="200" t="s">
        <v>262</v>
      </c>
      <c r="L1" s="200"/>
      <c r="M1" s="200"/>
      <c r="N1" s="200" t="s">
        <v>156</v>
      </c>
      <c r="O1" s="200" t="s">
        <v>731</v>
      </c>
      <c r="P1" s="205" t="str">
        <f>+'C - FPU to CVV'!P1:R1</f>
        <v>Operating Mode</v>
      </c>
      <c r="Q1" s="205"/>
      <c r="R1" s="205"/>
      <c r="S1" s="200" t="s">
        <v>267</v>
      </c>
      <c r="T1" s="204" t="s">
        <v>263</v>
      </c>
      <c r="U1" s="204"/>
      <c r="V1" s="204"/>
      <c r="W1" s="62" t="s">
        <v>111</v>
      </c>
      <c r="X1" s="62" t="s">
        <v>112</v>
      </c>
      <c r="Y1" s="63"/>
    </row>
    <row r="2" spans="1:25" s="134" customFormat="1" ht="25.5" customHeight="1" thickBot="1">
      <c r="A2" s="199"/>
      <c r="B2" s="201"/>
      <c r="C2" s="201"/>
      <c r="D2" s="203"/>
      <c r="E2" s="203"/>
      <c r="F2" s="203"/>
      <c r="G2" s="201"/>
      <c r="H2" s="203"/>
      <c r="I2" s="203"/>
      <c r="J2" s="203"/>
      <c r="K2" s="88" t="s">
        <v>168</v>
      </c>
      <c r="L2" s="88" t="s">
        <v>266</v>
      </c>
      <c r="M2" s="88" t="s">
        <v>41</v>
      </c>
      <c r="N2" s="201"/>
      <c r="O2" s="201"/>
      <c r="P2" s="131" t="str">
        <f>+'C - FPU to CVV'!P2</f>
        <v>P</v>
      </c>
      <c r="Q2" s="131" t="str">
        <f>+'C - FPU to CVV'!Q2</f>
        <v>Sp</v>
      </c>
      <c r="R2" s="131" t="str">
        <f>+'C - FPU to CVV'!R2</f>
        <v>CR</v>
      </c>
      <c r="S2" s="201"/>
      <c r="T2" s="132" t="s">
        <v>265</v>
      </c>
      <c r="U2" s="132" t="s">
        <v>264</v>
      </c>
      <c r="V2" s="132" t="s">
        <v>268</v>
      </c>
      <c r="W2" s="88"/>
      <c r="X2" s="88"/>
      <c r="Y2" s="133"/>
    </row>
    <row r="3" spans="1:25" s="54" customFormat="1" ht="12.75" customHeight="1" thickTop="1">
      <c r="A3" s="61" t="s">
        <v>730</v>
      </c>
      <c r="B3" s="72" t="s">
        <v>269</v>
      </c>
      <c r="C3" s="73" t="s">
        <v>480</v>
      </c>
      <c r="D3" s="72" t="s">
        <v>481</v>
      </c>
      <c r="E3" s="72" t="s">
        <v>482</v>
      </c>
      <c r="F3" s="72" t="s">
        <v>483</v>
      </c>
      <c r="G3" s="73" t="str">
        <f>+'C - FPU to CVV'!G3</f>
        <v>Bolometer signals from JFS (SLW 1-12)</v>
      </c>
      <c r="H3" s="72">
        <f>+'C - FPU to CVV'!H3</f>
        <v>24</v>
      </c>
      <c r="I3" s="72">
        <v>12</v>
      </c>
      <c r="J3" s="72" t="s">
        <v>261</v>
      </c>
      <c r="K3" s="72">
        <f>+RI_BOL_SIG</f>
        <v>500</v>
      </c>
      <c r="L3" s="72" t="str">
        <f>+CI_BOL_SIG</f>
        <v>1500pF</v>
      </c>
      <c r="M3" s="72" t="str">
        <f>+LI_BOL_SIG</f>
        <v>0.08uH</v>
      </c>
      <c r="N3" s="74">
        <f>+'C - FPU to CVV'!N3</f>
        <v>1E-09</v>
      </c>
      <c r="O3" s="74">
        <f>+'C - FPU to CVV'!O3</f>
        <v>5E-10</v>
      </c>
      <c r="P3" s="75">
        <f>+'C - FPU to CVV'!P3</f>
        <v>0</v>
      </c>
      <c r="Q3" s="75">
        <f>+'C - FPU to CVV'!Q3</f>
        <v>1</v>
      </c>
      <c r="R3" s="75">
        <f>+'C - FPU to CVV'!R3</f>
        <v>0</v>
      </c>
      <c r="S3" s="72">
        <f>+'C - FPU to CVV'!S3</f>
        <v>0.1</v>
      </c>
      <c r="T3" s="76">
        <f>+'C - FPU to CVV'!T3</f>
        <v>0.5</v>
      </c>
      <c r="U3" s="76">
        <f>+'C - FPU to CVV'!U3</f>
        <v>0.3333333333333333</v>
      </c>
      <c r="V3" s="76">
        <f>+'C - FPU to CVV'!V3</f>
        <v>0.16666666666666666</v>
      </c>
      <c r="W3" s="77">
        <f aca="true" t="shared" si="0" ref="W3:W32">+N3^2*K3*H3</f>
        <v>1.2000000000000001E-14</v>
      </c>
      <c r="X3" s="77">
        <f aca="true" t="shared" si="1" ref="X3:X41">+O3^2*K3*V3*H3</f>
        <v>5E-16</v>
      </c>
      <c r="Y3" s="78" t="e">
        <f>+X3/$X$196</f>
        <v>#REF!</v>
      </c>
    </row>
    <row r="4" spans="1:25" ht="12.75" customHeight="1">
      <c r="A4" s="61" t="s">
        <v>1</v>
      </c>
      <c r="B4" s="65"/>
      <c r="C4" s="66"/>
      <c r="D4" s="65"/>
      <c r="E4" s="65"/>
      <c r="F4" s="65"/>
      <c r="G4" s="66" t="s">
        <v>301</v>
      </c>
      <c r="H4" s="65">
        <v>1</v>
      </c>
      <c r="I4" s="65">
        <v>0</v>
      </c>
      <c r="J4" s="65" t="s">
        <v>196</v>
      </c>
      <c r="K4" s="65">
        <f>+RI_GND</f>
        <v>50</v>
      </c>
      <c r="L4" s="65" t="str">
        <f>+CI_GND</f>
        <v>1500pF</v>
      </c>
      <c r="M4" s="65" t="str">
        <f>+LI_GND</f>
        <v>0.08uH</v>
      </c>
      <c r="N4" s="67">
        <f>+'C - FPU to CVV'!N4</f>
        <v>0</v>
      </c>
      <c r="O4" s="67">
        <f>+'C - FPU to CVV'!O4</f>
        <v>0</v>
      </c>
      <c r="P4" s="67">
        <f>+'C - FPU to CVV'!P4</f>
        <v>0</v>
      </c>
      <c r="Q4" s="67">
        <f>+'C - FPU to CVV'!Q4</f>
        <v>0</v>
      </c>
      <c r="R4" s="67">
        <f>+'C - FPU to CVV'!R4</f>
        <v>0</v>
      </c>
      <c r="S4" s="65">
        <f>+'C - FPU to CVV'!S4</f>
        <v>0.1</v>
      </c>
      <c r="T4" s="68">
        <f>+'C - FPU to CVV'!T4</f>
        <v>0.5</v>
      </c>
      <c r="U4" s="69">
        <f>+'C - FPU to CVV'!U4</f>
        <v>0</v>
      </c>
      <c r="V4" s="69">
        <f>+'C - FPU to CVV'!V4</f>
        <v>0</v>
      </c>
      <c r="W4" s="70">
        <f t="shared" si="0"/>
        <v>0</v>
      </c>
      <c r="X4" s="70">
        <f t="shared" si="1"/>
        <v>0</v>
      </c>
      <c r="Y4" s="71" t="e">
        <f>+X4/$X$196</f>
        <v>#REF!</v>
      </c>
    </row>
    <row r="5" spans="1:25" ht="12.75" customHeight="1">
      <c r="A5" s="61"/>
      <c r="B5" s="72"/>
      <c r="C5" s="73" t="s">
        <v>258</v>
      </c>
      <c r="D5" s="72" t="s">
        <v>481</v>
      </c>
      <c r="E5" s="72" t="s">
        <v>484</v>
      </c>
      <c r="F5" s="72" t="s">
        <v>479</v>
      </c>
      <c r="G5" s="73" t="str">
        <f>+'C - FPU to CVV'!G5</f>
        <v>Bolometer signals from JFS (SLW 13-24)</v>
      </c>
      <c r="H5" s="72">
        <f>+'C - FPU to CVV'!H5</f>
        <v>24</v>
      </c>
      <c r="I5" s="72">
        <v>12</v>
      </c>
      <c r="J5" s="72" t="s">
        <v>261</v>
      </c>
      <c r="K5" s="72">
        <f>+RI_BOL_SIG</f>
        <v>500</v>
      </c>
      <c r="L5" s="72" t="str">
        <f>+CI_BOL_SIG</f>
        <v>1500pF</v>
      </c>
      <c r="M5" s="72" t="str">
        <f>+LI_BOL_SIG</f>
        <v>0.08uH</v>
      </c>
      <c r="N5" s="74">
        <f>+'C - FPU to CVV'!N5</f>
        <v>1E-09</v>
      </c>
      <c r="O5" s="74">
        <f>+'C - FPU to CVV'!O5</f>
        <v>5E-10</v>
      </c>
      <c r="P5" s="75">
        <f>+'C - FPU to CVV'!P5</f>
        <v>0</v>
      </c>
      <c r="Q5" s="75">
        <f>+'C - FPU to CVV'!Q5</f>
        <v>1</v>
      </c>
      <c r="R5" s="75">
        <f>+'C - FPU to CVV'!R5</f>
        <v>0</v>
      </c>
      <c r="S5" s="72">
        <f>+'C - FPU to CVV'!S5</f>
        <v>0.1</v>
      </c>
      <c r="T5" s="76">
        <f>+'C - FPU to CVV'!T5</f>
        <v>0.5</v>
      </c>
      <c r="U5" s="76">
        <f>+'C - FPU to CVV'!U5</f>
        <v>0.3333333333333333</v>
      </c>
      <c r="V5" s="76">
        <f>+'C - FPU to CVV'!V5</f>
        <v>0.16666666666666666</v>
      </c>
      <c r="W5" s="77">
        <f t="shared" si="0"/>
        <v>1.2000000000000001E-14</v>
      </c>
      <c r="X5" s="77">
        <f t="shared" si="1"/>
        <v>5E-16</v>
      </c>
      <c r="Y5" s="78" t="e">
        <f>+X5/$X$196</f>
        <v>#REF!</v>
      </c>
    </row>
    <row r="6" spans="1:25" ht="12.75" customHeight="1">
      <c r="A6" s="61"/>
      <c r="B6" s="65"/>
      <c r="C6" s="66"/>
      <c r="D6" s="65"/>
      <c r="E6" s="65"/>
      <c r="F6" s="65"/>
      <c r="G6" s="66" t="s">
        <v>301</v>
      </c>
      <c r="H6" s="65">
        <v>1</v>
      </c>
      <c r="I6" s="65">
        <v>0</v>
      </c>
      <c r="J6" s="65" t="s">
        <v>196</v>
      </c>
      <c r="K6" s="65">
        <f>+RI_GND</f>
        <v>50</v>
      </c>
      <c r="L6" s="65" t="str">
        <f>+CI_GND</f>
        <v>1500pF</v>
      </c>
      <c r="M6" s="65" t="str">
        <f>+LI_GND</f>
        <v>0.08uH</v>
      </c>
      <c r="N6" s="67">
        <f>+'C - FPU to CVV'!N6</f>
        <v>0</v>
      </c>
      <c r="O6" s="67">
        <f>+'C - FPU to CVV'!O6</f>
        <v>0</v>
      </c>
      <c r="P6" s="67">
        <f>+'C - FPU to CVV'!P6</f>
        <v>0</v>
      </c>
      <c r="Q6" s="67">
        <f>+'C - FPU to CVV'!Q6</f>
        <v>0</v>
      </c>
      <c r="R6" s="67">
        <f>+'C - FPU to CVV'!R6</f>
        <v>0</v>
      </c>
      <c r="S6" s="65">
        <f>+'C - FPU to CVV'!S6</f>
        <v>0.1</v>
      </c>
      <c r="T6" s="68">
        <f>+'C - FPU to CVV'!T6</f>
        <v>0</v>
      </c>
      <c r="U6" s="69">
        <f>+'C - FPU to CVV'!U6</f>
        <v>0</v>
      </c>
      <c r="V6" s="69">
        <f>+'C - FPU to CVV'!V6</f>
        <v>0</v>
      </c>
      <c r="W6" s="70">
        <f t="shared" si="0"/>
        <v>0</v>
      </c>
      <c r="X6" s="70">
        <f t="shared" si="1"/>
        <v>0</v>
      </c>
      <c r="Y6" s="71" t="e">
        <f>+X6/$X$196</f>
        <v>#REF!</v>
      </c>
    </row>
    <row r="7" spans="1:25" ht="12.75" customHeight="1">
      <c r="A7" s="61"/>
      <c r="B7" s="72"/>
      <c r="C7" s="73" t="s">
        <v>276</v>
      </c>
      <c r="D7" s="72" t="s">
        <v>483</v>
      </c>
      <c r="E7" s="72" t="s">
        <v>485</v>
      </c>
      <c r="F7" s="72" t="s">
        <v>478</v>
      </c>
      <c r="G7" s="73" t="str">
        <f>+'C - FPU to CVV'!G7</f>
        <v>PTC Bias</v>
      </c>
      <c r="H7" s="72">
        <f>+'C - FPU to CVV'!H7</f>
        <v>2</v>
      </c>
      <c r="I7" s="72">
        <f>+'C - FPU to CVV'!I7</f>
        <v>1</v>
      </c>
      <c r="J7" s="72" t="str">
        <f>+'C - FPU to CVV'!J7</f>
        <v>STP</v>
      </c>
      <c r="K7" s="72">
        <f>+RI_TC_BIAS</f>
        <v>100</v>
      </c>
      <c r="L7" s="72" t="str">
        <f>+CI_TC_BIAS</f>
        <v>1500pF</v>
      </c>
      <c r="M7" s="72" t="str">
        <f>+LI_TC_BIAS</f>
        <v>0.08uH</v>
      </c>
      <c r="N7" s="74">
        <f>+'C - FPU to CVV'!N7</f>
        <v>3.2E-08</v>
      </c>
      <c r="O7" s="74">
        <f>+'C - FPU to CVV'!O7</f>
        <v>8E-09</v>
      </c>
      <c r="P7" s="75">
        <f>+'C - FPU to CVV'!P7</f>
        <v>1</v>
      </c>
      <c r="Q7" s="75">
        <f>+'C - FPU to CVV'!Q7</f>
        <v>0</v>
      </c>
      <c r="R7" s="75">
        <f>+'C - FPU to CVV'!R7</f>
        <v>0</v>
      </c>
      <c r="S7" s="72">
        <f>+'C - FPU to CVV'!S7</f>
        <v>10</v>
      </c>
      <c r="T7" s="79">
        <f>+'C - FPU to CVV'!T7</f>
        <v>0.5</v>
      </c>
      <c r="U7" s="79">
        <f>+'C - FPU to CVV'!U7</f>
        <v>0.3333333333333333</v>
      </c>
      <c r="V7" s="79">
        <f>+'C - FPU to CVV'!V7</f>
        <v>0.16666666666666666</v>
      </c>
      <c r="W7" s="74">
        <f t="shared" si="0"/>
        <v>2.0480000000000002E-13</v>
      </c>
      <c r="X7" s="74">
        <f t="shared" si="1"/>
        <v>2.1333333333333334E-15</v>
      </c>
      <c r="Y7" s="80" t="e">
        <f aca="true" t="shared" si="2" ref="Y7:Y32">+X7/$X$196</f>
        <v>#REF!</v>
      </c>
    </row>
    <row r="8" spans="1:25" ht="12.75" customHeight="1">
      <c r="A8" s="61"/>
      <c r="B8" s="72"/>
      <c r="C8" s="73"/>
      <c r="D8" s="72"/>
      <c r="E8" s="72"/>
      <c r="F8" s="72"/>
      <c r="G8" s="73" t="str">
        <f>+'C - FPU to CVV'!G8</f>
        <v>PTC Ground wire</v>
      </c>
      <c r="H8" s="72">
        <f>+'C - FPU to CVV'!H8</f>
        <v>1</v>
      </c>
      <c r="I8" s="72">
        <f>+'C - FPU to CVV'!I8</f>
        <v>0</v>
      </c>
      <c r="J8" s="72" t="str">
        <f>+'C - FPU to CVV'!J8</f>
        <v>S</v>
      </c>
      <c r="K8" s="72">
        <f>+RI_GND</f>
        <v>50</v>
      </c>
      <c r="L8" s="72" t="str">
        <f>+CI_GND</f>
        <v>1500pF</v>
      </c>
      <c r="M8" s="72" t="str">
        <f>+LI_GND</f>
        <v>0.08uH</v>
      </c>
      <c r="N8" s="72">
        <f>+'C - FPU to CVV'!N8</f>
        <v>0</v>
      </c>
      <c r="O8" s="72">
        <f>+'C - FPU to CVV'!O8</f>
        <v>0</v>
      </c>
      <c r="P8" s="75">
        <f>+'C - FPU to CVV'!P8</f>
        <v>0</v>
      </c>
      <c r="Q8" s="75">
        <f>+'C - FPU to CVV'!Q8</f>
        <v>0</v>
      </c>
      <c r="R8" s="75">
        <f>+'C - FPU to CVV'!R8</f>
        <v>0</v>
      </c>
      <c r="S8" s="72">
        <f>+'C - FPU to CVV'!S8</f>
        <v>10</v>
      </c>
      <c r="T8" s="79">
        <f>+'C - FPU to CVV'!T8</f>
        <v>0.5</v>
      </c>
      <c r="U8" s="79">
        <f>+'C - FPU to CVV'!U8</f>
        <v>0.3333333333333333</v>
      </c>
      <c r="V8" s="79">
        <f>+'C - FPU to CVV'!V8</f>
        <v>0.16666666666666666</v>
      </c>
      <c r="W8" s="72">
        <f t="shared" si="0"/>
        <v>0</v>
      </c>
      <c r="X8" s="72">
        <f t="shared" si="1"/>
        <v>0</v>
      </c>
      <c r="Y8" s="80" t="e">
        <f t="shared" si="2"/>
        <v>#REF!</v>
      </c>
    </row>
    <row r="9" spans="1:25" ht="12.75" customHeight="1">
      <c r="A9" s="61"/>
      <c r="B9" s="72"/>
      <c r="C9" s="73"/>
      <c r="D9" s="72"/>
      <c r="E9" s="72"/>
      <c r="F9" s="72"/>
      <c r="G9" s="73" t="str">
        <f>+'C - FPU to CVV'!G9</f>
        <v>PTC JFET Bias</v>
      </c>
      <c r="H9" s="72">
        <f>+'C - FPU to CVV'!H9</f>
        <v>2</v>
      </c>
      <c r="I9" s="72">
        <f>+'C - FPU to CVV'!I9</f>
        <v>1</v>
      </c>
      <c r="J9" s="72" t="str">
        <f>+'C - FPU to CVV'!J9</f>
        <v>STP</v>
      </c>
      <c r="K9" s="72">
        <f>+RI_JFET_BIAS</f>
        <v>100</v>
      </c>
      <c r="L9" s="72" t="str">
        <f>+CI_JFET_BIAS</f>
        <v>1500pF</v>
      </c>
      <c r="M9" s="72" t="str">
        <f>+LI_JFET_BIAS</f>
        <v>0.08uH</v>
      </c>
      <c r="N9" s="74">
        <f>+'C - FPU to CVV'!N9</f>
        <v>0.005</v>
      </c>
      <c r="O9" s="74">
        <f>+'C - FPU to CVV'!O9</f>
        <v>0.0002</v>
      </c>
      <c r="P9" s="75">
        <f>+'C - FPU to CVV'!P9</f>
        <v>1</v>
      </c>
      <c r="Q9" s="75">
        <f>+'C - FPU to CVV'!Q9</f>
        <v>0</v>
      </c>
      <c r="R9" s="75">
        <f>+'C - FPU to CVV'!R9</f>
        <v>0</v>
      </c>
      <c r="S9" s="72">
        <f>+'C - FPU to CVV'!S9</f>
        <v>10</v>
      </c>
      <c r="T9" s="79">
        <f>+'C - FPU to CVV'!T9</f>
        <v>0.5</v>
      </c>
      <c r="U9" s="79">
        <f>+'C - FPU to CVV'!U9</f>
        <v>0.3333333333333333</v>
      </c>
      <c r="V9" s="79">
        <f>+'C - FPU to CVV'!V9</f>
        <v>0.16666666666666666</v>
      </c>
      <c r="W9" s="74">
        <f t="shared" si="0"/>
        <v>0.005</v>
      </c>
      <c r="X9" s="74">
        <f t="shared" si="1"/>
        <v>1.3333333333333332E-06</v>
      </c>
      <c r="Y9" s="80" t="e">
        <f t="shared" si="2"/>
        <v>#REF!</v>
      </c>
    </row>
    <row r="10" spans="1:25" ht="12.75" customHeight="1">
      <c r="A10" s="61"/>
      <c r="B10" s="72"/>
      <c r="C10" s="73"/>
      <c r="D10" s="72"/>
      <c r="E10" s="72"/>
      <c r="F10" s="72"/>
      <c r="G10" s="73" t="str">
        <f>+'C - FPU to CVV'!G10</f>
        <v>SLW Bolometer Bias</v>
      </c>
      <c r="H10" s="72">
        <f>+'C - FPU to CVV'!H10</f>
        <v>4</v>
      </c>
      <c r="I10" s="72">
        <f>+'C - FPU to CVV'!I10</f>
        <v>2</v>
      </c>
      <c r="J10" s="72" t="str">
        <f>+'C - FPU to CVV'!J10</f>
        <v>STP</v>
      </c>
      <c r="K10" s="72">
        <f>+RI_BOL_BIAS</f>
        <v>100</v>
      </c>
      <c r="L10" s="72" t="str">
        <f>+CI_BOL_BIAS</f>
        <v>1500pF</v>
      </c>
      <c r="M10" s="72" t="str">
        <f>+LI_BOL_BIAS</f>
        <v>0.08uH</v>
      </c>
      <c r="N10" s="74">
        <f>+'C - FPU to CVV'!N10</f>
        <v>9.600000000000001E-08</v>
      </c>
      <c r="O10" s="74">
        <f>+'C - FPU to CVV'!O10</f>
        <v>2.4000000000000003E-08</v>
      </c>
      <c r="P10" s="75">
        <f>+'C - FPU to CVV'!P10</f>
        <v>0</v>
      </c>
      <c r="Q10" s="75">
        <f>+'C - FPU to CVV'!Q10</f>
        <v>1</v>
      </c>
      <c r="R10" s="75">
        <f>+'C - FPU to CVV'!R10</f>
        <v>0</v>
      </c>
      <c r="S10" s="72">
        <f>+'C - FPU to CVV'!S10</f>
        <v>10</v>
      </c>
      <c r="T10" s="79">
        <f>+'C - FPU to CVV'!T10</f>
        <v>0.5</v>
      </c>
      <c r="U10" s="79">
        <f>+'C - FPU to CVV'!U10</f>
        <v>0.3333333333333333</v>
      </c>
      <c r="V10" s="79">
        <f>+'C - FPU to CVV'!V10</f>
        <v>0.16666666666666666</v>
      </c>
      <c r="W10" s="74">
        <f t="shared" si="0"/>
        <v>3.686400000000001E-12</v>
      </c>
      <c r="X10" s="74">
        <f t="shared" si="1"/>
        <v>3.8400000000000006E-14</v>
      </c>
      <c r="Y10" s="80" t="e">
        <f t="shared" si="2"/>
        <v>#REF!</v>
      </c>
    </row>
    <row r="11" spans="1:25" ht="12.75" customHeight="1">
      <c r="A11" s="61"/>
      <c r="B11" s="72"/>
      <c r="C11" s="73"/>
      <c r="D11" s="72"/>
      <c r="E11" s="72"/>
      <c r="F11" s="72"/>
      <c r="G11" s="73" t="str">
        <f>+'C - FPU to CVV'!G11</f>
        <v>SLW JFET Bias</v>
      </c>
      <c r="H11" s="72">
        <f>+'C - FPU to CVV'!H11</f>
        <v>4</v>
      </c>
      <c r="I11" s="72">
        <f>+'C - FPU to CVV'!I11</f>
        <v>2</v>
      </c>
      <c r="J11" s="72" t="str">
        <f>+'C - FPU to CVV'!J11</f>
        <v>STP</v>
      </c>
      <c r="K11" s="72">
        <f>+RI_JFET_BIAS</f>
        <v>100</v>
      </c>
      <c r="L11" s="72" t="str">
        <f>+CI_JFET_BIAS</f>
        <v>1500pF</v>
      </c>
      <c r="M11" s="72" t="str">
        <f>+LI_JFET_BIAS</f>
        <v>0.08uH</v>
      </c>
      <c r="N11" s="74">
        <f>+'C - FPU to CVV'!N11</f>
        <v>0.0025</v>
      </c>
      <c r="O11" s="74">
        <f>+'C - FPU to CVV'!O11</f>
        <v>0.0006000000000000001</v>
      </c>
      <c r="P11" s="75">
        <f>+'C - FPU to CVV'!P11</f>
        <v>0</v>
      </c>
      <c r="Q11" s="75">
        <f>+'C - FPU to CVV'!Q11</f>
        <v>1</v>
      </c>
      <c r="R11" s="75">
        <f>+'C - FPU to CVV'!R11</f>
        <v>0</v>
      </c>
      <c r="S11" s="72">
        <f>+'C - FPU to CVV'!S11</f>
        <v>10</v>
      </c>
      <c r="T11" s="79">
        <f>+'C - FPU to CVV'!T11</f>
        <v>0.5</v>
      </c>
      <c r="U11" s="79">
        <f>+'C - FPU to CVV'!U11</f>
        <v>0.3333333333333333</v>
      </c>
      <c r="V11" s="79">
        <f>+'C - FPU to CVV'!V11</f>
        <v>0.16666666666666666</v>
      </c>
      <c r="W11" s="74">
        <f t="shared" si="0"/>
        <v>0.0025</v>
      </c>
      <c r="X11" s="74">
        <f t="shared" si="1"/>
        <v>2.4000000000000004E-05</v>
      </c>
      <c r="Y11" s="80" t="e">
        <f t="shared" si="2"/>
        <v>#REF!</v>
      </c>
    </row>
    <row r="12" spans="1:25" ht="12.75" customHeight="1">
      <c r="A12" s="61"/>
      <c r="B12" s="72"/>
      <c r="C12" s="73"/>
      <c r="D12" s="72"/>
      <c r="E12" s="72"/>
      <c r="F12" s="72"/>
      <c r="G12" s="73" t="str">
        <f>+'C - FPU to CVV'!G12</f>
        <v>SLW Ground wire</v>
      </c>
      <c r="H12" s="72">
        <f>+'C - FPU to CVV'!H12</f>
        <v>1</v>
      </c>
      <c r="I12" s="72">
        <f>+'C - FPU to CVV'!I12</f>
        <v>0</v>
      </c>
      <c r="J12" s="72" t="str">
        <f>+'C - FPU to CVV'!J12</f>
        <v>S</v>
      </c>
      <c r="K12" s="72">
        <f>+RI_GND</f>
        <v>50</v>
      </c>
      <c r="L12" s="72" t="str">
        <f>+CI_GND</f>
        <v>1500pF</v>
      </c>
      <c r="M12" s="72" t="str">
        <f>+LI_GND</f>
        <v>0.08uH</v>
      </c>
      <c r="N12" s="72">
        <f>+'C - FPU to CVV'!N12</f>
        <v>0</v>
      </c>
      <c r="O12" s="72">
        <f>+'C - FPU to CVV'!O12</f>
        <v>0</v>
      </c>
      <c r="P12" s="75">
        <f>+'C - FPU to CVV'!P12</f>
        <v>0</v>
      </c>
      <c r="Q12" s="75">
        <f>+'C - FPU to CVV'!Q12</f>
        <v>0</v>
      </c>
      <c r="R12" s="75">
        <f>+'C - FPU to CVV'!R12</f>
        <v>0</v>
      </c>
      <c r="S12" s="72">
        <f>+'C - FPU to CVV'!S12</f>
        <v>10</v>
      </c>
      <c r="T12" s="79">
        <f>+'C - FPU to CVV'!T12</f>
        <v>0.5</v>
      </c>
      <c r="U12" s="79">
        <f>+'C - FPU to CVV'!U12</f>
        <v>0.3333333333333333</v>
      </c>
      <c r="V12" s="79">
        <f>+'C - FPU to CVV'!V12</f>
        <v>0.16666666666666666</v>
      </c>
      <c r="W12" s="72">
        <f t="shared" si="0"/>
        <v>0</v>
      </c>
      <c r="X12" s="72">
        <f t="shared" si="1"/>
        <v>0</v>
      </c>
      <c r="Y12" s="80" t="e">
        <f t="shared" si="2"/>
        <v>#REF!</v>
      </c>
    </row>
    <row r="13" spans="1:25" ht="12.75" customHeight="1">
      <c r="A13" s="61"/>
      <c r="B13" s="72"/>
      <c r="C13" s="73"/>
      <c r="D13" s="72"/>
      <c r="E13" s="72"/>
      <c r="F13" s="72"/>
      <c r="G13" s="73" t="str">
        <f>+'C - FPU to CVV'!G13</f>
        <v>SSW Bolometer Bias</v>
      </c>
      <c r="H13" s="72">
        <f>+'C - FPU to CVV'!H13</f>
        <v>4</v>
      </c>
      <c r="I13" s="72">
        <f>+'C - FPU to CVV'!I13</f>
        <v>2</v>
      </c>
      <c r="J13" s="72" t="str">
        <f>+'C - FPU to CVV'!J13</f>
        <v>STP</v>
      </c>
      <c r="K13" s="72">
        <f>+RI_BOL_BIAS</f>
        <v>100</v>
      </c>
      <c r="L13" s="72" t="str">
        <f>+CI_BOL_BIAS</f>
        <v>1500pF</v>
      </c>
      <c r="M13" s="72" t="str">
        <f>+LI_BOL_BIAS</f>
        <v>0.08uH</v>
      </c>
      <c r="N13" s="74">
        <f>+'C - FPU to CVV'!N13</f>
        <v>0.0012000000000000001</v>
      </c>
      <c r="O13" s="74">
        <f>+'C - FPU to CVV'!O13</f>
        <v>4.8000000000000006E-08</v>
      </c>
      <c r="P13" s="75">
        <f>+'C - FPU to CVV'!P13</f>
        <v>0</v>
      </c>
      <c r="Q13" s="75">
        <f>+'C - FPU to CVV'!Q13</f>
        <v>1</v>
      </c>
      <c r="R13" s="75">
        <f>+'C - FPU to CVV'!R13</f>
        <v>0</v>
      </c>
      <c r="S13" s="72">
        <f>+'C - FPU to CVV'!S13</f>
        <v>10</v>
      </c>
      <c r="T13" s="79">
        <f>+'C - FPU to CVV'!T13</f>
        <v>0.5</v>
      </c>
      <c r="U13" s="79">
        <f>+'C - FPU to CVV'!U13</f>
        <v>0.3333333333333333</v>
      </c>
      <c r="V13" s="79">
        <f>+'C - FPU to CVV'!V13</f>
        <v>0.16666666666666666</v>
      </c>
      <c r="W13" s="74">
        <f t="shared" si="0"/>
        <v>0.0005760000000000001</v>
      </c>
      <c r="X13" s="74">
        <f t="shared" si="1"/>
        <v>1.5360000000000002E-13</v>
      </c>
      <c r="Y13" s="80" t="e">
        <f t="shared" si="2"/>
        <v>#REF!</v>
      </c>
    </row>
    <row r="14" spans="1:25" ht="12.75" customHeight="1">
      <c r="A14" s="61"/>
      <c r="B14" s="72"/>
      <c r="C14" s="73"/>
      <c r="D14" s="72"/>
      <c r="E14" s="72"/>
      <c r="F14" s="72"/>
      <c r="G14" s="73" t="str">
        <f>+'C - FPU to CVV'!G14</f>
        <v>SSW JFET Bias</v>
      </c>
      <c r="H14" s="72">
        <f>+'C - FPU to CVV'!H14</f>
        <v>4</v>
      </c>
      <c r="I14" s="72">
        <f>+'C - FPU to CVV'!I14</f>
        <v>2</v>
      </c>
      <c r="J14" s="72" t="str">
        <f>+'C - FPU to CVV'!J14</f>
        <v>STP</v>
      </c>
      <c r="K14" s="72">
        <f>+RI_JFET_BIAS</f>
        <v>100</v>
      </c>
      <c r="L14" s="72" t="str">
        <f>+CI_JFET_BIAS</f>
        <v>1500pF</v>
      </c>
      <c r="M14" s="72" t="str">
        <f>+LI_JFET_BIAS</f>
        <v>0.08uH</v>
      </c>
      <c r="N14" s="74">
        <f>+'C - FPU to CVV'!N14</f>
        <v>0.005</v>
      </c>
      <c r="O14" s="74">
        <f>+'C - FPU to CVV'!O14</f>
        <v>0.0012000000000000001</v>
      </c>
      <c r="P14" s="75">
        <f>+'C - FPU to CVV'!P14</f>
        <v>0</v>
      </c>
      <c r="Q14" s="75">
        <f>+'C - FPU to CVV'!Q14</f>
        <v>1</v>
      </c>
      <c r="R14" s="75">
        <f>+'C - FPU to CVV'!R14</f>
        <v>0</v>
      </c>
      <c r="S14" s="72">
        <f>+'C - FPU to CVV'!S14</f>
        <v>10</v>
      </c>
      <c r="T14" s="79">
        <f>+'C - FPU to CVV'!T14</f>
        <v>0.5</v>
      </c>
      <c r="U14" s="79">
        <f>+'C - FPU to CVV'!U14</f>
        <v>0.3333333333333333</v>
      </c>
      <c r="V14" s="79">
        <f>+'C - FPU to CVV'!V14</f>
        <v>0.16666666666666666</v>
      </c>
      <c r="W14" s="74">
        <f t="shared" si="0"/>
        <v>0.01</v>
      </c>
      <c r="X14" s="74">
        <f t="shared" si="1"/>
        <v>9.600000000000002E-05</v>
      </c>
      <c r="Y14" s="80" t="e">
        <f t="shared" si="2"/>
        <v>#REF!</v>
      </c>
    </row>
    <row r="15" spans="1:25" ht="12.75" customHeight="1">
      <c r="A15" s="61"/>
      <c r="B15" s="72"/>
      <c r="C15" s="73"/>
      <c r="D15" s="72"/>
      <c r="E15" s="72"/>
      <c r="F15" s="72"/>
      <c r="G15" s="73" t="str">
        <f>+'C - FPU to CVV'!G15</f>
        <v>SSW Ground Wire</v>
      </c>
      <c r="H15" s="72">
        <f>+'C - FPU to CVV'!H15</f>
        <v>1</v>
      </c>
      <c r="I15" s="72">
        <f>+'C - FPU to CVV'!I15</f>
        <v>0</v>
      </c>
      <c r="J15" s="72" t="str">
        <f>+'C - FPU to CVV'!J15</f>
        <v>S</v>
      </c>
      <c r="K15" s="72">
        <f>+RI_GND</f>
        <v>50</v>
      </c>
      <c r="L15" s="72" t="str">
        <f>+CI_GND</f>
        <v>1500pF</v>
      </c>
      <c r="M15" s="72" t="str">
        <f>+LI_GND</f>
        <v>0.08uH</v>
      </c>
      <c r="N15" s="72">
        <f>+'C - FPU to CVV'!N15</f>
        <v>0</v>
      </c>
      <c r="O15" s="72">
        <f>+'C - FPU to CVV'!O15</f>
        <v>0</v>
      </c>
      <c r="P15" s="75">
        <f>+'C - FPU to CVV'!P15</f>
        <v>0</v>
      </c>
      <c r="Q15" s="75">
        <f>+'C - FPU to CVV'!Q15</f>
        <v>0</v>
      </c>
      <c r="R15" s="75">
        <f>+'C - FPU to CVV'!R15</f>
        <v>0</v>
      </c>
      <c r="S15" s="72">
        <f>+'C - FPU to CVV'!S15</f>
        <v>10</v>
      </c>
      <c r="T15" s="79">
        <f>+'C - FPU to CVV'!T15</f>
        <v>0.5</v>
      </c>
      <c r="U15" s="79">
        <f>+'C - FPU to CVV'!U15</f>
        <v>0.3333333333333333</v>
      </c>
      <c r="V15" s="79">
        <f>+'C - FPU to CVV'!V15</f>
        <v>0.16666666666666666</v>
      </c>
      <c r="W15" s="72">
        <f t="shared" si="0"/>
        <v>0</v>
      </c>
      <c r="X15" s="72">
        <f t="shared" si="1"/>
        <v>0</v>
      </c>
      <c r="Y15" s="80" t="e">
        <f t="shared" si="2"/>
        <v>#REF!</v>
      </c>
    </row>
    <row r="16" spans="1:25" ht="12.75" customHeight="1">
      <c r="A16" s="61"/>
      <c r="B16" s="72"/>
      <c r="C16" s="73"/>
      <c r="D16" s="72"/>
      <c r="E16" s="72"/>
      <c r="F16" s="72"/>
      <c r="G16" s="73" t="s">
        <v>305</v>
      </c>
      <c r="H16" s="72">
        <v>1</v>
      </c>
      <c r="I16" s="72">
        <v>0</v>
      </c>
      <c r="J16" s="72" t="s">
        <v>196</v>
      </c>
      <c r="K16" s="72">
        <f>+RI_GND</f>
        <v>50</v>
      </c>
      <c r="L16" s="72" t="str">
        <f>+CI_GND</f>
        <v>1500pF</v>
      </c>
      <c r="M16" s="72" t="str">
        <f>+LI_GND</f>
        <v>0.08uH</v>
      </c>
      <c r="N16" s="81">
        <v>0</v>
      </c>
      <c r="O16" s="81">
        <v>0</v>
      </c>
      <c r="P16" s="82">
        <v>0</v>
      </c>
      <c r="Q16" s="82">
        <v>0</v>
      </c>
      <c r="R16" s="82">
        <v>0</v>
      </c>
      <c r="S16" s="72">
        <f>+'C - FPU to CVV'!S16</f>
        <v>10</v>
      </c>
      <c r="T16" s="83">
        <f>+'C - FPU to CVV'!T16</f>
        <v>0.001736111111111111</v>
      </c>
      <c r="U16" s="79">
        <f>+'C - FPU to CVV'!U16</f>
        <v>0.3333333333333333</v>
      </c>
      <c r="V16" s="79">
        <f>+'C - FPU to CVV'!V16</f>
        <v>0.0005787037037037037</v>
      </c>
      <c r="W16" s="72">
        <f t="shared" si="0"/>
        <v>0</v>
      </c>
      <c r="X16" s="72">
        <f t="shared" si="1"/>
        <v>0</v>
      </c>
      <c r="Y16" s="80" t="e">
        <f t="shared" si="2"/>
        <v>#REF!</v>
      </c>
    </row>
    <row r="17" spans="1:25" ht="12.75" customHeight="1">
      <c r="A17" s="61"/>
      <c r="B17" s="72"/>
      <c r="C17" s="73"/>
      <c r="D17" s="72"/>
      <c r="E17" s="72"/>
      <c r="F17" s="72"/>
      <c r="G17" s="73" t="str">
        <f>+'C - FPU to CVV'!G16</f>
        <v>PTC JFET Heater</v>
      </c>
      <c r="H17" s="72">
        <f>+'C - FPU to CVV'!H16</f>
        <v>2</v>
      </c>
      <c r="I17" s="72">
        <f>+'C - FPU to CVV'!I16</f>
        <v>1</v>
      </c>
      <c r="J17" s="72" t="str">
        <f>+'C - FPU to CVV'!J16</f>
        <v>STP</v>
      </c>
      <c r="K17" s="72">
        <f>+RI_JFET_HEAT</f>
        <v>200</v>
      </c>
      <c r="L17" s="72" t="str">
        <f>+CI_JFET_HEAT</f>
        <v>1500pF</v>
      </c>
      <c r="M17" s="72" t="str">
        <f>+LI_JFET_HEAT</f>
        <v>0.08uH</v>
      </c>
      <c r="N17" s="74">
        <f>+'C - FPU to CVV'!N16</f>
        <v>0.0019230769230769232</v>
      </c>
      <c r="O17" s="74">
        <f>+'C - FPU to CVV'!O16</f>
        <v>0.0004807692307692308</v>
      </c>
      <c r="P17" s="75">
        <f>+'C - FPU to CVV'!P16</f>
        <v>0</v>
      </c>
      <c r="Q17" s="75">
        <f>+'C - FPU to CVV'!Q16</f>
        <v>0</v>
      </c>
      <c r="R17" s="75">
        <f>+'C - FPU to CVV'!R16</f>
        <v>0</v>
      </c>
      <c r="S17" s="72">
        <f>+'C - FPU to CVV'!S16</f>
        <v>10</v>
      </c>
      <c r="T17" s="83">
        <f>+'C - FPU to CVV'!T16</f>
        <v>0.001736111111111111</v>
      </c>
      <c r="U17" s="79">
        <f>+'C - FPU to CVV'!U16</f>
        <v>0.3333333333333333</v>
      </c>
      <c r="V17" s="79">
        <f>+'C - FPU to CVV'!V16</f>
        <v>0.0005787037037037037</v>
      </c>
      <c r="W17" s="74">
        <f t="shared" si="0"/>
        <v>0.0014792899408284025</v>
      </c>
      <c r="X17" s="74">
        <f t="shared" si="1"/>
        <v>5.3504410475564324E-08</v>
      </c>
      <c r="Y17" s="80" t="e">
        <f t="shared" si="2"/>
        <v>#REF!</v>
      </c>
    </row>
    <row r="18" spans="1:25" ht="12.75" customHeight="1">
      <c r="A18" s="61"/>
      <c r="B18" s="72"/>
      <c r="C18" s="73"/>
      <c r="D18" s="72"/>
      <c r="E18" s="72"/>
      <c r="F18" s="72"/>
      <c r="G18" s="73" t="str">
        <f>+'C - FPU to CVV'!G17</f>
        <v>SLW JFET Heater</v>
      </c>
      <c r="H18" s="72">
        <f>+'C - FPU to CVV'!H17</f>
        <v>2</v>
      </c>
      <c r="I18" s="72">
        <f>+'C - FPU to CVV'!I17</f>
        <v>1</v>
      </c>
      <c r="J18" s="72" t="str">
        <f>+'C - FPU to CVV'!J17</f>
        <v>STP</v>
      </c>
      <c r="K18" s="72">
        <f>+RI_JFET_HEAT</f>
        <v>200</v>
      </c>
      <c r="L18" s="72" t="str">
        <f>+CI_JFET_HEAT</f>
        <v>1500pF</v>
      </c>
      <c r="M18" s="72" t="str">
        <f>+LI_JFET_HEAT</f>
        <v>0.08uH</v>
      </c>
      <c r="N18" s="74">
        <f>+'C - FPU to CVV'!N17</f>
        <v>0.0033333333333333335</v>
      </c>
      <c r="O18" s="74">
        <f>+'C - FPU to CVV'!O17</f>
        <v>0.0008333333333333334</v>
      </c>
      <c r="P18" s="75">
        <f>+'C - FPU to CVV'!P17</f>
        <v>0</v>
      </c>
      <c r="Q18" s="75">
        <f>+'C - FPU to CVV'!Q17</f>
        <v>0</v>
      </c>
      <c r="R18" s="75">
        <f>+'C - FPU to CVV'!R17</f>
        <v>0</v>
      </c>
      <c r="S18" s="72">
        <f>+'C - FPU to CVV'!S17</f>
        <v>10</v>
      </c>
      <c r="T18" s="83">
        <f>+'C - FPU to CVV'!T17</f>
        <v>0.001736111111111111</v>
      </c>
      <c r="U18" s="79">
        <f>+'C - FPU to CVV'!U17</f>
        <v>0.3333333333333333</v>
      </c>
      <c r="V18" s="79">
        <f>+'C - FPU to CVV'!V17</f>
        <v>0.0005787037037037037</v>
      </c>
      <c r="W18" s="74">
        <f t="shared" si="0"/>
        <v>0.004444444444444445</v>
      </c>
      <c r="X18" s="74">
        <f t="shared" si="1"/>
        <v>1.6075102880658437E-07</v>
      </c>
      <c r="Y18" s="80" t="e">
        <f t="shared" si="2"/>
        <v>#REF!</v>
      </c>
    </row>
    <row r="19" spans="1:25" ht="12" customHeight="1">
      <c r="A19" s="61"/>
      <c r="B19" s="65"/>
      <c r="C19" s="66"/>
      <c r="D19" s="65"/>
      <c r="E19" s="65"/>
      <c r="F19" s="65"/>
      <c r="G19" s="66" t="str">
        <f>+'C - FPU to CVV'!G18</f>
        <v>SSW JFET Heater</v>
      </c>
      <c r="H19" s="65">
        <f>+'C - FPU to CVV'!H18</f>
        <v>2</v>
      </c>
      <c r="I19" s="65">
        <f>+'C - FPU to CVV'!I18</f>
        <v>1</v>
      </c>
      <c r="J19" s="65" t="str">
        <f>+'C - FPU to CVV'!J18</f>
        <v>STP</v>
      </c>
      <c r="K19" s="65">
        <f>+RI_JFET_HEAT</f>
        <v>200</v>
      </c>
      <c r="L19" s="65" t="str">
        <f>+CI_JFET_HEAT</f>
        <v>1500pF</v>
      </c>
      <c r="M19" s="65" t="str">
        <f>+LI_JFET_HEAT</f>
        <v>0.08uH</v>
      </c>
      <c r="N19" s="84">
        <f>+'C - FPU to CVV'!N18</f>
        <v>0.006666666666666667</v>
      </c>
      <c r="O19" s="84">
        <f>+'C - FPU to CVV'!O18</f>
        <v>0.0016666666666666668</v>
      </c>
      <c r="P19" s="67">
        <f>+'C - FPU to CVV'!P18</f>
        <v>0</v>
      </c>
      <c r="Q19" s="67">
        <f>+'C - FPU to CVV'!Q18</f>
        <v>0</v>
      </c>
      <c r="R19" s="67">
        <f>+'C - FPU to CVV'!R18</f>
        <v>0</v>
      </c>
      <c r="S19" s="65">
        <f>+'C - FPU to CVV'!S18</f>
        <v>10</v>
      </c>
      <c r="T19" s="85">
        <f>+'C - FPU to CVV'!T18</f>
        <v>0.001736111111111111</v>
      </c>
      <c r="U19" s="86">
        <f>+'C - FPU to CVV'!U18</f>
        <v>0.3333333333333333</v>
      </c>
      <c r="V19" s="86">
        <f>+'C - FPU to CVV'!V18</f>
        <v>0.0005787037037037037</v>
      </c>
      <c r="W19" s="84">
        <f t="shared" si="0"/>
        <v>0.01777777777777778</v>
      </c>
      <c r="X19" s="84">
        <f t="shared" si="1"/>
        <v>6.430041152263375E-07</v>
      </c>
      <c r="Y19" s="87" t="e">
        <f t="shared" si="2"/>
        <v>#REF!</v>
      </c>
    </row>
    <row r="20" spans="1:25" ht="12" customHeight="1">
      <c r="A20" s="61"/>
      <c r="B20" s="72"/>
      <c r="C20" s="73" t="s">
        <v>277</v>
      </c>
      <c r="D20" s="72" t="s">
        <v>483</v>
      </c>
      <c r="E20" s="72" t="s">
        <v>732</v>
      </c>
      <c r="F20" s="72" t="s">
        <v>478</v>
      </c>
      <c r="G20" s="73" t="str">
        <f>+'C - FPU to CVV'!G19</f>
        <v>PTC Bias</v>
      </c>
      <c r="H20" s="72">
        <f>+'C - FPU to CVV'!H19</f>
        <v>2</v>
      </c>
      <c r="I20" s="72">
        <f>+'C - FPU to CVV'!I19</f>
        <v>1</v>
      </c>
      <c r="J20" s="72" t="str">
        <f>+'C - FPU to CVV'!J19</f>
        <v>STP</v>
      </c>
      <c r="K20" s="72">
        <f>+RI_TC_BIAS</f>
        <v>100</v>
      </c>
      <c r="L20" s="72" t="str">
        <f>+CI_TC_BIAS</f>
        <v>1500pF</v>
      </c>
      <c r="M20" s="72" t="str">
        <f>+LI_TC_BIAS</f>
        <v>0.08uH</v>
      </c>
      <c r="N20" s="74">
        <f>+'C - FPU to CVV'!N19</f>
        <v>3.2E-08</v>
      </c>
      <c r="O20" s="74">
        <f>+'C - FPU to CVV'!O19</f>
        <v>8E-09</v>
      </c>
      <c r="P20" s="75">
        <f>+'C - FPU to CVV'!P19</f>
        <v>0</v>
      </c>
      <c r="Q20" s="75">
        <f>+'C - FPU to CVV'!Q19</f>
        <v>0</v>
      </c>
      <c r="R20" s="75">
        <f>+'C - FPU to CVV'!R19</f>
        <v>0</v>
      </c>
      <c r="S20" s="72">
        <f>+'C - FPU to CVV'!S19</f>
        <v>10</v>
      </c>
      <c r="T20" s="79">
        <f>+'C - FPU to CVV'!T19</f>
        <v>0.5</v>
      </c>
      <c r="U20" s="79">
        <f>+'C - FPU to CVV'!U19</f>
        <v>0.3333333333333333</v>
      </c>
      <c r="V20" s="79">
        <f>+'C - FPU to CVV'!V19</f>
        <v>0.16666666666666666</v>
      </c>
      <c r="W20" s="74">
        <f t="shared" si="0"/>
        <v>2.0480000000000002E-13</v>
      </c>
      <c r="X20" s="74">
        <f t="shared" si="1"/>
        <v>2.1333333333333334E-15</v>
      </c>
      <c r="Y20" s="80" t="e">
        <f t="shared" si="2"/>
        <v>#REF!</v>
      </c>
    </row>
    <row r="21" spans="1:25" ht="12" customHeight="1">
      <c r="A21" s="61"/>
      <c r="B21" s="72"/>
      <c r="C21" s="73"/>
      <c r="D21" s="72"/>
      <c r="E21" s="72"/>
      <c r="F21" s="72"/>
      <c r="G21" s="73" t="str">
        <f>+'C - FPU to CVV'!G20</f>
        <v>PTC Ground wire</v>
      </c>
      <c r="H21" s="72">
        <f>+'C - FPU to CVV'!H20</f>
        <v>1</v>
      </c>
      <c r="I21" s="72">
        <f>+'C - FPU to CVV'!I20</f>
        <v>0</v>
      </c>
      <c r="J21" s="72" t="str">
        <f>+'C - FPU to CVV'!J20</f>
        <v>S</v>
      </c>
      <c r="K21" s="72">
        <f>+RI_GND</f>
        <v>50</v>
      </c>
      <c r="L21" s="72" t="str">
        <f>+CI_GND</f>
        <v>1500pF</v>
      </c>
      <c r="M21" s="72" t="str">
        <f>+LI_GND</f>
        <v>0.08uH</v>
      </c>
      <c r="N21" s="72">
        <f>+'C - FPU to CVV'!N20</f>
        <v>0</v>
      </c>
      <c r="O21" s="72">
        <f>+'C - FPU to CVV'!O20</f>
        <v>0</v>
      </c>
      <c r="P21" s="75">
        <f>+'C - FPU to CVV'!P20</f>
        <v>0</v>
      </c>
      <c r="Q21" s="75">
        <f>+'C - FPU to CVV'!Q20</f>
        <v>0</v>
      </c>
      <c r="R21" s="75">
        <f>+'C - FPU to CVV'!R20</f>
        <v>0</v>
      </c>
      <c r="S21" s="72">
        <f>+'C - FPU to CVV'!S20</f>
        <v>10</v>
      </c>
      <c r="T21" s="79">
        <f>+'C - FPU to CVV'!T20</f>
        <v>0.5</v>
      </c>
      <c r="U21" s="79">
        <f>+'C - FPU to CVV'!U20</f>
        <v>0.3333333333333333</v>
      </c>
      <c r="V21" s="79">
        <f>+'C - FPU to CVV'!V20</f>
        <v>0.16666666666666666</v>
      </c>
      <c r="W21" s="72">
        <f t="shared" si="0"/>
        <v>0</v>
      </c>
      <c r="X21" s="72">
        <f t="shared" si="1"/>
        <v>0</v>
      </c>
      <c r="Y21" s="80" t="e">
        <f t="shared" si="2"/>
        <v>#REF!</v>
      </c>
    </row>
    <row r="22" spans="1:25" ht="12" customHeight="1">
      <c r="A22" s="61"/>
      <c r="B22" s="72"/>
      <c r="C22" s="73"/>
      <c r="D22" s="72"/>
      <c r="E22" s="72"/>
      <c r="F22" s="72"/>
      <c r="G22" s="73" t="str">
        <f>+'C - FPU to CVV'!G21</f>
        <v>PTC JFET Bias</v>
      </c>
      <c r="H22" s="72">
        <f>+'C - FPU to CVV'!H21</f>
        <v>2</v>
      </c>
      <c r="I22" s="72">
        <f>+'C - FPU to CVV'!I21</f>
        <v>1</v>
      </c>
      <c r="J22" s="72" t="str">
        <f>+'C - FPU to CVV'!J21</f>
        <v>STP</v>
      </c>
      <c r="K22" s="72">
        <f>+RI_JFET_BIAS</f>
        <v>100</v>
      </c>
      <c r="L22" s="72" t="str">
        <f>+CI_JFET_BIAS</f>
        <v>1500pF</v>
      </c>
      <c r="M22" s="72" t="str">
        <f>+LI_JFET_BIAS</f>
        <v>0.08uH</v>
      </c>
      <c r="N22" s="74">
        <f>+'C - FPU to CVV'!N21</f>
        <v>0.005</v>
      </c>
      <c r="O22" s="74">
        <f>+'C - FPU to CVV'!O21</f>
        <v>0.0002</v>
      </c>
      <c r="P22" s="75">
        <f>+'C - FPU to CVV'!P21</f>
        <v>0</v>
      </c>
      <c r="Q22" s="75">
        <f>+'C - FPU to CVV'!Q21</f>
        <v>0</v>
      </c>
      <c r="R22" s="75">
        <f>+'C - FPU to CVV'!R21</f>
        <v>0</v>
      </c>
      <c r="S22" s="72">
        <f>+'C - FPU to CVV'!S21</f>
        <v>10</v>
      </c>
      <c r="T22" s="79">
        <f>+'C - FPU to CVV'!T21</f>
        <v>0.5</v>
      </c>
      <c r="U22" s="79">
        <f>+'C - FPU to CVV'!U21</f>
        <v>0.3333333333333333</v>
      </c>
      <c r="V22" s="79">
        <f>+'C - FPU to CVV'!V21</f>
        <v>0.16666666666666666</v>
      </c>
      <c r="W22" s="74">
        <f t="shared" si="0"/>
        <v>0.005</v>
      </c>
      <c r="X22" s="74">
        <f t="shared" si="1"/>
        <v>1.3333333333333332E-06</v>
      </c>
      <c r="Y22" s="80" t="e">
        <f t="shared" si="2"/>
        <v>#REF!</v>
      </c>
    </row>
    <row r="23" spans="1:25" ht="12" customHeight="1">
      <c r="A23" s="61"/>
      <c r="B23" s="72"/>
      <c r="C23" s="73"/>
      <c r="D23" s="72"/>
      <c r="E23" s="72"/>
      <c r="F23" s="72"/>
      <c r="G23" s="73" t="str">
        <f>+'C - FPU to CVV'!G22</f>
        <v>SLW Bolometer Bias</v>
      </c>
      <c r="H23" s="72">
        <f>+'C - FPU to CVV'!H22</f>
        <v>4</v>
      </c>
      <c r="I23" s="72">
        <f>+'C - FPU to CVV'!I22</f>
        <v>2</v>
      </c>
      <c r="J23" s="72" t="str">
        <f>+'C - FPU to CVV'!J22</f>
        <v>STP</v>
      </c>
      <c r="K23" s="72">
        <f>+RI_BOL_BIAS</f>
        <v>100</v>
      </c>
      <c r="L23" s="72" t="str">
        <f>+CI_BOL_BIAS</f>
        <v>1500pF</v>
      </c>
      <c r="M23" s="72" t="str">
        <f>+LI_BOL_BIAS</f>
        <v>0.08uH</v>
      </c>
      <c r="N23" s="74">
        <f>+'C - FPU to CVV'!N22</f>
        <v>9.600000000000001E-08</v>
      </c>
      <c r="O23" s="74">
        <f>+'C - FPU to CVV'!O22</f>
        <v>2.4000000000000003E-08</v>
      </c>
      <c r="P23" s="75">
        <f>+'C - FPU to CVV'!P22</f>
        <v>0</v>
      </c>
      <c r="Q23" s="75">
        <f>+'C - FPU to CVV'!Q22</f>
        <v>0</v>
      </c>
      <c r="R23" s="75">
        <f>+'C - FPU to CVV'!R22</f>
        <v>0</v>
      </c>
      <c r="S23" s="72">
        <f>+'C - FPU to CVV'!S22</f>
        <v>10</v>
      </c>
      <c r="T23" s="79">
        <f>+'C - FPU to CVV'!T22</f>
        <v>0.5</v>
      </c>
      <c r="U23" s="79">
        <f>+'C - FPU to CVV'!U22</f>
        <v>0.3333333333333333</v>
      </c>
      <c r="V23" s="79">
        <f>+'C - FPU to CVV'!V22</f>
        <v>0.16666666666666666</v>
      </c>
      <c r="W23" s="74">
        <f t="shared" si="0"/>
        <v>3.686400000000001E-12</v>
      </c>
      <c r="X23" s="74">
        <f t="shared" si="1"/>
        <v>3.8400000000000006E-14</v>
      </c>
      <c r="Y23" s="80" t="e">
        <f t="shared" si="2"/>
        <v>#REF!</v>
      </c>
    </row>
    <row r="24" spans="1:25" ht="12" customHeight="1">
      <c r="A24" s="61"/>
      <c r="B24" s="72"/>
      <c r="C24" s="73"/>
      <c r="D24" s="72"/>
      <c r="E24" s="72"/>
      <c r="F24" s="72"/>
      <c r="G24" s="73" t="str">
        <f>+'C - FPU to CVV'!G23</f>
        <v>SLW JFET Bias</v>
      </c>
      <c r="H24" s="72">
        <f>+'C - FPU to CVV'!H23</f>
        <v>4</v>
      </c>
      <c r="I24" s="72">
        <f>+'C - FPU to CVV'!I23</f>
        <v>2</v>
      </c>
      <c r="J24" s="72" t="str">
        <f>+'C - FPU to CVV'!J23</f>
        <v>STP</v>
      </c>
      <c r="K24" s="72">
        <f>+RI_JFET_BIAS</f>
        <v>100</v>
      </c>
      <c r="L24" s="72" t="str">
        <f>+CI_JFET_BIAS</f>
        <v>1500pF</v>
      </c>
      <c r="M24" s="72" t="str">
        <f>+LI_JFET_BIAS</f>
        <v>0.08uH</v>
      </c>
      <c r="N24" s="74">
        <f>+'C - FPU to CVV'!N23</f>
        <v>0.0025</v>
      </c>
      <c r="O24" s="74">
        <f>+'C - FPU to CVV'!O23</f>
        <v>0.0006000000000000001</v>
      </c>
      <c r="P24" s="75">
        <f>+'C - FPU to CVV'!P23</f>
        <v>0</v>
      </c>
      <c r="Q24" s="75">
        <f>+'C - FPU to CVV'!Q23</f>
        <v>0</v>
      </c>
      <c r="R24" s="75">
        <f>+'C - FPU to CVV'!R23</f>
        <v>0</v>
      </c>
      <c r="S24" s="72">
        <f>+'C - FPU to CVV'!S23</f>
        <v>10</v>
      </c>
      <c r="T24" s="79">
        <f>+'C - FPU to CVV'!T23</f>
        <v>0.5</v>
      </c>
      <c r="U24" s="79">
        <f>+'C - FPU to CVV'!U23</f>
        <v>0.3333333333333333</v>
      </c>
      <c r="V24" s="79">
        <f>+'C - FPU to CVV'!V23</f>
        <v>0.16666666666666666</v>
      </c>
      <c r="W24" s="74">
        <f t="shared" si="0"/>
        <v>0.0025</v>
      </c>
      <c r="X24" s="74">
        <f t="shared" si="1"/>
        <v>2.4000000000000004E-05</v>
      </c>
      <c r="Y24" s="80" t="e">
        <f t="shared" si="2"/>
        <v>#REF!</v>
      </c>
    </row>
    <row r="25" spans="1:25" ht="12" customHeight="1">
      <c r="A25" s="61"/>
      <c r="B25" s="72"/>
      <c r="C25" s="73"/>
      <c r="D25" s="72"/>
      <c r="E25" s="72"/>
      <c r="F25" s="72"/>
      <c r="G25" s="73" t="str">
        <f>+'C - FPU to CVV'!G24</f>
        <v>SLW Ground wire</v>
      </c>
      <c r="H25" s="72">
        <f>+'C - FPU to CVV'!H24</f>
        <v>1</v>
      </c>
      <c r="I25" s="72">
        <f>+'C - FPU to CVV'!I24</f>
        <v>0</v>
      </c>
      <c r="J25" s="72" t="str">
        <f>+'C - FPU to CVV'!J24</f>
        <v>S</v>
      </c>
      <c r="K25" s="72">
        <f>+RI_GND</f>
        <v>50</v>
      </c>
      <c r="L25" s="72" t="str">
        <f>+CI_GND</f>
        <v>1500pF</v>
      </c>
      <c r="M25" s="72" t="str">
        <f>+LI_GND</f>
        <v>0.08uH</v>
      </c>
      <c r="N25" s="72">
        <f>+'C - FPU to CVV'!N24</f>
        <v>0</v>
      </c>
      <c r="O25" s="72">
        <f>+'C - FPU to CVV'!O24</f>
        <v>0</v>
      </c>
      <c r="P25" s="75">
        <f>+'C - FPU to CVV'!P24</f>
        <v>0</v>
      </c>
      <c r="Q25" s="75">
        <f>+'C - FPU to CVV'!Q24</f>
        <v>0</v>
      </c>
      <c r="R25" s="75">
        <f>+'C - FPU to CVV'!R24</f>
        <v>0</v>
      </c>
      <c r="S25" s="72">
        <f>+'C - FPU to CVV'!S24</f>
        <v>10</v>
      </c>
      <c r="T25" s="79">
        <f>+'C - FPU to CVV'!T24</f>
        <v>0.5</v>
      </c>
      <c r="U25" s="79">
        <f>+'C - FPU to CVV'!U24</f>
        <v>0.3333333333333333</v>
      </c>
      <c r="V25" s="79">
        <f>+'C - FPU to CVV'!V24</f>
        <v>0.16666666666666666</v>
      </c>
      <c r="W25" s="72">
        <f t="shared" si="0"/>
        <v>0</v>
      </c>
      <c r="X25" s="72">
        <f t="shared" si="1"/>
        <v>0</v>
      </c>
      <c r="Y25" s="80" t="e">
        <f t="shared" si="2"/>
        <v>#REF!</v>
      </c>
    </row>
    <row r="26" spans="1:25" ht="12" customHeight="1">
      <c r="A26" s="61"/>
      <c r="B26" s="72"/>
      <c r="C26" s="73"/>
      <c r="D26" s="72"/>
      <c r="E26" s="72"/>
      <c r="F26" s="72"/>
      <c r="G26" s="73" t="str">
        <f>+'C - FPU to CVV'!G25</f>
        <v>SSW Bolometer Bias</v>
      </c>
      <c r="H26" s="72">
        <f>+'C - FPU to CVV'!H25</f>
        <v>4</v>
      </c>
      <c r="I26" s="72">
        <f>+'C - FPU to CVV'!I25</f>
        <v>2</v>
      </c>
      <c r="J26" s="72" t="str">
        <f>+'C - FPU to CVV'!J25</f>
        <v>STP</v>
      </c>
      <c r="K26" s="72">
        <f>+RI_BOL_BIAS</f>
        <v>100</v>
      </c>
      <c r="L26" s="72" t="str">
        <f>+CI_BOL_BIAS</f>
        <v>1500pF</v>
      </c>
      <c r="M26" s="72" t="str">
        <f>+LI_BOL_BIAS</f>
        <v>0.08uH</v>
      </c>
      <c r="N26" s="74">
        <f>+'C - FPU to CVV'!N25</f>
        <v>0.0012000000000000001</v>
      </c>
      <c r="O26" s="74">
        <f>+'C - FPU to CVV'!O25</f>
        <v>4.8000000000000006E-08</v>
      </c>
      <c r="P26" s="75">
        <f>+'C - FPU to CVV'!P25</f>
        <v>0</v>
      </c>
      <c r="Q26" s="75">
        <f>+'C - FPU to CVV'!Q25</f>
        <v>0</v>
      </c>
      <c r="R26" s="75">
        <f>+'C - FPU to CVV'!R25</f>
        <v>0</v>
      </c>
      <c r="S26" s="72">
        <f>+'C - FPU to CVV'!S25</f>
        <v>10</v>
      </c>
      <c r="T26" s="79">
        <f>+'C - FPU to CVV'!T25</f>
        <v>0.5</v>
      </c>
      <c r="U26" s="79">
        <f>+'C - FPU to CVV'!U25</f>
        <v>0.3333333333333333</v>
      </c>
      <c r="V26" s="79">
        <f>+'C - FPU to CVV'!V25</f>
        <v>0.16666666666666666</v>
      </c>
      <c r="W26" s="74">
        <f t="shared" si="0"/>
        <v>0.0005760000000000001</v>
      </c>
      <c r="X26" s="74">
        <f t="shared" si="1"/>
        <v>1.5360000000000002E-13</v>
      </c>
      <c r="Y26" s="80" t="e">
        <f t="shared" si="2"/>
        <v>#REF!</v>
      </c>
    </row>
    <row r="27" spans="1:25" ht="25.5">
      <c r="A27" s="61"/>
      <c r="B27" s="72"/>
      <c r="C27" s="81"/>
      <c r="D27" s="81"/>
      <c r="E27" s="81"/>
      <c r="F27" s="81"/>
      <c r="G27" s="73" t="str">
        <f>+'C - FPU to CVV'!G26</f>
        <v>SSW JFET Bias</v>
      </c>
      <c r="H27" s="72">
        <f>+'C - FPU to CVV'!H26</f>
        <v>4</v>
      </c>
      <c r="I27" s="72">
        <f>+'C - FPU to CVV'!I26</f>
        <v>2</v>
      </c>
      <c r="J27" s="72" t="str">
        <f>+'C - FPU to CVV'!J26</f>
        <v>STP</v>
      </c>
      <c r="K27" s="72">
        <f>+RI_JFET_BIAS</f>
        <v>100</v>
      </c>
      <c r="L27" s="72" t="str">
        <f>+CI_JFET_BIAS</f>
        <v>1500pF</v>
      </c>
      <c r="M27" s="72" t="str">
        <f>+LI_JFET_BIAS</f>
        <v>0.08uH</v>
      </c>
      <c r="N27" s="74">
        <f>+'C - FPU to CVV'!N26</f>
        <v>0.005</v>
      </c>
      <c r="O27" s="74">
        <f>+'C - FPU to CVV'!O26</f>
        <v>0.0012000000000000001</v>
      </c>
      <c r="P27" s="75">
        <f>+'C - FPU to CVV'!P26</f>
        <v>0</v>
      </c>
      <c r="Q27" s="75">
        <f>+'C - FPU to CVV'!Q26</f>
        <v>0</v>
      </c>
      <c r="R27" s="75">
        <f>+'C - FPU to CVV'!R26</f>
        <v>0</v>
      </c>
      <c r="S27" s="72">
        <f>+'C - FPU to CVV'!S26</f>
        <v>10</v>
      </c>
      <c r="T27" s="79">
        <f>+'C - FPU to CVV'!T26</f>
        <v>0.5</v>
      </c>
      <c r="U27" s="79">
        <f>+'C - FPU to CVV'!U26</f>
        <v>0.3333333333333333</v>
      </c>
      <c r="V27" s="79">
        <f>+'C - FPU to CVV'!V26</f>
        <v>0.16666666666666666</v>
      </c>
      <c r="W27" s="74">
        <f t="shared" si="0"/>
        <v>0.01</v>
      </c>
      <c r="X27" s="74">
        <f t="shared" si="1"/>
        <v>9.600000000000002E-05</v>
      </c>
      <c r="Y27" s="80" t="e">
        <f t="shared" si="2"/>
        <v>#REF!</v>
      </c>
    </row>
    <row r="28" spans="1:25" ht="12.75" customHeight="1">
      <c r="A28" s="61"/>
      <c r="B28" s="72"/>
      <c r="C28" s="73"/>
      <c r="D28" s="72"/>
      <c r="E28" s="72"/>
      <c r="F28" s="72"/>
      <c r="G28" s="73" t="str">
        <f>+'C - FPU to CVV'!G27</f>
        <v>SSW Ground Wire</v>
      </c>
      <c r="H28" s="72">
        <f>+'C - FPU to CVV'!H27</f>
        <v>1</v>
      </c>
      <c r="I28" s="72">
        <f>+'C - FPU to CVV'!I27</f>
        <v>0</v>
      </c>
      <c r="J28" s="72" t="str">
        <f>+'C - FPU to CVV'!J27</f>
        <v>S</v>
      </c>
      <c r="K28" s="72">
        <f>+RI_GND</f>
        <v>50</v>
      </c>
      <c r="L28" s="72" t="str">
        <f>+CI_GND</f>
        <v>1500pF</v>
      </c>
      <c r="M28" s="72" t="str">
        <f>+LI_GND</f>
        <v>0.08uH</v>
      </c>
      <c r="N28" s="72">
        <f>+'C - FPU to CVV'!N27</f>
        <v>0</v>
      </c>
      <c r="O28" s="72">
        <f>+'C - FPU to CVV'!O27</f>
        <v>0</v>
      </c>
      <c r="P28" s="75">
        <f>+'C - FPU to CVV'!P27</f>
        <v>0</v>
      </c>
      <c r="Q28" s="75">
        <f>+'C - FPU to CVV'!Q27</f>
        <v>0</v>
      </c>
      <c r="R28" s="75">
        <f>+'C - FPU to CVV'!R27</f>
        <v>0</v>
      </c>
      <c r="S28" s="72">
        <f>+'C - FPU to CVV'!S27</f>
        <v>10</v>
      </c>
      <c r="T28" s="79">
        <f>+'C - FPU to CVV'!T27</f>
        <v>0.5</v>
      </c>
      <c r="U28" s="79">
        <f>+'C - FPU to CVV'!U27</f>
        <v>0.3333333333333333</v>
      </c>
      <c r="V28" s="79">
        <f>+'C - FPU to CVV'!V27</f>
        <v>0.16666666666666666</v>
      </c>
      <c r="W28" s="72">
        <f t="shared" si="0"/>
        <v>0</v>
      </c>
      <c r="X28" s="72">
        <f t="shared" si="1"/>
        <v>0</v>
      </c>
      <c r="Y28" s="80" t="e">
        <f t="shared" si="2"/>
        <v>#REF!</v>
      </c>
    </row>
    <row r="29" spans="1:25" ht="12.75" customHeight="1">
      <c r="A29" s="61"/>
      <c r="B29" s="72"/>
      <c r="C29" s="73"/>
      <c r="D29" s="72"/>
      <c r="E29" s="72"/>
      <c r="F29" s="72"/>
      <c r="G29" s="73" t="s">
        <v>305</v>
      </c>
      <c r="H29" s="72">
        <v>1</v>
      </c>
      <c r="I29" s="72">
        <v>0</v>
      </c>
      <c r="J29" s="72" t="s">
        <v>196</v>
      </c>
      <c r="K29" s="72">
        <f>+RI_GND</f>
        <v>50</v>
      </c>
      <c r="L29" s="72" t="str">
        <f>+CI_GND</f>
        <v>1500pF</v>
      </c>
      <c r="M29" s="72" t="str">
        <f>+LI_GND</f>
        <v>0.08uH</v>
      </c>
      <c r="N29" s="81">
        <v>0</v>
      </c>
      <c r="O29" s="81">
        <v>0</v>
      </c>
      <c r="P29" s="82">
        <v>0</v>
      </c>
      <c r="Q29" s="82">
        <v>0</v>
      </c>
      <c r="R29" s="82">
        <v>0</v>
      </c>
      <c r="S29" s="72">
        <f>+'C - FPU to CVV'!S28</f>
        <v>10</v>
      </c>
      <c r="T29" s="83">
        <f>+'C - FPU to CVV'!T28</f>
        <v>0.001736111111111111</v>
      </c>
      <c r="U29" s="79">
        <f>+'C - FPU to CVV'!U28</f>
        <v>0.3333333333333333</v>
      </c>
      <c r="V29" s="79">
        <f>+'C - FPU to CVV'!V28</f>
        <v>0.0005787037037037037</v>
      </c>
      <c r="W29" s="72">
        <f t="shared" si="0"/>
        <v>0</v>
      </c>
      <c r="X29" s="72">
        <f t="shared" si="1"/>
        <v>0</v>
      </c>
      <c r="Y29" s="80" t="e">
        <f t="shared" si="2"/>
        <v>#REF!</v>
      </c>
    </row>
    <row r="30" spans="1:25" ht="12.75" customHeight="1">
      <c r="A30" s="61"/>
      <c r="B30" s="72"/>
      <c r="C30" s="73"/>
      <c r="D30" s="72"/>
      <c r="E30" s="72"/>
      <c r="F30" s="72"/>
      <c r="G30" s="73" t="str">
        <f>+'C - FPU to CVV'!G28</f>
        <v>PTC JFET Heater</v>
      </c>
      <c r="H30" s="72">
        <f>+'C - FPU to CVV'!H28</f>
        <v>2</v>
      </c>
      <c r="I30" s="72">
        <f>+'C - FPU to CVV'!I28</f>
        <v>1</v>
      </c>
      <c r="J30" s="72" t="str">
        <f>+'C - FPU to CVV'!J28</f>
        <v>STP</v>
      </c>
      <c r="K30" s="72">
        <f>+RI_JFET_HEAT</f>
        <v>200</v>
      </c>
      <c r="L30" s="72" t="str">
        <f>+CI_JFET_HEAT</f>
        <v>1500pF</v>
      </c>
      <c r="M30" s="72" t="str">
        <f>+LI_JFET_HEAT</f>
        <v>0.08uH</v>
      </c>
      <c r="N30" s="74">
        <f>+'C - FPU to CVV'!N28</f>
        <v>0.0019230769230769232</v>
      </c>
      <c r="O30" s="74">
        <f>+'C - FPU to CVV'!O28</f>
        <v>0.0004807692307692308</v>
      </c>
      <c r="P30" s="75">
        <f>+'C - FPU to CVV'!P28</f>
        <v>0</v>
      </c>
      <c r="Q30" s="75">
        <f>+'C - FPU to CVV'!Q28</f>
        <v>0</v>
      </c>
      <c r="R30" s="75">
        <f>+'C - FPU to CVV'!R28</f>
        <v>0</v>
      </c>
      <c r="S30" s="72">
        <f>+'C - FPU to CVV'!S28</f>
        <v>10</v>
      </c>
      <c r="T30" s="83">
        <f>+'C - FPU to CVV'!T28</f>
        <v>0.001736111111111111</v>
      </c>
      <c r="U30" s="79">
        <f>+'C - FPU to CVV'!U28</f>
        <v>0.3333333333333333</v>
      </c>
      <c r="V30" s="79">
        <f>+'C - FPU to CVV'!V28</f>
        <v>0.0005787037037037037</v>
      </c>
      <c r="W30" s="74">
        <f t="shared" si="0"/>
        <v>0.0014792899408284025</v>
      </c>
      <c r="X30" s="74">
        <f t="shared" si="1"/>
        <v>5.3504410475564324E-08</v>
      </c>
      <c r="Y30" s="80" t="e">
        <f t="shared" si="2"/>
        <v>#REF!</v>
      </c>
    </row>
    <row r="31" spans="1:25" ht="12.75" customHeight="1">
      <c r="A31" s="61"/>
      <c r="B31" s="72"/>
      <c r="C31" s="73"/>
      <c r="D31" s="72"/>
      <c r="E31" s="72"/>
      <c r="F31" s="72"/>
      <c r="G31" s="73" t="str">
        <f>+'C - FPU to CVV'!G29</f>
        <v>SLW JFET Heater</v>
      </c>
      <c r="H31" s="72">
        <f>+'C - FPU to CVV'!H29</f>
        <v>2</v>
      </c>
      <c r="I31" s="72">
        <f>+'C - FPU to CVV'!I29</f>
        <v>1</v>
      </c>
      <c r="J31" s="72" t="str">
        <f>+'C - FPU to CVV'!J29</f>
        <v>STP</v>
      </c>
      <c r="K31" s="72">
        <f>+RI_JFET_HEAT</f>
        <v>200</v>
      </c>
      <c r="L31" s="72" t="str">
        <f>+CI_JFET_HEAT</f>
        <v>1500pF</v>
      </c>
      <c r="M31" s="72" t="str">
        <f>+LI_JFET_HEAT</f>
        <v>0.08uH</v>
      </c>
      <c r="N31" s="74">
        <f>+'C - FPU to CVV'!N29</f>
        <v>0.0033333333333333335</v>
      </c>
      <c r="O31" s="74">
        <f>+'C - FPU to CVV'!O29</f>
        <v>0.0008333333333333334</v>
      </c>
      <c r="P31" s="75">
        <f>+'C - FPU to CVV'!P29</f>
        <v>0</v>
      </c>
      <c r="Q31" s="75">
        <f>+'C - FPU to CVV'!Q29</f>
        <v>0</v>
      </c>
      <c r="R31" s="75">
        <f>+'C - FPU to CVV'!R29</f>
        <v>0</v>
      </c>
      <c r="S31" s="72">
        <f>+'C - FPU to CVV'!S29</f>
        <v>10</v>
      </c>
      <c r="T31" s="83">
        <f>+'C - FPU to CVV'!T29</f>
        <v>0.001736111111111111</v>
      </c>
      <c r="U31" s="79">
        <f>+'C - FPU to CVV'!U29</f>
        <v>0.3333333333333333</v>
      </c>
      <c r="V31" s="79">
        <f>+'C - FPU to CVV'!V29</f>
        <v>0.0005787037037037037</v>
      </c>
      <c r="W31" s="74">
        <f t="shared" si="0"/>
        <v>0.004444444444444445</v>
      </c>
      <c r="X31" s="74">
        <f t="shared" si="1"/>
        <v>1.6075102880658437E-07</v>
      </c>
      <c r="Y31" s="80" t="e">
        <f t="shared" si="2"/>
        <v>#REF!</v>
      </c>
    </row>
    <row r="32" spans="1:25" ht="12" customHeight="1">
      <c r="A32" s="61"/>
      <c r="B32" s="65"/>
      <c r="C32" s="66"/>
      <c r="D32" s="65"/>
      <c r="E32" s="65"/>
      <c r="F32" s="65"/>
      <c r="G32" s="66" t="str">
        <f>+'C - FPU to CVV'!G30</f>
        <v>SSW JFET Heater</v>
      </c>
      <c r="H32" s="65">
        <f>+'C - FPU to CVV'!H30</f>
        <v>2</v>
      </c>
      <c r="I32" s="65">
        <f>+'C - FPU to CVV'!I30</f>
        <v>1</v>
      </c>
      <c r="J32" s="65" t="str">
        <f>+'C - FPU to CVV'!J30</f>
        <v>STP</v>
      </c>
      <c r="K32" s="65">
        <f>+RI_JFET_HEAT</f>
        <v>200</v>
      </c>
      <c r="L32" s="65" t="str">
        <f>+CI_JFET_HEAT</f>
        <v>1500pF</v>
      </c>
      <c r="M32" s="65" t="str">
        <f>+LI_JFET_HEAT</f>
        <v>0.08uH</v>
      </c>
      <c r="N32" s="84">
        <f>+'C - FPU to CVV'!N30</f>
        <v>0.006666666666666667</v>
      </c>
      <c r="O32" s="84">
        <f>+'C - FPU to CVV'!O30</f>
        <v>0.0016666666666666668</v>
      </c>
      <c r="P32" s="67">
        <f>+'C - FPU to CVV'!P30</f>
        <v>0</v>
      </c>
      <c r="Q32" s="67">
        <f>+'C - FPU to CVV'!Q30</f>
        <v>0</v>
      </c>
      <c r="R32" s="67">
        <f>+'C - FPU to CVV'!R30</f>
        <v>0</v>
      </c>
      <c r="S32" s="65">
        <f>+'C - FPU to CVV'!S30</f>
        <v>10</v>
      </c>
      <c r="T32" s="85">
        <f>+'C - FPU to CVV'!T30</f>
        <v>0.001736111111111111</v>
      </c>
      <c r="U32" s="86">
        <f>+'C - FPU to CVV'!U30</f>
        <v>0.3333333333333333</v>
      </c>
      <c r="V32" s="86">
        <f>+'C - FPU to CVV'!V30</f>
        <v>0.0005787037037037037</v>
      </c>
      <c r="W32" s="84">
        <f t="shared" si="0"/>
        <v>0.01777777777777778</v>
      </c>
      <c r="X32" s="84">
        <f t="shared" si="1"/>
        <v>6.430041152263375E-07</v>
      </c>
      <c r="Y32" s="87" t="e">
        <f t="shared" si="2"/>
        <v>#REF!</v>
      </c>
    </row>
    <row r="33" spans="1:25" ht="13.5" thickBot="1">
      <c r="A33" s="130"/>
      <c r="B33" s="89"/>
      <c r="C33" s="90" t="s">
        <v>714</v>
      </c>
      <c r="D33" s="89"/>
      <c r="E33" s="89"/>
      <c r="F33" s="89"/>
      <c r="G33" s="90" t="s">
        <v>715</v>
      </c>
      <c r="H33" s="89"/>
      <c r="I33" s="89"/>
      <c r="J33" s="91" t="s">
        <v>716</v>
      </c>
      <c r="K33" s="89"/>
      <c r="L33" s="89"/>
      <c r="M33" s="89" t="s">
        <v>712</v>
      </c>
      <c r="N33" s="89"/>
      <c r="O33" s="89"/>
      <c r="P33" s="92"/>
      <c r="Q33" s="92"/>
      <c r="R33" s="92"/>
      <c r="S33" s="89"/>
      <c r="T33" s="93"/>
      <c r="U33" s="93"/>
      <c r="V33" s="93"/>
      <c r="W33" s="94"/>
      <c r="X33" s="94">
        <f t="shared" si="1"/>
        <v>0</v>
      </c>
      <c r="Y33" s="95" t="e">
        <f>+X33/$X$196</f>
        <v>#REF!</v>
      </c>
    </row>
    <row r="34" spans="1:25" ht="12.75" customHeight="1" thickTop="1">
      <c r="A34" s="61" t="s">
        <v>729</v>
      </c>
      <c r="B34" s="72" t="s">
        <v>270</v>
      </c>
      <c r="C34" s="73" t="s">
        <v>271</v>
      </c>
      <c r="D34" s="72" t="s">
        <v>481</v>
      </c>
      <c r="E34" s="72" t="s">
        <v>740</v>
      </c>
      <c r="F34" s="72" t="s">
        <v>479</v>
      </c>
      <c r="G34" s="73" t="s">
        <v>704</v>
      </c>
      <c r="H34" s="72">
        <v>24</v>
      </c>
      <c r="I34" s="72">
        <v>12</v>
      </c>
      <c r="J34" s="72" t="s">
        <v>261</v>
      </c>
      <c r="K34" s="64">
        <f>+RI_BOL_SIG</f>
        <v>500</v>
      </c>
      <c r="L34" s="64" t="str">
        <f>+CI_BOL_SIG</f>
        <v>1500pF</v>
      </c>
      <c r="M34" s="64" t="str">
        <f>+LI_BOL_SIG</f>
        <v>0.08uH</v>
      </c>
      <c r="N34" s="74">
        <f>+MAX_I_BOLSIG</f>
        <v>1E-09</v>
      </c>
      <c r="O34" s="74">
        <f>AVG_I_BOLSIG</f>
        <v>5E-10</v>
      </c>
      <c r="P34" s="75">
        <v>0</v>
      </c>
      <c r="Q34" s="75">
        <v>1</v>
      </c>
      <c r="R34" s="75">
        <v>0</v>
      </c>
      <c r="S34" s="72">
        <v>0.1</v>
      </c>
      <c r="T34" s="76">
        <v>0.5</v>
      </c>
      <c r="U34" s="76">
        <f aca="true" t="shared" si="3" ref="U34:U41">1/3</f>
        <v>0.3333333333333333</v>
      </c>
      <c r="V34" s="76">
        <f aca="true" t="shared" si="4" ref="V34:V40">+U34*T34</f>
        <v>0.16666666666666666</v>
      </c>
      <c r="W34" s="74">
        <f aca="true" t="shared" si="5" ref="W34:W41">+N34^2*K34*H34</f>
        <v>1.2000000000000001E-14</v>
      </c>
      <c r="X34" s="74">
        <f t="shared" si="1"/>
        <v>5E-16</v>
      </c>
      <c r="Y34" s="78" t="e">
        <f>+X34/$X$196</f>
        <v>#REF!</v>
      </c>
    </row>
    <row r="35" spans="1:25" ht="12.75" customHeight="1">
      <c r="A35" s="61" t="s">
        <v>49</v>
      </c>
      <c r="B35" s="72"/>
      <c r="C35" s="73"/>
      <c r="D35" s="72"/>
      <c r="E35" s="72"/>
      <c r="F35" s="72"/>
      <c r="G35" s="73" t="s">
        <v>305</v>
      </c>
      <c r="H35" s="72">
        <v>1</v>
      </c>
      <c r="I35" s="72">
        <v>0</v>
      </c>
      <c r="J35" s="72" t="s">
        <v>104</v>
      </c>
      <c r="K35" s="72">
        <f>+RI_GND</f>
        <v>50</v>
      </c>
      <c r="L35" s="72" t="str">
        <f>+CI_GND</f>
        <v>1500pF</v>
      </c>
      <c r="M35" s="72" t="str">
        <f>+LI_GND</f>
        <v>0.08uH</v>
      </c>
      <c r="N35" s="96">
        <v>0</v>
      </c>
      <c r="O35" s="96">
        <v>0</v>
      </c>
      <c r="P35" s="75">
        <v>0</v>
      </c>
      <c r="Q35" s="75">
        <v>0</v>
      </c>
      <c r="R35" s="75">
        <v>0</v>
      </c>
      <c r="S35" s="72">
        <v>0.1</v>
      </c>
      <c r="T35" s="76">
        <v>0.5</v>
      </c>
      <c r="U35" s="76">
        <f t="shared" si="3"/>
        <v>0.3333333333333333</v>
      </c>
      <c r="V35" s="76">
        <f>+U35*T35</f>
        <v>0.16666666666666666</v>
      </c>
      <c r="W35" s="74">
        <f t="shared" si="5"/>
        <v>0</v>
      </c>
      <c r="X35" s="74">
        <f t="shared" si="1"/>
        <v>0</v>
      </c>
      <c r="Y35" s="78" t="e">
        <f>+X35/$X$196</f>
        <v>#REF!</v>
      </c>
    </row>
    <row r="36" spans="1:25" ht="12.75" customHeight="1">
      <c r="A36" s="61"/>
      <c r="B36" s="72"/>
      <c r="C36" s="73" t="s">
        <v>272</v>
      </c>
      <c r="D36" s="72" t="s">
        <v>481</v>
      </c>
      <c r="E36" s="72" t="s">
        <v>741</v>
      </c>
      <c r="F36" s="72" t="s">
        <v>479</v>
      </c>
      <c r="G36" s="73" t="str">
        <f>+'C - FPU to CVV'!G36</f>
        <v>Bolometer signals from JFS (SSW 13-24)</v>
      </c>
      <c r="H36" s="72">
        <v>24</v>
      </c>
      <c r="I36" s="72">
        <v>12</v>
      </c>
      <c r="J36" s="72" t="s">
        <v>261</v>
      </c>
      <c r="K36" s="72">
        <f>+RI_BOL_SIG</f>
        <v>500</v>
      </c>
      <c r="L36" s="72" t="str">
        <f>+CI_BOL_SIG</f>
        <v>1500pF</v>
      </c>
      <c r="M36" s="72" t="str">
        <f>+LI_BOL_SIG</f>
        <v>0.08uH</v>
      </c>
      <c r="N36" s="74">
        <f>+MAX_I_BOLSIG</f>
        <v>1E-09</v>
      </c>
      <c r="O36" s="74">
        <f>AVG_I_BOLSIG</f>
        <v>5E-10</v>
      </c>
      <c r="P36" s="75">
        <v>0</v>
      </c>
      <c r="Q36" s="75">
        <v>1</v>
      </c>
      <c r="R36" s="75">
        <v>0</v>
      </c>
      <c r="S36" s="72">
        <v>0.1</v>
      </c>
      <c r="T36" s="76">
        <v>0.5</v>
      </c>
      <c r="U36" s="76">
        <f t="shared" si="3"/>
        <v>0.3333333333333333</v>
      </c>
      <c r="V36" s="76">
        <f t="shared" si="4"/>
        <v>0.16666666666666666</v>
      </c>
      <c r="W36" s="74">
        <f t="shared" si="5"/>
        <v>1.2000000000000001E-14</v>
      </c>
      <c r="X36" s="74">
        <f t="shared" si="1"/>
        <v>5E-16</v>
      </c>
      <c r="Y36" s="78" t="e">
        <f>+X36/$X$196</f>
        <v>#REF!</v>
      </c>
    </row>
    <row r="37" spans="1:25" ht="12.75" customHeight="1">
      <c r="A37" s="61"/>
      <c r="B37" s="72"/>
      <c r="C37" s="73"/>
      <c r="D37" s="72"/>
      <c r="E37" s="72"/>
      <c r="F37" s="72"/>
      <c r="G37" s="73" t="s">
        <v>221</v>
      </c>
      <c r="H37" s="72">
        <v>1</v>
      </c>
      <c r="I37" s="72">
        <v>0</v>
      </c>
      <c r="J37" s="72" t="s">
        <v>104</v>
      </c>
      <c r="K37" s="72">
        <f>+RI_GND</f>
        <v>50</v>
      </c>
      <c r="L37" s="72" t="str">
        <f>+CI_GND</f>
        <v>1500pF</v>
      </c>
      <c r="M37" s="72" t="str">
        <f>+LI_GND</f>
        <v>0.08uH</v>
      </c>
      <c r="N37" s="96">
        <v>0</v>
      </c>
      <c r="O37" s="96">
        <v>0</v>
      </c>
      <c r="P37" s="75">
        <v>0</v>
      </c>
      <c r="Q37" s="75">
        <v>0</v>
      </c>
      <c r="R37" s="75">
        <v>0</v>
      </c>
      <c r="S37" s="72">
        <v>0.1</v>
      </c>
      <c r="T37" s="76">
        <v>0.5</v>
      </c>
      <c r="U37" s="76">
        <f t="shared" si="3"/>
        <v>0.3333333333333333</v>
      </c>
      <c r="V37" s="76">
        <f>+U37*T37</f>
        <v>0.16666666666666666</v>
      </c>
      <c r="W37" s="74">
        <f t="shared" si="5"/>
        <v>0</v>
      </c>
      <c r="X37" s="74">
        <f t="shared" si="1"/>
        <v>0</v>
      </c>
      <c r="Y37" s="78"/>
    </row>
    <row r="38" spans="1:25" ht="12.75" customHeight="1">
      <c r="A38" s="61"/>
      <c r="B38" s="72"/>
      <c r="C38" s="73" t="s">
        <v>273</v>
      </c>
      <c r="D38" s="72" t="s">
        <v>481</v>
      </c>
      <c r="E38" s="72" t="s">
        <v>742</v>
      </c>
      <c r="F38" s="72" t="s">
        <v>479</v>
      </c>
      <c r="G38" s="73" t="str">
        <f>+'C - FPU to CVV'!G38</f>
        <v>Bolometer signals from JFS (SSW 25-36) </v>
      </c>
      <c r="H38" s="72">
        <v>24</v>
      </c>
      <c r="I38" s="72">
        <v>12</v>
      </c>
      <c r="J38" s="72" t="s">
        <v>261</v>
      </c>
      <c r="K38" s="72">
        <f>+RI_BOL_SIG</f>
        <v>500</v>
      </c>
      <c r="L38" s="72" t="str">
        <f>+CI_BOL_SIG</f>
        <v>1500pF</v>
      </c>
      <c r="M38" s="72" t="str">
        <f>+LI_BOL_SIG</f>
        <v>0.08uH</v>
      </c>
      <c r="N38" s="74">
        <f>+MAX_I_BOLSIG</f>
        <v>1E-09</v>
      </c>
      <c r="O38" s="74">
        <f>AVG_I_BOLSIG</f>
        <v>5E-10</v>
      </c>
      <c r="P38" s="75">
        <v>0</v>
      </c>
      <c r="Q38" s="75">
        <v>1</v>
      </c>
      <c r="R38" s="75">
        <v>0</v>
      </c>
      <c r="S38" s="72">
        <v>0.1</v>
      </c>
      <c r="T38" s="76">
        <v>0.5</v>
      </c>
      <c r="U38" s="76">
        <f t="shared" si="3"/>
        <v>0.3333333333333333</v>
      </c>
      <c r="V38" s="76">
        <f t="shared" si="4"/>
        <v>0.16666666666666666</v>
      </c>
      <c r="W38" s="74">
        <f t="shared" si="5"/>
        <v>1.2000000000000001E-14</v>
      </c>
      <c r="X38" s="74">
        <f t="shared" si="1"/>
        <v>5E-16</v>
      </c>
      <c r="Y38" s="78" t="e">
        <f>+X38/$X$196</f>
        <v>#REF!</v>
      </c>
    </row>
    <row r="39" spans="1:25" ht="12.75" customHeight="1">
      <c r="A39" s="61"/>
      <c r="B39" s="72"/>
      <c r="C39" s="73"/>
      <c r="D39" s="72"/>
      <c r="E39" s="72"/>
      <c r="F39" s="72"/>
      <c r="G39" s="73" t="s">
        <v>305</v>
      </c>
      <c r="H39" s="72">
        <v>1</v>
      </c>
      <c r="I39" s="72">
        <v>0</v>
      </c>
      <c r="J39" s="72" t="s">
        <v>104</v>
      </c>
      <c r="K39" s="72">
        <f>+RI_GND</f>
        <v>50</v>
      </c>
      <c r="L39" s="72" t="str">
        <f>+CI_GND</f>
        <v>1500pF</v>
      </c>
      <c r="M39" s="72" t="str">
        <f>+LI_GND</f>
        <v>0.08uH</v>
      </c>
      <c r="N39" s="96">
        <v>0</v>
      </c>
      <c r="O39" s="96">
        <v>0</v>
      </c>
      <c r="P39" s="75">
        <v>0</v>
      </c>
      <c r="Q39" s="75">
        <v>0</v>
      </c>
      <c r="R39" s="75">
        <v>0</v>
      </c>
      <c r="S39" s="72">
        <v>0.1</v>
      </c>
      <c r="T39" s="76">
        <v>0.5</v>
      </c>
      <c r="U39" s="76">
        <f t="shared" si="3"/>
        <v>0.3333333333333333</v>
      </c>
      <c r="V39" s="76">
        <f>+U39*T39</f>
        <v>0.16666666666666666</v>
      </c>
      <c r="W39" s="74">
        <f t="shared" si="5"/>
        <v>0</v>
      </c>
      <c r="X39" s="74">
        <f t="shared" si="1"/>
        <v>0</v>
      </c>
      <c r="Y39" s="78" t="e">
        <f>+X39/$X$196</f>
        <v>#REF!</v>
      </c>
    </row>
    <row r="40" spans="1:25" ht="12.75" customHeight="1">
      <c r="A40" s="61"/>
      <c r="B40" s="72"/>
      <c r="C40" s="73" t="s">
        <v>274</v>
      </c>
      <c r="D40" s="72" t="s">
        <v>481</v>
      </c>
      <c r="E40" s="72" t="s">
        <v>489</v>
      </c>
      <c r="F40" s="72" t="s">
        <v>479</v>
      </c>
      <c r="G40" s="73" t="str">
        <f>+'C - FPU to CVV'!G40</f>
        <v>Bolometer signals from JFS (SSW 37-42)</v>
      </c>
      <c r="H40" s="72">
        <v>12</v>
      </c>
      <c r="I40" s="72">
        <v>6</v>
      </c>
      <c r="J40" s="72" t="s">
        <v>261</v>
      </c>
      <c r="K40" s="72">
        <f>+RI_BOL_SIG</f>
        <v>500</v>
      </c>
      <c r="L40" s="72" t="str">
        <f>+CI_BOL_SIG</f>
        <v>1500pF</v>
      </c>
      <c r="M40" s="72" t="str">
        <f>+LI_BOL_SIG</f>
        <v>0.08uH</v>
      </c>
      <c r="N40" s="74">
        <f>+MAX_I_BOLSIG</f>
        <v>1E-09</v>
      </c>
      <c r="O40" s="74">
        <f>AVG_I_BOLSIG</f>
        <v>5E-10</v>
      </c>
      <c r="P40" s="75">
        <v>0</v>
      </c>
      <c r="Q40" s="75">
        <v>1</v>
      </c>
      <c r="R40" s="75">
        <v>0</v>
      </c>
      <c r="S40" s="72">
        <v>0.1</v>
      </c>
      <c r="T40" s="76">
        <v>0.5</v>
      </c>
      <c r="U40" s="76">
        <f t="shared" si="3"/>
        <v>0.3333333333333333</v>
      </c>
      <c r="V40" s="76">
        <f t="shared" si="4"/>
        <v>0.16666666666666666</v>
      </c>
      <c r="W40" s="74">
        <f t="shared" si="5"/>
        <v>6.0000000000000005E-15</v>
      </c>
      <c r="X40" s="74">
        <f t="shared" si="1"/>
        <v>2.5E-16</v>
      </c>
      <c r="Y40" s="78" t="e">
        <f>+X40/$X$196</f>
        <v>#REF!</v>
      </c>
    </row>
    <row r="41" spans="1:25" ht="12.75" customHeight="1">
      <c r="A41" s="61"/>
      <c r="B41" s="72"/>
      <c r="C41" s="73"/>
      <c r="D41" s="72"/>
      <c r="E41" s="72"/>
      <c r="F41" s="72"/>
      <c r="G41" s="73" t="s">
        <v>221</v>
      </c>
      <c r="H41" s="72">
        <v>1</v>
      </c>
      <c r="I41" s="72">
        <v>0</v>
      </c>
      <c r="J41" s="72" t="s">
        <v>104</v>
      </c>
      <c r="K41" s="72">
        <f>+RI_GND</f>
        <v>50</v>
      </c>
      <c r="L41" s="72" t="str">
        <f>+CI_GND</f>
        <v>1500pF</v>
      </c>
      <c r="M41" s="72" t="str">
        <f>+LI_GND</f>
        <v>0.08uH</v>
      </c>
      <c r="N41" s="96">
        <v>0</v>
      </c>
      <c r="O41" s="96">
        <v>0</v>
      </c>
      <c r="P41" s="75">
        <v>0</v>
      </c>
      <c r="Q41" s="75">
        <v>0</v>
      </c>
      <c r="R41" s="75">
        <v>0</v>
      </c>
      <c r="S41" s="72">
        <v>0.1</v>
      </c>
      <c r="T41" s="76">
        <v>0.5</v>
      </c>
      <c r="U41" s="76">
        <f t="shared" si="3"/>
        <v>0.3333333333333333</v>
      </c>
      <c r="V41" s="76">
        <f>+U41*T41</f>
        <v>0.16666666666666666</v>
      </c>
      <c r="W41" s="74">
        <f t="shared" si="5"/>
        <v>0</v>
      </c>
      <c r="X41" s="74">
        <f t="shared" si="1"/>
        <v>0</v>
      </c>
      <c r="Y41" s="78" t="e">
        <f>+X41/$X$196</f>
        <v>#REF!</v>
      </c>
    </row>
    <row r="42" spans="1:25" s="134" customFormat="1" ht="13.5" thickBot="1">
      <c r="A42" s="130"/>
      <c r="B42" s="89"/>
      <c r="C42" s="90" t="s">
        <v>714</v>
      </c>
      <c r="D42" s="89"/>
      <c r="E42" s="89"/>
      <c r="F42" s="89"/>
      <c r="G42" s="90" t="s">
        <v>715</v>
      </c>
      <c r="H42" s="89"/>
      <c r="I42" s="89"/>
      <c r="J42" s="91" t="s">
        <v>716</v>
      </c>
      <c r="K42" s="89"/>
      <c r="L42" s="89"/>
      <c r="M42" s="89" t="s">
        <v>712</v>
      </c>
      <c r="N42" s="89"/>
      <c r="O42" s="89"/>
      <c r="P42" s="92"/>
      <c r="Q42" s="92"/>
      <c r="R42" s="92"/>
      <c r="S42" s="89"/>
      <c r="T42" s="93"/>
      <c r="U42" s="93"/>
      <c r="V42" s="93"/>
      <c r="W42" s="94"/>
      <c r="X42" s="94">
        <f>+O42^2*K42*V42*H42</f>
        <v>0</v>
      </c>
      <c r="Y42" s="95" t="e">
        <f>+X42/$X$196</f>
        <v>#REF!</v>
      </c>
    </row>
    <row r="43" spans="1:25" ht="12.75" customHeight="1" thickTop="1">
      <c r="A43" s="61" t="s">
        <v>728</v>
      </c>
      <c r="B43" s="72" t="s">
        <v>275</v>
      </c>
      <c r="C43" s="73" t="s">
        <v>259</v>
      </c>
      <c r="D43" s="72" t="s">
        <v>733</v>
      </c>
      <c r="E43" s="72" t="s">
        <v>735</v>
      </c>
      <c r="F43" s="72" t="s">
        <v>739</v>
      </c>
      <c r="G43" s="73" t="str">
        <f>+'C - FPU to CVV'!G43</f>
        <v>PSW JFET Bias</v>
      </c>
      <c r="H43" s="72">
        <f>+'C - FPU to CVV'!H43</f>
        <v>12</v>
      </c>
      <c r="I43" s="72">
        <f>+'C - FPU to CVV'!I43</f>
        <v>6</v>
      </c>
      <c r="J43" s="72" t="s">
        <v>261</v>
      </c>
      <c r="K43" s="72">
        <f>+RI_JFET_BIAS</f>
        <v>100</v>
      </c>
      <c r="L43" s="72" t="str">
        <f>+CI_JFET_BIAS</f>
        <v>1500pF</v>
      </c>
      <c r="M43" s="72" t="str">
        <f>+LI_JFET_BIAS</f>
        <v>0.08uH</v>
      </c>
      <c r="N43" s="74">
        <f>+'C - FPU to CVV'!N43</f>
        <v>0.005</v>
      </c>
      <c r="O43" s="74">
        <f>+'C - FPU to CVV'!O43</f>
        <v>0.0012000000000000001</v>
      </c>
      <c r="P43" s="75">
        <v>1</v>
      </c>
      <c r="Q43" s="75">
        <v>0</v>
      </c>
      <c r="R43" s="75">
        <v>0</v>
      </c>
      <c r="S43" s="72">
        <f>+'C - FPU to CVV'!S43</f>
        <v>10</v>
      </c>
      <c r="T43" s="76">
        <f>+'C - FPU to CVV'!T43</f>
        <v>0.5</v>
      </c>
      <c r="U43" s="76">
        <f>+'C - FPU to CVV'!U43</f>
        <v>0.3333333333333333</v>
      </c>
      <c r="V43" s="76">
        <f>+'C - FPU to CVV'!V43</f>
        <v>0.16666666666666666</v>
      </c>
      <c r="W43" s="77">
        <f aca="true" t="shared" si="6" ref="W43:W55">+N43^2*K43*H43</f>
        <v>0.03</v>
      </c>
      <c r="X43" s="77">
        <f aca="true" t="shared" si="7" ref="X43:X55">+O43^2*K43*V43*H43</f>
        <v>0.00028800000000000006</v>
      </c>
      <c r="Y43" s="78" t="e">
        <f aca="true" t="shared" si="8" ref="Y43:Y48">+X43/$X$196</f>
        <v>#REF!</v>
      </c>
    </row>
    <row r="44" spans="1:26" ht="12.75" customHeight="1">
      <c r="A44" s="61" t="s">
        <v>2</v>
      </c>
      <c r="B44" s="72"/>
      <c r="C44" s="73"/>
      <c r="D44" s="72"/>
      <c r="E44" s="72"/>
      <c r="F44" s="72"/>
      <c r="G44" s="73" t="str">
        <f>+'C - FPU to CVV'!G44</f>
        <v>PSW Ground</v>
      </c>
      <c r="H44" s="72">
        <f>+'C - FPU to CVV'!H44</f>
        <v>1</v>
      </c>
      <c r="I44" s="72">
        <f>+'C - FPU to CVV'!I44</f>
        <v>0</v>
      </c>
      <c r="J44" s="72" t="s">
        <v>196</v>
      </c>
      <c r="K44" s="72">
        <f>+RI_GND</f>
        <v>50</v>
      </c>
      <c r="L44" s="72" t="str">
        <f>+CI_GND</f>
        <v>1500pF</v>
      </c>
      <c r="M44" s="72" t="str">
        <f>+LI_GND</f>
        <v>0.08uH</v>
      </c>
      <c r="N44" s="72">
        <f>+'C - FPU to CVV'!N44</f>
        <v>0</v>
      </c>
      <c r="O44" s="72">
        <f>+'C - FPU to CVV'!O44</f>
        <v>0</v>
      </c>
      <c r="P44" s="75">
        <v>0</v>
      </c>
      <c r="Q44" s="75">
        <v>0</v>
      </c>
      <c r="R44" s="75">
        <v>0</v>
      </c>
      <c r="S44" s="72">
        <f>+'C - FPU to CVV'!S44</f>
        <v>10</v>
      </c>
      <c r="T44" s="76">
        <f>+'C - FPU to CVV'!T44</f>
        <v>0.5</v>
      </c>
      <c r="U44" s="76">
        <f>+'C - FPU to CVV'!U44</f>
        <v>0.3333333333333333</v>
      </c>
      <c r="V44" s="76">
        <f>+'C - FPU to CVV'!V44</f>
        <v>0.16666666666666666</v>
      </c>
      <c r="W44" s="77">
        <f t="shared" si="6"/>
        <v>0</v>
      </c>
      <c r="X44" s="77">
        <f t="shared" si="7"/>
        <v>0</v>
      </c>
      <c r="Y44" s="78" t="e">
        <f t="shared" si="8"/>
        <v>#REF!</v>
      </c>
      <c r="Z44" s="54"/>
    </row>
    <row r="45" spans="1:26" ht="12.75" customHeight="1">
      <c r="A45" s="61"/>
      <c r="B45" s="72"/>
      <c r="C45" s="73"/>
      <c r="D45" s="72"/>
      <c r="E45" s="72"/>
      <c r="F45" s="72"/>
      <c r="G45" s="73" t="str">
        <f>+'C - FPU to CVV'!G45</f>
        <v>PSW Bolometer Bias</v>
      </c>
      <c r="H45" s="72">
        <f>+'C - FPU to CVV'!H45</f>
        <v>6</v>
      </c>
      <c r="I45" s="72">
        <f>+'C - FPU to CVV'!I45</f>
        <v>3</v>
      </c>
      <c r="J45" s="72" t="s">
        <v>261</v>
      </c>
      <c r="K45" s="72">
        <f>+RI_BOL_BIAS</f>
        <v>100</v>
      </c>
      <c r="L45" s="72" t="str">
        <f>+CI_BOL_BIAS</f>
        <v>1500pF</v>
      </c>
      <c r="M45" s="72" t="str">
        <f>+LI_BOL_BIAS</f>
        <v>0.08uH</v>
      </c>
      <c r="N45" s="74">
        <f>+'C - FPU to CVV'!N45</f>
        <v>3.8400000000000005E-07</v>
      </c>
      <c r="O45" s="74">
        <f>+'C - FPU to CVV'!O45</f>
        <v>9.600000000000001E-08</v>
      </c>
      <c r="P45" s="75">
        <v>1</v>
      </c>
      <c r="Q45" s="75">
        <v>0</v>
      </c>
      <c r="R45" s="75">
        <v>0</v>
      </c>
      <c r="S45" s="72">
        <f>+'C - FPU to CVV'!S45</f>
        <v>10</v>
      </c>
      <c r="T45" s="76">
        <f>+'C - FPU to CVV'!T45</f>
        <v>0.5</v>
      </c>
      <c r="U45" s="76">
        <f>+'C - FPU to CVV'!U45</f>
        <v>0.3333333333333333</v>
      </c>
      <c r="V45" s="76">
        <f>+'C - FPU to CVV'!V45</f>
        <v>0.16666666666666666</v>
      </c>
      <c r="W45" s="77">
        <f t="shared" si="6"/>
        <v>8.847360000000002E-11</v>
      </c>
      <c r="X45" s="77">
        <f t="shared" si="7"/>
        <v>9.216E-13</v>
      </c>
      <c r="Y45" s="78" t="e">
        <f t="shared" si="8"/>
        <v>#REF!</v>
      </c>
      <c r="Z45" s="54"/>
    </row>
    <row r="46" spans="1:26" ht="12.75" customHeight="1">
      <c r="A46" s="61"/>
      <c r="B46" s="72"/>
      <c r="C46" s="73"/>
      <c r="D46" s="72"/>
      <c r="E46" s="72"/>
      <c r="F46" s="72"/>
      <c r="G46" s="73" t="str">
        <f>+'C - FPU to CVV'!G46</f>
        <v>PSW Heater</v>
      </c>
      <c r="H46" s="72">
        <f>+'C - FPU to CVV'!H46</f>
        <v>6</v>
      </c>
      <c r="I46" s="72">
        <f>+'C - FPU to CVV'!I46</f>
        <v>3</v>
      </c>
      <c r="J46" s="72" t="s">
        <v>261</v>
      </c>
      <c r="K46" s="72">
        <f>+RI_JFET_HEAT</f>
        <v>200</v>
      </c>
      <c r="L46" s="72" t="str">
        <f>+CI_JFET_HEAT</f>
        <v>1500pF</v>
      </c>
      <c r="M46" s="72" t="str">
        <f>+LI_JFET_HEAT</f>
        <v>0.08uH</v>
      </c>
      <c r="N46" s="74">
        <f>+'C - FPU to CVV'!N46</f>
        <v>0.003846153846153847</v>
      </c>
      <c r="O46" s="74">
        <f>+'C - FPU to CVV'!O46</f>
        <v>0.0009615384615384617</v>
      </c>
      <c r="P46" s="75">
        <v>0</v>
      </c>
      <c r="Q46" s="75">
        <v>0</v>
      </c>
      <c r="R46" s="75">
        <v>0</v>
      </c>
      <c r="S46" s="72">
        <f>+'C - FPU to CVV'!S46</f>
        <v>10</v>
      </c>
      <c r="T46" s="97">
        <f>+'C - FPU to CVV'!T46</f>
        <v>0.001736111111111111</v>
      </c>
      <c r="U46" s="76">
        <f>+'C - FPU to CVV'!U46</f>
        <v>0.3333333333333333</v>
      </c>
      <c r="V46" s="76">
        <f>+'C - FPU to CVV'!V46</f>
        <v>0.0005787037037037037</v>
      </c>
      <c r="W46" s="77">
        <f t="shared" si="6"/>
        <v>0.017751479289940832</v>
      </c>
      <c r="X46" s="77">
        <f t="shared" si="7"/>
        <v>6.42052925706772E-07</v>
      </c>
      <c r="Y46" s="78" t="e">
        <f t="shared" si="8"/>
        <v>#REF!</v>
      </c>
      <c r="Z46" s="54"/>
    </row>
    <row r="47" spans="1:26" ht="12.75" customHeight="1">
      <c r="A47" s="61"/>
      <c r="B47" s="72"/>
      <c r="C47" s="73"/>
      <c r="D47" s="72"/>
      <c r="E47" s="72"/>
      <c r="F47" s="72"/>
      <c r="G47" s="73" t="s">
        <v>305</v>
      </c>
      <c r="H47" s="72">
        <v>1</v>
      </c>
      <c r="I47" s="72">
        <v>0</v>
      </c>
      <c r="J47" s="72" t="s">
        <v>196</v>
      </c>
      <c r="K47" s="72">
        <f>+RI_GND</f>
        <v>50</v>
      </c>
      <c r="L47" s="72" t="str">
        <f>+CI_GND</f>
        <v>1500pF</v>
      </c>
      <c r="M47" s="72" t="str">
        <f>+LI_GND</f>
        <v>0.08uH</v>
      </c>
      <c r="N47" s="75">
        <v>0</v>
      </c>
      <c r="O47" s="75">
        <v>0</v>
      </c>
      <c r="P47" s="75">
        <v>0</v>
      </c>
      <c r="Q47" s="75">
        <v>0</v>
      </c>
      <c r="R47" s="75">
        <v>0</v>
      </c>
      <c r="S47" s="72">
        <f>+'C - FPU to CVV'!S47</f>
        <v>10</v>
      </c>
      <c r="T47" s="76">
        <f>+'C - FPU to CVV'!T47</f>
        <v>0.5</v>
      </c>
      <c r="U47" s="76">
        <f>+'C - FPU to CVV'!U47</f>
        <v>0.3333333333333333</v>
      </c>
      <c r="V47" s="76">
        <f>+'C - FPU to CVV'!V47</f>
        <v>0.16666666666666666</v>
      </c>
      <c r="W47" s="77">
        <f t="shared" si="6"/>
        <v>0</v>
      </c>
      <c r="X47" s="77">
        <f t="shared" si="7"/>
        <v>0</v>
      </c>
      <c r="Y47" s="78" t="e">
        <f t="shared" si="8"/>
        <v>#REF!</v>
      </c>
      <c r="Z47" s="54"/>
    </row>
    <row r="48" spans="1:26" ht="12.75" customHeight="1">
      <c r="A48" s="61"/>
      <c r="B48" s="72"/>
      <c r="C48" s="73"/>
      <c r="D48" s="72"/>
      <c r="E48" s="72"/>
      <c r="F48" s="72"/>
      <c r="G48" s="73" t="str">
        <f>+'C - FPU to CVV'!G47</f>
        <v>PMW JFET Bias</v>
      </c>
      <c r="H48" s="72">
        <f>+'C - FPU to CVV'!H47</f>
        <v>8</v>
      </c>
      <c r="I48" s="72">
        <f>+'C - FPU to CVV'!I47</f>
        <v>4</v>
      </c>
      <c r="J48" s="72" t="str">
        <f>+'C - FPU to CVV'!J47</f>
        <v>STP</v>
      </c>
      <c r="K48" s="72">
        <f>+RI_JFET_BIAS</f>
        <v>100</v>
      </c>
      <c r="L48" s="72" t="str">
        <f>+CI_JFET_BIAS</f>
        <v>1500pF</v>
      </c>
      <c r="M48" s="72" t="str">
        <f>+LI_JFET_BIAS</f>
        <v>0.08uH</v>
      </c>
      <c r="N48" s="74">
        <f>+'C - FPU to CVV'!N47</f>
        <v>0.005</v>
      </c>
      <c r="O48" s="74">
        <f>+'C - FPU to CVV'!O47</f>
        <v>0.0012000000000000001</v>
      </c>
      <c r="P48" s="75">
        <v>1</v>
      </c>
      <c r="Q48" s="75">
        <v>0</v>
      </c>
      <c r="R48" s="75">
        <v>0</v>
      </c>
      <c r="S48" s="72">
        <f>+'C - FPU to CVV'!S47</f>
        <v>10</v>
      </c>
      <c r="T48" s="76">
        <f>+'C - FPU to CVV'!T47</f>
        <v>0.5</v>
      </c>
      <c r="U48" s="76">
        <f>+'C - FPU to CVV'!U47</f>
        <v>0.3333333333333333</v>
      </c>
      <c r="V48" s="76">
        <f>+'C - FPU to CVV'!V47</f>
        <v>0.16666666666666666</v>
      </c>
      <c r="W48" s="77">
        <f t="shared" si="6"/>
        <v>0.02</v>
      </c>
      <c r="X48" s="77">
        <f t="shared" si="7"/>
        <v>0.00019200000000000003</v>
      </c>
      <c r="Y48" s="78" t="e">
        <f t="shared" si="8"/>
        <v>#REF!</v>
      </c>
      <c r="Z48" s="54"/>
    </row>
    <row r="49" spans="1:26" ht="12.75" customHeight="1">
      <c r="A49" s="61"/>
      <c r="B49" s="72"/>
      <c r="C49" s="73"/>
      <c r="D49" s="72"/>
      <c r="E49" s="72"/>
      <c r="F49" s="72"/>
      <c r="G49" s="73" t="str">
        <f>+'C - FPU to CVV'!G48</f>
        <v>PMW Bolometer Bias</v>
      </c>
      <c r="H49" s="72">
        <f>+'C - FPU to CVV'!H48</f>
        <v>4</v>
      </c>
      <c r="I49" s="72">
        <f>+'C - FPU to CVV'!I48</f>
        <v>2</v>
      </c>
      <c r="J49" s="72" t="str">
        <f>+'C - FPU to CVV'!J48</f>
        <v>STP</v>
      </c>
      <c r="K49" s="72">
        <f>+RI_BOL_BIAS</f>
        <v>100</v>
      </c>
      <c r="L49" s="72" t="str">
        <f>+CI_BOL_BIAS</f>
        <v>1500pF</v>
      </c>
      <c r="M49" s="72" t="str">
        <f>+LI_BOL_BIAS</f>
        <v>0.08uH</v>
      </c>
      <c r="N49" s="74">
        <f>+'C - FPU to CVV'!N48</f>
        <v>3.8400000000000005E-07</v>
      </c>
      <c r="O49" s="74">
        <f>+'C - FPU to CVV'!O48</f>
        <v>9.600000000000001E-08</v>
      </c>
      <c r="P49" s="75">
        <v>1</v>
      </c>
      <c r="Q49" s="75">
        <v>0</v>
      </c>
      <c r="R49" s="75">
        <v>0</v>
      </c>
      <c r="S49" s="72">
        <f>+'C - FPU to CVV'!S48</f>
        <v>10</v>
      </c>
      <c r="T49" s="76">
        <f>+'C - FPU to CVV'!T48</f>
        <v>0.5</v>
      </c>
      <c r="U49" s="76">
        <f>+'C - FPU to CVV'!U48</f>
        <v>0.3333333333333333</v>
      </c>
      <c r="V49" s="76">
        <f>+'C - FPU to CVV'!V48</f>
        <v>0.16666666666666666</v>
      </c>
      <c r="W49" s="77">
        <f t="shared" si="6"/>
        <v>5.898240000000001E-11</v>
      </c>
      <c r="X49" s="77">
        <f t="shared" si="7"/>
        <v>6.144000000000001E-13</v>
      </c>
      <c r="Y49" s="78" t="e">
        <f aca="true" t="shared" si="9" ref="Y49:Y55">+X49/$X$196</f>
        <v>#REF!</v>
      </c>
      <c r="Z49" s="54"/>
    </row>
    <row r="50" spans="1:26" ht="12.75" customHeight="1">
      <c r="A50" s="61"/>
      <c r="B50" s="72"/>
      <c r="C50" s="73"/>
      <c r="D50" s="72"/>
      <c r="E50" s="72"/>
      <c r="F50" s="72"/>
      <c r="G50" s="73" t="str">
        <f>+'C - FPU to CVV'!G49</f>
        <v>PMW Ground</v>
      </c>
      <c r="H50" s="72">
        <f>+'C - FPU to CVV'!H49</f>
        <v>1</v>
      </c>
      <c r="I50" s="72">
        <f>+'C - FPU to CVV'!I49</f>
        <v>0</v>
      </c>
      <c r="J50" s="72" t="str">
        <f>+'C - FPU to CVV'!J49</f>
        <v>S</v>
      </c>
      <c r="K50" s="72">
        <f>+RI_GND</f>
        <v>50</v>
      </c>
      <c r="L50" s="72" t="str">
        <f>+CI_GND</f>
        <v>1500pF</v>
      </c>
      <c r="M50" s="72" t="str">
        <f>+LI_GND</f>
        <v>0.08uH</v>
      </c>
      <c r="N50" s="75">
        <f>+'C - FPU to CVV'!N49</f>
        <v>0</v>
      </c>
      <c r="O50" s="75">
        <f>+'C - FPU to CVV'!O49</f>
        <v>0</v>
      </c>
      <c r="P50" s="75">
        <v>0</v>
      </c>
      <c r="Q50" s="75">
        <v>0</v>
      </c>
      <c r="R50" s="75">
        <v>0</v>
      </c>
      <c r="S50" s="72">
        <f>+'C - FPU to CVV'!S49</f>
        <v>10</v>
      </c>
      <c r="T50" s="76">
        <f>+'C - FPU to CVV'!T49</f>
        <v>0.5</v>
      </c>
      <c r="U50" s="76">
        <f>+'C - FPU to CVV'!U49</f>
        <v>0.3333333333333333</v>
      </c>
      <c r="V50" s="76">
        <f>+'C - FPU to CVV'!V49</f>
        <v>0.16666666666666666</v>
      </c>
      <c r="W50" s="77">
        <f t="shared" si="6"/>
        <v>0</v>
      </c>
      <c r="X50" s="77">
        <f t="shared" si="7"/>
        <v>0</v>
      </c>
      <c r="Y50" s="78" t="e">
        <f t="shared" si="9"/>
        <v>#REF!</v>
      </c>
      <c r="Z50" s="54"/>
    </row>
    <row r="51" spans="1:26" ht="12.75" customHeight="1">
      <c r="A51" s="61"/>
      <c r="B51" s="72"/>
      <c r="C51" s="73"/>
      <c r="D51" s="72"/>
      <c r="E51" s="72"/>
      <c r="F51" s="72"/>
      <c r="G51" s="73" t="str">
        <f>+'C - FPU to CVV'!G50</f>
        <v>PMW JFET Heater</v>
      </c>
      <c r="H51" s="72">
        <f>+'C - FPU to CVV'!H50</f>
        <v>4</v>
      </c>
      <c r="I51" s="72">
        <f>+'C - FPU to CVV'!I50</f>
        <v>2</v>
      </c>
      <c r="J51" s="72" t="str">
        <f>+'C - FPU to CVV'!J50</f>
        <v>STP</v>
      </c>
      <c r="K51" s="72">
        <f>+RI_JFET_HEAT</f>
        <v>200</v>
      </c>
      <c r="L51" s="72" t="str">
        <f>+CI_JFET_HEAT</f>
        <v>1500pF</v>
      </c>
      <c r="M51" s="72" t="str">
        <f>+LI_JFET_HEAT</f>
        <v>0.08uH</v>
      </c>
      <c r="N51" s="74">
        <f>+'C - FPU to CVV'!N50</f>
        <v>0.0038461538461538464</v>
      </c>
      <c r="O51" s="74">
        <f>+'C - FPU to CVV'!O50</f>
        <v>0.0009615384615384616</v>
      </c>
      <c r="P51" s="75">
        <v>0</v>
      </c>
      <c r="Q51" s="75">
        <v>0</v>
      </c>
      <c r="R51" s="75">
        <v>0</v>
      </c>
      <c r="S51" s="72">
        <f>+'C - FPU to CVV'!S50</f>
        <v>10</v>
      </c>
      <c r="T51" s="97">
        <f>+'C - FPU to CVV'!T50</f>
        <v>0.001736111111111111</v>
      </c>
      <c r="U51" s="76">
        <f>+'C - FPU to CVV'!U50</f>
        <v>0.3333333333333333</v>
      </c>
      <c r="V51" s="76">
        <f>+'C - FPU to CVV'!V50</f>
        <v>0.0005787037037037037</v>
      </c>
      <c r="W51" s="77">
        <f t="shared" si="6"/>
        <v>0.01183431952662722</v>
      </c>
      <c r="X51" s="77">
        <f t="shared" si="7"/>
        <v>4.280352838045146E-07</v>
      </c>
      <c r="Y51" s="78" t="e">
        <f t="shared" si="9"/>
        <v>#REF!</v>
      </c>
      <c r="Z51" s="54"/>
    </row>
    <row r="52" spans="1:26" ht="12.75" customHeight="1">
      <c r="A52" s="61"/>
      <c r="B52" s="72"/>
      <c r="C52" s="73"/>
      <c r="D52" s="72"/>
      <c r="E52" s="72"/>
      <c r="F52" s="72"/>
      <c r="G52" s="73" t="str">
        <f>+'C - FPU to CVV'!G51</f>
        <v>PLW JFET Heater</v>
      </c>
      <c r="H52" s="72">
        <f>+'C - FPU to CVV'!H51</f>
        <v>2</v>
      </c>
      <c r="I52" s="72">
        <f>+'C - FPU to CVV'!I51</f>
        <v>1</v>
      </c>
      <c r="J52" s="72" t="str">
        <f>+'C - FPU to CVV'!J51</f>
        <v>STP</v>
      </c>
      <c r="K52" s="72">
        <f>+RI_JFET_HEAT</f>
        <v>200</v>
      </c>
      <c r="L52" s="72" t="str">
        <f>+CI_JFET_HEAT</f>
        <v>1500pF</v>
      </c>
      <c r="M52" s="72" t="str">
        <f>+LI_JFET_HEAT</f>
        <v>0.08uH</v>
      </c>
      <c r="N52" s="74">
        <f>+'C - FPU to CVV'!N51</f>
        <v>0.0038461538461538464</v>
      </c>
      <c r="O52" s="74">
        <f>+'C - FPU to CVV'!O51</f>
        <v>0.0009615384615384616</v>
      </c>
      <c r="P52" s="75">
        <v>0</v>
      </c>
      <c r="Q52" s="75">
        <v>0</v>
      </c>
      <c r="R52" s="75">
        <v>0</v>
      </c>
      <c r="S52" s="72">
        <f>+'C - FPU to CVV'!S51</f>
        <v>10</v>
      </c>
      <c r="T52" s="97">
        <f>+'C - FPU to CVV'!T51</f>
        <v>0.001736111111111111</v>
      </c>
      <c r="U52" s="76">
        <f>+'C - FPU to CVV'!U51</f>
        <v>0.3333333333333333</v>
      </c>
      <c r="V52" s="76">
        <f>+'C - FPU to CVV'!V51</f>
        <v>0.0005787037037037037</v>
      </c>
      <c r="W52" s="77">
        <f t="shared" si="6"/>
        <v>0.00591715976331361</v>
      </c>
      <c r="X52" s="77">
        <f t="shared" si="7"/>
        <v>2.140176419022573E-07</v>
      </c>
      <c r="Y52" s="78" t="e">
        <f t="shared" si="9"/>
        <v>#REF!</v>
      </c>
      <c r="Z52" s="54"/>
    </row>
    <row r="53" spans="1:26" ht="12.75" customHeight="1">
      <c r="A53" s="61"/>
      <c r="B53" s="72"/>
      <c r="C53" s="73"/>
      <c r="D53" s="72"/>
      <c r="E53" s="72"/>
      <c r="F53" s="72"/>
      <c r="G53" s="73" t="str">
        <f>+'C - FPU to CVV'!G52</f>
        <v>PLW JFET Bias</v>
      </c>
      <c r="H53" s="72">
        <f>+'C - FPU to CVV'!H52</f>
        <v>4</v>
      </c>
      <c r="I53" s="72">
        <f>+'C - FPU to CVV'!I52</f>
        <v>2</v>
      </c>
      <c r="J53" s="72" t="str">
        <f>+'C - FPU to CVV'!J52</f>
        <v>STP</v>
      </c>
      <c r="K53" s="72">
        <f>+RI_JFET_BIAS</f>
        <v>100</v>
      </c>
      <c r="L53" s="72" t="str">
        <f>+CI_JFET_BIAS</f>
        <v>1500pF</v>
      </c>
      <c r="M53" s="72" t="str">
        <f>+LI_JFET_BIAS</f>
        <v>0.08uH</v>
      </c>
      <c r="N53" s="74">
        <f>+'C - FPU to CVV'!N52</f>
        <v>0.005</v>
      </c>
      <c r="O53" s="74">
        <f>+'C - FPU to CVV'!O52</f>
        <v>0.0012000000000000001</v>
      </c>
      <c r="P53" s="75">
        <v>1</v>
      </c>
      <c r="Q53" s="75">
        <v>0</v>
      </c>
      <c r="R53" s="75">
        <v>0</v>
      </c>
      <c r="S53" s="72">
        <f>+'C - FPU to CVV'!S52</f>
        <v>10</v>
      </c>
      <c r="T53" s="76">
        <f>+'C - FPU to CVV'!T52</f>
        <v>0.5</v>
      </c>
      <c r="U53" s="76">
        <f>+'C - FPU to CVV'!U52</f>
        <v>0.3333333333333333</v>
      </c>
      <c r="V53" s="76">
        <f>+'C - FPU to CVV'!V52</f>
        <v>0.16666666666666666</v>
      </c>
      <c r="W53" s="77">
        <f t="shared" si="6"/>
        <v>0.01</v>
      </c>
      <c r="X53" s="77">
        <f t="shared" si="7"/>
        <v>9.600000000000002E-05</v>
      </c>
      <c r="Y53" s="78" t="e">
        <f t="shared" si="9"/>
        <v>#REF!</v>
      </c>
      <c r="Z53" s="54"/>
    </row>
    <row r="54" spans="1:26" ht="12.75" customHeight="1">
      <c r="A54" s="61"/>
      <c r="B54" s="72"/>
      <c r="C54" s="73"/>
      <c r="D54" s="72"/>
      <c r="E54" s="72"/>
      <c r="F54" s="72"/>
      <c r="G54" s="73" t="str">
        <f>+'C - FPU to CVV'!G53</f>
        <v>PLW Bolometer Bias</v>
      </c>
      <c r="H54" s="72">
        <f>+'C - FPU to CVV'!H53</f>
        <v>4</v>
      </c>
      <c r="I54" s="72">
        <f>+'C - FPU to CVV'!I53</f>
        <v>2</v>
      </c>
      <c r="J54" s="72" t="str">
        <f>+'C - FPU to CVV'!J53</f>
        <v>STP</v>
      </c>
      <c r="K54" s="72">
        <f>+RI_BOL_BIAS</f>
        <v>100</v>
      </c>
      <c r="L54" s="72" t="str">
        <f>+CI_BOL_BIAS</f>
        <v>1500pF</v>
      </c>
      <c r="M54" s="72" t="str">
        <f>+LI_BOL_BIAS</f>
        <v>0.08uH</v>
      </c>
      <c r="N54" s="74">
        <f>+'C - FPU to CVV'!N53</f>
        <v>1.9200000000000003E-07</v>
      </c>
      <c r="O54" s="74">
        <f>+'C - FPU to CVV'!O53</f>
        <v>4.8000000000000006E-08</v>
      </c>
      <c r="P54" s="75">
        <v>1</v>
      </c>
      <c r="Q54" s="75">
        <v>0</v>
      </c>
      <c r="R54" s="75">
        <v>0</v>
      </c>
      <c r="S54" s="72">
        <f>+'C - FPU to CVV'!S53</f>
        <v>10</v>
      </c>
      <c r="T54" s="76">
        <f>+'C - FPU to CVV'!T53</f>
        <v>0.5</v>
      </c>
      <c r="U54" s="76">
        <f>+'C - FPU to CVV'!U53</f>
        <v>0.3333333333333333</v>
      </c>
      <c r="V54" s="76">
        <f>+'C - FPU to CVV'!V53</f>
        <v>0.16666666666666666</v>
      </c>
      <c r="W54" s="77">
        <f t="shared" si="6"/>
        <v>1.4745600000000004E-11</v>
      </c>
      <c r="X54" s="77">
        <f t="shared" si="7"/>
        <v>1.5360000000000002E-13</v>
      </c>
      <c r="Y54" s="78" t="e">
        <f t="shared" si="9"/>
        <v>#REF!</v>
      </c>
      <c r="Z54" s="54"/>
    </row>
    <row r="55" spans="1:26" ht="12.75" customHeight="1">
      <c r="A55" s="61"/>
      <c r="B55" s="65"/>
      <c r="C55" s="66"/>
      <c r="D55" s="65"/>
      <c r="E55" s="65"/>
      <c r="F55" s="65"/>
      <c r="G55" s="66" t="str">
        <f>+'C - FPU to CVV'!G54</f>
        <v>PLW Ground</v>
      </c>
      <c r="H55" s="65">
        <f>+'C - FPU to CVV'!H54</f>
        <v>1</v>
      </c>
      <c r="I55" s="65">
        <f>+'C - FPU to CVV'!I54</f>
        <v>0</v>
      </c>
      <c r="J55" s="65" t="str">
        <f>+'C - FPU to CVV'!J54</f>
        <v>S</v>
      </c>
      <c r="K55" s="65">
        <f>+RI_GND</f>
        <v>50</v>
      </c>
      <c r="L55" s="65" t="str">
        <f>+CI_GND</f>
        <v>1500pF</v>
      </c>
      <c r="M55" s="65" t="str">
        <f>+LI_GND</f>
        <v>0.08uH</v>
      </c>
      <c r="N55" s="67">
        <f>+'C - FPU to CVV'!N54</f>
        <v>0</v>
      </c>
      <c r="O55" s="67">
        <f>+'C - FPU to CVV'!O54</f>
        <v>0</v>
      </c>
      <c r="P55" s="67">
        <v>0</v>
      </c>
      <c r="Q55" s="67">
        <v>0</v>
      </c>
      <c r="R55" s="67">
        <v>0</v>
      </c>
      <c r="S55" s="65">
        <f>+'C - FPU to CVV'!S54</f>
        <v>10</v>
      </c>
      <c r="T55" s="69">
        <f>+'C - FPU to CVV'!T54</f>
        <v>0.5</v>
      </c>
      <c r="U55" s="69">
        <f>+'C - FPU to CVV'!U54</f>
        <v>0.3333333333333333</v>
      </c>
      <c r="V55" s="69">
        <f>+'C - FPU to CVV'!V54</f>
        <v>0.16666666666666666</v>
      </c>
      <c r="W55" s="70">
        <f t="shared" si="6"/>
        <v>0</v>
      </c>
      <c r="X55" s="70">
        <f t="shared" si="7"/>
        <v>0</v>
      </c>
      <c r="Y55" s="71" t="e">
        <f t="shared" si="9"/>
        <v>#REF!</v>
      </c>
      <c r="Z55" s="54"/>
    </row>
    <row r="56" spans="1:26" ht="12.75" customHeight="1">
      <c r="A56" s="61"/>
      <c r="B56" s="72"/>
      <c r="C56" s="73" t="s">
        <v>260</v>
      </c>
      <c r="D56" s="72" t="s">
        <v>733</v>
      </c>
      <c r="E56" s="72" t="s">
        <v>734</v>
      </c>
      <c r="F56" s="72" t="s">
        <v>739</v>
      </c>
      <c r="G56" s="73" t="str">
        <f>+G43</f>
        <v>PSW JFET Bias</v>
      </c>
      <c r="H56" s="72">
        <f aca="true" t="shared" si="10" ref="H56:Y56">+H43</f>
        <v>12</v>
      </c>
      <c r="I56" s="72">
        <f t="shared" si="10"/>
        <v>6</v>
      </c>
      <c r="J56" s="72" t="str">
        <f t="shared" si="10"/>
        <v>STP</v>
      </c>
      <c r="K56" s="72">
        <f t="shared" si="10"/>
        <v>100</v>
      </c>
      <c r="L56" s="72" t="str">
        <f t="shared" si="10"/>
        <v>1500pF</v>
      </c>
      <c r="M56" s="72" t="str">
        <f t="shared" si="10"/>
        <v>0.08uH</v>
      </c>
      <c r="N56" s="74">
        <f t="shared" si="10"/>
        <v>0.005</v>
      </c>
      <c r="O56" s="74">
        <f t="shared" si="10"/>
        <v>0.0012000000000000001</v>
      </c>
      <c r="P56" s="75">
        <v>0</v>
      </c>
      <c r="Q56" s="75">
        <v>0</v>
      </c>
      <c r="R56" s="75">
        <v>0</v>
      </c>
      <c r="S56" s="72">
        <f aca="true" t="shared" si="11" ref="S56:S68">+S43</f>
        <v>10</v>
      </c>
      <c r="T56" s="76">
        <f t="shared" si="10"/>
        <v>0.5</v>
      </c>
      <c r="U56" s="76">
        <f t="shared" si="10"/>
        <v>0.3333333333333333</v>
      </c>
      <c r="V56" s="76">
        <f t="shared" si="10"/>
        <v>0.16666666666666666</v>
      </c>
      <c r="W56" s="77">
        <f t="shared" si="10"/>
        <v>0.03</v>
      </c>
      <c r="X56" s="77">
        <f t="shared" si="10"/>
        <v>0.00028800000000000006</v>
      </c>
      <c r="Y56" s="78" t="e">
        <f t="shared" si="10"/>
        <v>#REF!</v>
      </c>
      <c r="Z56" s="54"/>
    </row>
    <row r="57" spans="1:26" ht="12.75" customHeight="1">
      <c r="A57" s="61"/>
      <c r="B57" s="72"/>
      <c r="C57" s="73"/>
      <c r="D57" s="72"/>
      <c r="E57" s="72"/>
      <c r="F57" s="72"/>
      <c r="G57" s="73" t="str">
        <f aca="true" t="shared" si="12" ref="G57:X60">+G44</f>
        <v>PSW Ground</v>
      </c>
      <c r="H57" s="72">
        <f t="shared" si="12"/>
        <v>1</v>
      </c>
      <c r="I57" s="72">
        <f t="shared" si="12"/>
        <v>0</v>
      </c>
      <c r="J57" s="72" t="str">
        <f t="shared" si="12"/>
        <v>S</v>
      </c>
      <c r="K57" s="72">
        <f t="shared" si="12"/>
        <v>50</v>
      </c>
      <c r="L57" s="72" t="str">
        <f t="shared" si="12"/>
        <v>1500pF</v>
      </c>
      <c r="M57" s="72" t="str">
        <f t="shared" si="12"/>
        <v>0.08uH</v>
      </c>
      <c r="N57" s="74">
        <f t="shared" si="12"/>
        <v>0</v>
      </c>
      <c r="O57" s="74">
        <f t="shared" si="12"/>
        <v>0</v>
      </c>
      <c r="P57" s="75">
        <v>0</v>
      </c>
      <c r="Q57" s="75">
        <v>0</v>
      </c>
      <c r="R57" s="75">
        <v>0</v>
      </c>
      <c r="S57" s="72">
        <f t="shared" si="11"/>
        <v>10</v>
      </c>
      <c r="T57" s="76">
        <f t="shared" si="12"/>
        <v>0.5</v>
      </c>
      <c r="U57" s="76">
        <f t="shared" si="12"/>
        <v>0.3333333333333333</v>
      </c>
      <c r="V57" s="76">
        <f t="shared" si="12"/>
        <v>0.16666666666666666</v>
      </c>
      <c r="W57" s="77">
        <f t="shared" si="12"/>
        <v>0</v>
      </c>
      <c r="X57" s="77">
        <f t="shared" si="12"/>
        <v>0</v>
      </c>
      <c r="Y57" s="78" t="e">
        <f aca="true" t="shared" si="13" ref="Y57:Y68">+Y44</f>
        <v>#REF!</v>
      </c>
      <c r="Z57" s="54"/>
    </row>
    <row r="58" spans="1:26" ht="12.75" customHeight="1">
      <c r="A58" s="61"/>
      <c r="B58" s="72"/>
      <c r="C58" s="73"/>
      <c r="D58" s="72"/>
      <c r="E58" s="72"/>
      <c r="F58" s="72"/>
      <c r="G58" s="73" t="str">
        <f t="shared" si="12"/>
        <v>PSW Bolometer Bias</v>
      </c>
      <c r="H58" s="72">
        <f t="shared" si="12"/>
        <v>6</v>
      </c>
      <c r="I58" s="72">
        <f t="shared" si="12"/>
        <v>3</v>
      </c>
      <c r="J58" s="72" t="str">
        <f t="shared" si="12"/>
        <v>STP</v>
      </c>
      <c r="K58" s="72">
        <f t="shared" si="12"/>
        <v>100</v>
      </c>
      <c r="L58" s="72" t="str">
        <f t="shared" si="12"/>
        <v>1500pF</v>
      </c>
      <c r="M58" s="72" t="str">
        <f t="shared" si="12"/>
        <v>0.08uH</v>
      </c>
      <c r="N58" s="96">
        <f t="shared" si="12"/>
        <v>3.8400000000000005E-07</v>
      </c>
      <c r="O58" s="96">
        <f t="shared" si="12"/>
        <v>9.600000000000001E-08</v>
      </c>
      <c r="P58" s="75">
        <v>0</v>
      </c>
      <c r="Q58" s="75">
        <v>0</v>
      </c>
      <c r="R58" s="75">
        <v>0</v>
      </c>
      <c r="S58" s="72">
        <f t="shared" si="11"/>
        <v>10</v>
      </c>
      <c r="T58" s="76">
        <f t="shared" si="12"/>
        <v>0.5</v>
      </c>
      <c r="U58" s="76">
        <f t="shared" si="12"/>
        <v>0.3333333333333333</v>
      </c>
      <c r="V58" s="76">
        <f t="shared" si="12"/>
        <v>0.16666666666666666</v>
      </c>
      <c r="W58" s="77">
        <f t="shared" si="12"/>
        <v>8.847360000000002E-11</v>
      </c>
      <c r="X58" s="77">
        <f t="shared" si="12"/>
        <v>9.216E-13</v>
      </c>
      <c r="Y58" s="78" t="e">
        <f t="shared" si="13"/>
        <v>#REF!</v>
      </c>
      <c r="Z58" s="54"/>
    </row>
    <row r="59" spans="1:26" ht="12.75" customHeight="1">
      <c r="A59" s="61"/>
      <c r="B59" s="72"/>
      <c r="C59" s="73"/>
      <c r="D59" s="72"/>
      <c r="E59" s="72"/>
      <c r="F59" s="72"/>
      <c r="G59" s="73" t="str">
        <f t="shared" si="12"/>
        <v>PSW Heater</v>
      </c>
      <c r="H59" s="72">
        <f t="shared" si="12"/>
        <v>6</v>
      </c>
      <c r="I59" s="72">
        <f t="shared" si="12"/>
        <v>3</v>
      </c>
      <c r="J59" s="72" t="str">
        <f t="shared" si="12"/>
        <v>STP</v>
      </c>
      <c r="K59" s="72">
        <f t="shared" si="12"/>
        <v>200</v>
      </c>
      <c r="L59" s="72" t="str">
        <f t="shared" si="12"/>
        <v>1500pF</v>
      </c>
      <c r="M59" s="72" t="str">
        <f t="shared" si="12"/>
        <v>0.08uH</v>
      </c>
      <c r="N59" s="74">
        <f t="shared" si="12"/>
        <v>0.003846153846153847</v>
      </c>
      <c r="O59" s="74">
        <f t="shared" si="12"/>
        <v>0.0009615384615384617</v>
      </c>
      <c r="P59" s="75">
        <v>0</v>
      </c>
      <c r="Q59" s="75">
        <v>0</v>
      </c>
      <c r="R59" s="75">
        <v>0</v>
      </c>
      <c r="S59" s="72">
        <f t="shared" si="11"/>
        <v>10</v>
      </c>
      <c r="T59" s="76">
        <f t="shared" si="12"/>
        <v>0.001736111111111111</v>
      </c>
      <c r="U59" s="76">
        <f t="shared" si="12"/>
        <v>0.3333333333333333</v>
      </c>
      <c r="V59" s="76">
        <f t="shared" si="12"/>
        <v>0.0005787037037037037</v>
      </c>
      <c r="W59" s="77">
        <f t="shared" si="12"/>
        <v>0.017751479289940832</v>
      </c>
      <c r="X59" s="77">
        <f t="shared" si="12"/>
        <v>6.42052925706772E-07</v>
      </c>
      <c r="Y59" s="78" t="e">
        <f t="shared" si="13"/>
        <v>#REF!</v>
      </c>
      <c r="Z59" s="54"/>
    </row>
    <row r="60" spans="1:26" ht="12.75" customHeight="1">
      <c r="A60" s="61"/>
      <c r="B60" s="72"/>
      <c r="C60" s="73"/>
      <c r="D60" s="72"/>
      <c r="E60" s="72"/>
      <c r="F60" s="72"/>
      <c r="G60" s="73" t="str">
        <f t="shared" si="12"/>
        <v>FPU Faraday Shield Link</v>
      </c>
      <c r="H60" s="72">
        <f t="shared" si="12"/>
        <v>1</v>
      </c>
      <c r="I60" s="72">
        <f t="shared" si="12"/>
        <v>0</v>
      </c>
      <c r="J60" s="72" t="str">
        <f t="shared" si="12"/>
        <v>S</v>
      </c>
      <c r="K60" s="72">
        <f t="shared" si="12"/>
        <v>50</v>
      </c>
      <c r="L60" s="72" t="str">
        <f t="shared" si="12"/>
        <v>1500pF</v>
      </c>
      <c r="M60" s="72" t="str">
        <f t="shared" si="12"/>
        <v>0.08uH</v>
      </c>
      <c r="N60" s="96">
        <f t="shared" si="12"/>
        <v>0</v>
      </c>
      <c r="O60" s="96">
        <f t="shared" si="12"/>
        <v>0</v>
      </c>
      <c r="P60" s="75">
        <v>0</v>
      </c>
      <c r="Q60" s="75">
        <v>0</v>
      </c>
      <c r="R60" s="75">
        <v>0</v>
      </c>
      <c r="S60" s="98">
        <f t="shared" si="11"/>
        <v>10</v>
      </c>
      <c r="T60" s="99">
        <f t="shared" si="12"/>
        <v>0.5</v>
      </c>
      <c r="U60" s="99">
        <f t="shared" si="12"/>
        <v>0.3333333333333333</v>
      </c>
      <c r="V60" s="99">
        <f t="shared" si="12"/>
        <v>0.16666666666666666</v>
      </c>
      <c r="W60" s="77">
        <f t="shared" si="12"/>
        <v>0</v>
      </c>
      <c r="X60" s="77">
        <f t="shared" si="12"/>
        <v>0</v>
      </c>
      <c r="Y60" s="78" t="e">
        <f t="shared" si="13"/>
        <v>#REF!</v>
      </c>
      <c r="Z60" s="54"/>
    </row>
    <row r="61" spans="1:26" ht="12.75" customHeight="1">
      <c r="A61" s="61"/>
      <c r="B61" s="72"/>
      <c r="C61" s="73"/>
      <c r="D61" s="72"/>
      <c r="E61" s="72"/>
      <c r="F61" s="72"/>
      <c r="G61" s="73" t="str">
        <f>+G48</f>
        <v>PMW JFET Bias</v>
      </c>
      <c r="H61" s="72">
        <f aca="true" t="shared" si="14" ref="H61:X61">+H48</f>
        <v>8</v>
      </c>
      <c r="I61" s="72">
        <f t="shared" si="14"/>
        <v>4</v>
      </c>
      <c r="J61" s="72" t="str">
        <f t="shared" si="14"/>
        <v>STP</v>
      </c>
      <c r="K61" s="72">
        <f t="shared" si="14"/>
        <v>100</v>
      </c>
      <c r="L61" s="72" t="str">
        <f t="shared" si="14"/>
        <v>1500pF</v>
      </c>
      <c r="M61" s="72" t="str">
        <f t="shared" si="14"/>
        <v>0.08uH</v>
      </c>
      <c r="N61" s="74">
        <f t="shared" si="14"/>
        <v>0.005</v>
      </c>
      <c r="O61" s="74">
        <f t="shared" si="14"/>
        <v>0.0012000000000000001</v>
      </c>
      <c r="P61" s="75">
        <v>0</v>
      </c>
      <c r="Q61" s="75">
        <v>0</v>
      </c>
      <c r="R61" s="75">
        <v>0</v>
      </c>
      <c r="S61" s="72">
        <f t="shared" si="11"/>
        <v>10</v>
      </c>
      <c r="T61" s="76">
        <f t="shared" si="14"/>
        <v>0.5</v>
      </c>
      <c r="U61" s="76">
        <f t="shared" si="14"/>
        <v>0.3333333333333333</v>
      </c>
      <c r="V61" s="76">
        <f t="shared" si="14"/>
        <v>0.16666666666666666</v>
      </c>
      <c r="W61" s="77">
        <f t="shared" si="14"/>
        <v>0.02</v>
      </c>
      <c r="X61" s="77">
        <f t="shared" si="14"/>
        <v>0.00019200000000000003</v>
      </c>
      <c r="Y61" s="78" t="e">
        <f t="shared" si="13"/>
        <v>#REF!</v>
      </c>
      <c r="Z61" s="54"/>
    </row>
    <row r="62" spans="1:26" ht="12.75" customHeight="1">
      <c r="A62" s="61"/>
      <c r="B62" s="72"/>
      <c r="C62" s="73"/>
      <c r="D62" s="72"/>
      <c r="E62" s="72"/>
      <c r="F62" s="72"/>
      <c r="G62" s="73" t="str">
        <f aca="true" t="shared" si="15" ref="G62:X68">+G49</f>
        <v>PMW Bolometer Bias</v>
      </c>
      <c r="H62" s="72">
        <f t="shared" si="15"/>
        <v>4</v>
      </c>
      <c r="I62" s="72">
        <f t="shared" si="15"/>
        <v>2</v>
      </c>
      <c r="J62" s="72" t="str">
        <f t="shared" si="15"/>
        <v>STP</v>
      </c>
      <c r="K62" s="72">
        <f t="shared" si="15"/>
        <v>100</v>
      </c>
      <c r="L62" s="72" t="str">
        <f t="shared" si="15"/>
        <v>1500pF</v>
      </c>
      <c r="M62" s="72" t="str">
        <f t="shared" si="15"/>
        <v>0.08uH</v>
      </c>
      <c r="N62" s="74">
        <f t="shared" si="15"/>
        <v>3.8400000000000005E-07</v>
      </c>
      <c r="O62" s="74">
        <f t="shared" si="15"/>
        <v>9.600000000000001E-08</v>
      </c>
      <c r="P62" s="75">
        <v>0</v>
      </c>
      <c r="Q62" s="75">
        <v>0</v>
      </c>
      <c r="R62" s="75">
        <v>0</v>
      </c>
      <c r="S62" s="72">
        <f t="shared" si="11"/>
        <v>10</v>
      </c>
      <c r="T62" s="76">
        <f t="shared" si="15"/>
        <v>0.5</v>
      </c>
      <c r="U62" s="76">
        <f t="shared" si="15"/>
        <v>0.3333333333333333</v>
      </c>
      <c r="V62" s="76">
        <f t="shared" si="15"/>
        <v>0.16666666666666666</v>
      </c>
      <c r="W62" s="77">
        <f t="shared" si="15"/>
        <v>5.898240000000001E-11</v>
      </c>
      <c r="X62" s="77">
        <f t="shared" si="15"/>
        <v>6.144000000000001E-13</v>
      </c>
      <c r="Y62" s="78" t="e">
        <f t="shared" si="13"/>
        <v>#REF!</v>
      </c>
      <c r="Z62" s="54"/>
    </row>
    <row r="63" spans="1:26" ht="12.75" customHeight="1">
      <c r="A63" s="61"/>
      <c r="B63" s="72"/>
      <c r="C63" s="73"/>
      <c r="D63" s="72"/>
      <c r="E63" s="72"/>
      <c r="F63" s="72"/>
      <c r="G63" s="73" t="str">
        <f t="shared" si="15"/>
        <v>PMW Ground</v>
      </c>
      <c r="H63" s="72">
        <f t="shared" si="15"/>
        <v>1</v>
      </c>
      <c r="I63" s="72">
        <f t="shared" si="15"/>
        <v>0</v>
      </c>
      <c r="J63" s="72" t="str">
        <f t="shared" si="15"/>
        <v>S</v>
      </c>
      <c r="K63" s="72">
        <f t="shared" si="15"/>
        <v>50</v>
      </c>
      <c r="L63" s="72" t="str">
        <f t="shared" si="15"/>
        <v>1500pF</v>
      </c>
      <c r="M63" s="72" t="str">
        <f t="shared" si="15"/>
        <v>0.08uH</v>
      </c>
      <c r="N63" s="75">
        <f t="shared" si="15"/>
        <v>0</v>
      </c>
      <c r="O63" s="75">
        <f t="shared" si="15"/>
        <v>0</v>
      </c>
      <c r="P63" s="75">
        <v>0</v>
      </c>
      <c r="Q63" s="75">
        <v>0</v>
      </c>
      <c r="R63" s="75">
        <v>0</v>
      </c>
      <c r="S63" s="72">
        <f t="shared" si="11"/>
        <v>10</v>
      </c>
      <c r="T63" s="76">
        <f t="shared" si="15"/>
        <v>0.5</v>
      </c>
      <c r="U63" s="76">
        <f t="shared" si="15"/>
        <v>0.3333333333333333</v>
      </c>
      <c r="V63" s="76">
        <f t="shared" si="15"/>
        <v>0.16666666666666666</v>
      </c>
      <c r="W63" s="77">
        <f t="shared" si="15"/>
        <v>0</v>
      </c>
      <c r="X63" s="77">
        <f t="shared" si="15"/>
        <v>0</v>
      </c>
      <c r="Y63" s="78" t="e">
        <f t="shared" si="13"/>
        <v>#REF!</v>
      </c>
      <c r="Z63" s="54"/>
    </row>
    <row r="64" spans="1:26" ht="12.75" customHeight="1">
      <c r="A64" s="61"/>
      <c r="B64" s="72"/>
      <c r="C64" s="73"/>
      <c r="D64" s="72"/>
      <c r="E64" s="72"/>
      <c r="F64" s="72"/>
      <c r="G64" s="73" t="str">
        <f t="shared" si="15"/>
        <v>PMW JFET Heater</v>
      </c>
      <c r="H64" s="72">
        <f t="shared" si="15"/>
        <v>4</v>
      </c>
      <c r="I64" s="72">
        <f t="shared" si="15"/>
        <v>2</v>
      </c>
      <c r="J64" s="72" t="str">
        <f t="shared" si="15"/>
        <v>STP</v>
      </c>
      <c r="K64" s="72">
        <f t="shared" si="15"/>
        <v>200</v>
      </c>
      <c r="L64" s="72" t="str">
        <f t="shared" si="15"/>
        <v>1500pF</v>
      </c>
      <c r="M64" s="72" t="str">
        <f t="shared" si="15"/>
        <v>0.08uH</v>
      </c>
      <c r="N64" s="74">
        <f t="shared" si="15"/>
        <v>0.0038461538461538464</v>
      </c>
      <c r="O64" s="74">
        <f t="shared" si="15"/>
        <v>0.0009615384615384616</v>
      </c>
      <c r="P64" s="75">
        <v>0</v>
      </c>
      <c r="Q64" s="75">
        <v>0</v>
      </c>
      <c r="R64" s="75">
        <v>0</v>
      </c>
      <c r="S64" s="72">
        <f t="shared" si="11"/>
        <v>10</v>
      </c>
      <c r="T64" s="76">
        <f t="shared" si="15"/>
        <v>0.001736111111111111</v>
      </c>
      <c r="U64" s="76">
        <f t="shared" si="15"/>
        <v>0.3333333333333333</v>
      </c>
      <c r="V64" s="76">
        <f t="shared" si="15"/>
        <v>0.0005787037037037037</v>
      </c>
      <c r="W64" s="77">
        <f t="shared" si="15"/>
        <v>0.01183431952662722</v>
      </c>
      <c r="X64" s="77">
        <f t="shared" si="15"/>
        <v>4.280352838045146E-07</v>
      </c>
      <c r="Y64" s="78" t="e">
        <f t="shared" si="13"/>
        <v>#REF!</v>
      </c>
      <c r="Z64" s="54"/>
    </row>
    <row r="65" spans="1:26" ht="12.75" customHeight="1">
      <c r="A65" s="61"/>
      <c r="B65" s="72"/>
      <c r="C65" s="73"/>
      <c r="D65" s="72"/>
      <c r="E65" s="72"/>
      <c r="F65" s="72"/>
      <c r="G65" s="73" t="str">
        <f t="shared" si="15"/>
        <v>PLW JFET Heater</v>
      </c>
      <c r="H65" s="72">
        <f t="shared" si="15"/>
        <v>2</v>
      </c>
      <c r="I65" s="72">
        <f t="shared" si="15"/>
        <v>1</v>
      </c>
      <c r="J65" s="72" t="str">
        <f t="shared" si="15"/>
        <v>STP</v>
      </c>
      <c r="K65" s="72">
        <f t="shared" si="15"/>
        <v>200</v>
      </c>
      <c r="L65" s="72" t="str">
        <f t="shared" si="15"/>
        <v>1500pF</v>
      </c>
      <c r="M65" s="72" t="str">
        <f t="shared" si="15"/>
        <v>0.08uH</v>
      </c>
      <c r="N65" s="74">
        <f t="shared" si="15"/>
        <v>0.0038461538461538464</v>
      </c>
      <c r="O65" s="74">
        <f t="shared" si="15"/>
        <v>0.0009615384615384616</v>
      </c>
      <c r="P65" s="75">
        <v>0</v>
      </c>
      <c r="Q65" s="75">
        <v>0</v>
      </c>
      <c r="R65" s="75">
        <v>0</v>
      </c>
      <c r="S65" s="72">
        <f t="shared" si="11"/>
        <v>10</v>
      </c>
      <c r="T65" s="76">
        <f t="shared" si="15"/>
        <v>0.001736111111111111</v>
      </c>
      <c r="U65" s="76">
        <f t="shared" si="15"/>
        <v>0.3333333333333333</v>
      </c>
      <c r="V65" s="76">
        <f t="shared" si="15"/>
        <v>0.0005787037037037037</v>
      </c>
      <c r="W65" s="77">
        <f t="shared" si="15"/>
        <v>0.00591715976331361</v>
      </c>
      <c r="X65" s="77">
        <f t="shared" si="15"/>
        <v>2.140176419022573E-07</v>
      </c>
      <c r="Y65" s="78" t="e">
        <f t="shared" si="13"/>
        <v>#REF!</v>
      </c>
      <c r="Z65" s="54"/>
    </row>
    <row r="66" spans="1:26" ht="12.75" customHeight="1">
      <c r="A66" s="61"/>
      <c r="B66" s="72"/>
      <c r="C66" s="73"/>
      <c r="D66" s="72"/>
      <c r="E66" s="72"/>
      <c r="F66" s="72"/>
      <c r="G66" s="73" t="str">
        <f t="shared" si="15"/>
        <v>PLW JFET Bias</v>
      </c>
      <c r="H66" s="72">
        <f t="shared" si="15"/>
        <v>4</v>
      </c>
      <c r="I66" s="72">
        <f t="shared" si="15"/>
        <v>2</v>
      </c>
      <c r="J66" s="72" t="str">
        <f t="shared" si="15"/>
        <v>STP</v>
      </c>
      <c r="K66" s="72">
        <f t="shared" si="15"/>
        <v>100</v>
      </c>
      <c r="L66" s="72" t="str">
        <f t="shared" si="15"/>
        <v>1500pF</v>
      </c>
      <c r="M66" s="72" t="str">
        <f t="shared" si="15"/>
        <v>0.08uH</v>
      </c>
      <c r="N66" s="74">
        <f t="shared" si="15"/>
        <v>0.005</v>
      </c>
      <c r="O66" s="74">
        <f t="shared" si="15"/>
        <v>0.0012000000000000001</v>
      </c>
      <c r="P66" s="75">
        <v>0</v>
      </c>
      <c r="Q66" s="75">
        <v>0</v>
      </c>
      <c r="R66" s="75">
        <v>0</v>
      </c>
      <c r="S66" s="72">
        <f t="shared" si="11"/>
        <v>10</v>
      </c>
      <c r="T66" s="76">
        <f t="shared" si="15"/>
        <v>0.5</v>
      </c>
      <c r="U66" s="76">
        <f t="shared" si="15"/>
        <v>0.3333333333333333</v>
      </c>
      <c r="V66" s="76">
        <f t="shared" si="15"/>
        <v>0.16666666666666666</v>
      </c>
      <c r="W66" s="77">
        <f t="shared" si="15"/>
        <v>0.01</v>
      </c>
      <c r="X66" s="77">
        <f t="shared" si="15"/>
        <v>9.600000000000002E-05</v>
      </c>
      <c r="Y66" s="78" t="e">
        <f t="shared" si="13"/>
        <v>#REF!</v>
      </c>
      <c r="Z66" s="54"/>
    </row>
    <row r="67" spans="1:26" ht="12.75" customHeight="1">
      <c r="A67" s="61"/>
      <c r="B67" s="72"/>
      <c r="C67" s="73"/>
      <c r="D67" s="72"/>
      <c r="E67" s="72"/>
      <c r="F67" s="72"/>
      <c r="G67" s="73" t="str">
        <f t="shared" si="15"/>
        <v>PLW Bolometer Bias</v>
      </c>
      <c r="H67" s="72">
        <f t="shared" si="15"/>
        <v>4</v>
      </c>
      <c r="I67" s="72">
        <f t="shared" si="15"/>
        <v>2</v>
      </c>
      <c r="J67" s="72" t="str">
        <f t="shared" si="15"/>
        <v>STP</v>
      </c>
      <c r="K67" s="72">
        <f t="shared" si="15"/>
        <v>100</v>
      </c>
      <c r="L67" s="72" t="str">
        <f t="shared" si="15"/>
        <v>1500pF</v>
      </c>
      <c r="M67" s="72" t="str">
        <f t="shared" si="15"/>
        <v>0.08uH</v>
      </c>
      <c r="N67" s="74">
        <f t="shared" si="15"/>
        <v>1.9200000000000003E-07</v>
      </c>
      <c r="O67" s="74">
        <f t="shared" si="15"/>
        <v>4.8000000000000006E-08</v>
      </c>
      <c r="P67" s="75">
        <v>0</v>
      </c>
      <c r="Q67" s="75">
        <v>0</v>
      </c>
      <c r="R67" s="75">
        <v>0</v>
      </c>
      <c r="S67" s="72">
        <f t="shared" si="11"/>
        <v>10</v>
      </c>
      <c r="T67" s="76">
        <f t="shared" si="15"/>
        <v>0.5</v>
      </c>
      <c r="U67" s="76">
        <f t="shared" si="15"/>
        <v>0.3333333333333333</v>
      </c>
      <c r="V67" s="76">
        <f t="shared" si="15"/>
        <v>0.16666666666666666</v>
      </c>
      <c r="W67" s="77">
        <f t="shared" si="15"/>
        <v>1.4745600000000004E-11</v>
      </c>
      <c r="X67" s="77">
        <f t="shared" si="15"/>
        <v>1.5360000000000002E-13</v>
      </c>
      <c r="Y67" s="78" t="e">
        <f t="shared" si="13"/>
        <v>#REF!</v>
      </c>
      <c r="Z67" s="54"/>
    </row>
    <row r="68" spans="1:26" ht="12.75" customHeight="1">
      <c r="A68" s="61"/>
      <c r="B68" s="72"/>
      <c r="C68" s="73"/>
      <c r="D68" s="72"/>
      <c r="E68" s="72"/>
      <c r="F68" s="72"/>
      <c r="G68" s="73" t="str">
        <f t="shared" si="15"/>
        <v>PLW Ground</v>
      </c>
      <c r="H68" s="72">
        <f t="shared" si="15"/>
        <v>1</v>
      </c>
      <c r="I68" s="72">
        <f t="shared" si="15"/>
        <v>0</v>
      </c>
      <c r="J68" s="72" t="str">
        <f t="shared" si="15"/>
        <v>S</v>
      </c>
      <c r="K68" s="72">
        <f t="shared" si="15"/>
        <v>50</v>
      </c>
      <c r="L68" s="72" t="str">
        <f t="shared" si="15"/>
        <v>1500pF</v>
      </c>
      <c r="M68" s="72" t="str">
        <f t="shared" si="15"/>
        <v>0.08uH</v>
      </c>
      <c r="N68" s="75">
        <f t="shared" si="15"/>
        <v>0</v>
      </c>
      <c r="O68" s="75">
        <f t="shared" si="15"/>
        <v>0</v>
      </c>
      <c r="P68" s="75">
        <v>0</v>
      </c>
      <c r="Q68" s="75">
        <v>0</v>
      </c>
      <c r="R68" s="75">
        <v>0</v>
      </c>
      <c r="S68" s="72">
        <f t="shared" si="11"/>
        <v>10</v>
      </c>
      <c r="T68" s="76">
        <f t="shared" si="15"/>
        <v>0.5</v>
      </c>
      <c r="U68" s="76">
        <f t="shared" si="15"/>
        <v>0.3333333333333333</v>
      </c>
      <c r="V68" s="76">
        <f t="shared" si="15"/>
        <v>0.16666666666666666</v>
      </c>
      <c r="W68" s="77">
        <f t="shared" si="15"/>
        <v>0</v>
      </c>
      <c r="X68" s="77">
        <f t="shared" si="15"/>
        <v>0</v>
      </c>
      <c r="Y68" s="78" t="e">
        <f t="shared" si="13"/>
        <v>#REF!</v>
      </c>
      <c r="Z68" s="54"/>
    </row>
    <row r="69" spans="1:25" s="134" customFormat="1" ht="13.5" thickBot="1">
      <c r="A69" s="130"/>
      <c r="B69" s="89"/>
      <c r="C69" s="90" t="s">
        <v>714</v>
      </c>
      <c r="D69" s="89"/>
      <c r="E69" s="89"/>
      <c r="F69" s="89"/>
      <c r="G69" s="90" t="s">
        <v>715</v>
      </c>
      <c r="H69" s="89"/>
      <c r="I69" s="89"/>
      <c r="J69" s="91" t="s">
        <v>716</v>
      </c>
      <c r="K69" s="89"/>
      <c r="L69" s="89"/>
      <c r="M69" s="89" t="s">
        <v>712</v>
      </c>
      <c r="N69" s="89"/>
      <c r="O69" s="89"/>
      <c r="P69" s="92"/>
      <c r="Q69" s="92"/>
      <c r="R69" s="92"/>
      <c r="S69" s="89"/>
      <c r="T69" s="93"/>
      <c r="U69" s="93"/>
      <c r="V69" s="93"/>
      <c r="W69" s="94"/>
      <c r="X69" s="94">
        <f>+O69^2*K69*V69*H69</f>
        <v>0</v>
      </c>
      <c r="Y69" s="95" t="e">
        <f>+X69/$X$196</f>
        <v>#REF!</v>
      </c>
    </row>
    <row r="70" spans="1:26" ht="12.75" customHeight="1" thickTop="1">
      <c r="A70" s="61" t="s">
        <v>727</v>
      </c>
      <c r="B70" s="72" t="s">
        <v>54</v>
      </c>
      <c r="C70" s="73" t="s">
        <v>55</v>
      </c>
      <c r="D70" s="72" t="s">
        <v>490</v>
      </c>
      <c r="E70" s="72" t="s">
        <v>491</v>
      </c>
      <c r="F70" s="72" t="s">
        <v>494</v>
      </c>
      <c r="G70" s="73" t="s">
        <v>88</v>
      </c>
      <c r="H70" s="72">
        <v>32</v>
      </c>
      <c r="I70" s="72">
        <v>16</v>
      </c>
      <c r="J70" s="72" t="s">
        <v>261</v>
      </c>
      <c r="K70" s="72">
        <f>+RI_BOL_SIG</f>
        <v>500</v>
      </c>
      <c r="L70" s="72" t="str">
        <f>+CI_BOL_SIG</f>
        <v>1500pF</v>
      </c>
      <c r="M70" s="72" t="str">
        <f>+LI_BOL_SIG</f>
        <v>0.08uH</v>
      </c>
      <c r="N70" s="74">
        <f>+'C - FPU to CVV'!N68</f>
        <v>1E-09</v>
      </c>
      <c r="O70" s="72">
        <f>+'C - FPU to CVV'!O68</f>
        <v>5E-10</v>
      </c>
      <c r="P70" s="75">
        <v>1</v>
      </c>
      <c r="Q70" s="75">
        <v>0</v>
      </c>
      <c r="R70" s="75">
        <v>0</v>
      </c>
      <c r="S70" s="72">
        <f>+'C - FPU to CVV'!S68</f>
        <v>0.1</v>
      </c>
      <c r="T70" s="76">
        <f>+DC_PHOT</f>
        <v>0.5</v>
      </c>
      <c r="U70" s="76">
        <f>+'C - FPU to CVV'!U68</f>
        <v>0.3333333333333333</v>
      </c>
      <c r="V70" s="76">
        <f>+'C - FPU to CVV'!V68</f>
        <v>0.16666666666666666</v>
      </c>
      <c r="W70" s="77">
        <f aca="true" t="shared" si="16" ref="W70:W78">+N70^2*K70*H70</f>
        <v>1.6E-14</v>
      </c>
      <c r="X70" s="77">
        <f aca="true" t="shared" si="17" ref="X70:X100">+O70^2*K70*V70*H70</f>
        <v>6.666666666666667E-16</v>
      </c>
      <c r="Y70" s="78" t="e">
        <f aca="true" t="shared" si="18" ref="Y70:Y100">+X70/$X$196</f>
        <v>#REF!</v>
      </c>
      <c r="Z70" s="54"/>
    </row>
    <row r="71" spans="1:26" ht="12.75" customHeight="1">
      <c r="A71" s="61" t="s">
        <v>3</v>
      </c>
      <c r="B71" s="72"/>
      <c r="C71" s="73"/>
      <c r="D71" s="72"/>
      <c r="E71" s="72"/>
      <c r="F71" s="72"/>
      <c r="G71" s="73" t="s">
        <v>278</v>
      </c>
      <c r="H71" s="72">
        <v>1</v>
      </c>
      <c r="I71" s="72">
        <v>0</v>
      </c>
      <c r="J71" s="72" t="s">
        <v>196</v>
      </c>
      <c r="K71" s="72">
        <f>+RI_GND</f>
        <v>50</v>
      </c>
      <c r="L71" s="72" t="str">
        <f>+CI_GND</f>
        <v>1500pF</v>
      </c>
      <c r="M71" s="72" t="str">
        <f>+LI_GND</f>
        <v>0.08uH</v>
      </c>
      <c r="N71" s="72">
        <f>+'C - FPU to CVV'!N69</f>
        <v>0</v>
      </c>
      <c r="O71" s="72">
        <v>0</v>
      </c>
      <c r="P71" s="75">
        <v>0</v>
      </c>
      <c r="Q71" s="75">
        <v>0</v>
      </c>
      <c r="R71" s="75">
        <v>0</v>
      </c>
      <c r="S71" s="72">
        <f>+'C - FPU to CVV'!S70</f>
        <v>0.1</v>
      </c>
      <c r="T71" s="76">
        <f aca="true" t="shared" si="19" ref="T71:T78">+DC_PHOT</f>
        <v>0.5</v>
      </c>
      <c r="U71" s="76">
        <f>+'C - FPU to CVV'!U70</f>
        <v>0.3333333333333333</v>
      </c>
      <c r="V71" s="76">
        <f>+'C - FPU to CVV'!V70</f>
        <v>0.16666666666666666</v>
      </c>
      <c r="W71" s="77">
        <f t="shared" si="16"/>
        <v>0</v>
      </c>
      <c r="X71" s="77">
        <f t="shared" si="17"/>
        <v>0</v>
      </c>
      <c r="Y71" s="78" t="e">
        <f t="shared" si="18"/>
        <v>#REF!</v>
      </c>
      <c r="Z71" s="54"/>
    </row>
    <row r="72" spans="1:26" ht="12.75" customHeight="1">
      <c r="A72" s="61"/>
      <c r="B72" s="65"/>
      <c r="C72" s="66"/>
      <c r="D72" s="65"/>
      <c r="E72" s="65"/>
      <c r="F72" s="65"/>
      <c r="G72" s="66" t="s">
        <v>305</v>
      </c>
      <c r="H72" s="65">
        <v>1</v>
      </c>
      <c r="I72" s="65">
        <v>0</v>
      </c>
      <c r="J72" s="65" t="s">
        <v>196</v>
      </c>
      <c r="K72" s="65">
        <f>+RI_GND</f>
        <v>50</v>
      </c>
      <c r="L72" s="65" t="str">
        <f>+CI_GND</f>
        <v>1500pF</v>
      </c>
      <c r="M72" s="65" t="str">
        <f>+LI_GND</f>
        <v>0.08uH</v>
      </c>
      <c r="N72" s="65">
        <f>+'C - FPU to CVV'!N71</f>
        <v>0</v>
      </c>
      <c r="O72" s="65">
        <f>+'C - FPU to CVV'!O71</f>
        <v>0</v>
      </c>
      <c r="P72" s="67">
        <v>0</v>
      </c>
      <c r="Q72" s="67">
        <v>0</v>
      </c>
      <c r="R72" s="67">
        <v>0</v>
      </c>
      <c r="S72" s="65">
        <f>+'C - FPU to CVV'!S71</f>
        <v>0.1</v>
      </c>
      <c r="T72" s="69">
        <f t="shared" si="19"/>
        <v>0.5</v>
      </c>
      <c r="U72" s="69">
        <f>+'C - FPU to CVV'!U71</f>
        <v>0.3333333333333333</v>
      </c>
      <c r="V72" s="69">
        <f>+'C - FPU to CVV'!V71</f>
        <v>0.16666666666666666</v>
      </c>
      <c r="W72" s="70">
        <f t="shared" si="16"/>
        <v>0</v>
      </c>
      <c r="X72" s="70">
        <f t="shared" si="17"/>
        <v>0</v>
      </c>
      <c r="Y72" s="71" t="e">
        <f t="shared" si="18"/>
        <v>#REF!</v>
      </c>
      <c r="Z72" s="54"/>
    </row>
    <row r="73" spans="1:26" ht="12.75" customHeight="1">
      <c r="A73" s="61"/>
      <c r="B73" s="72"/>
      <c r="C73" s="73" t="s">
        <v>89</v>
      </c>
      <c r="D73" s="72" t="s">
        <v>490</v>
      </c>
      <c r="E73" s="72" t="s">
        <v>492</v>
      </c>
      <c r="F73" s="72" t="s">
        <v>494</v>
      </c>
      <c r="G73" s="73" t="s">
        <v>91</v>
      </c>
      <c r="H73" s="72">
        <v>32</v>
      </c>
      <c r="I73" s="72">
        <v>16</v>
      </c>
      <c r="J73" s="72" t="s">
        <v>261</v>
      </c>
      <c r="K73" s="72">
        <f>+RI_BOL_SIG</f>
        <v>500</v>
      </c>
      <c r="L73" s="72" t="str">
        <f>+CI_BOL_SIG</f>
        <v>1500pF</v>
      </c>
      <c r="M73" s="72" t="str">
        <f>+LI_BOL_SIG</f>
        <v>0.08uH</v>
      </c>
      <c r="N73" s="74">
        <f>+'C - FPU to CVV'!N70</f>
        <v>1E-09</v>
      </c>
      <c r="O73" s="72">
        <f>+'C - FPU to CVV'!O70</f>
        <v>5E-10</v>
      </c>
      <c r="P73" s="75">
        <v>1</v>
      </c>
      <c r="Q73" s="75">
        <v>0</v>
      </c>
      <c r="R73" s="75">
        <v>0</v>
      </c>
      <c r="S73" s="72">
        <f>+'C - FPU to CVV'!S71</f>
        <v>0.1</v>
      </c>
      <c r="T73" s="76">
        <f t="shared" si="19"/>
        <v>0.5</v>
      </c>
      <c r="U73" s="76">
        <f>+'C - FPU to CVV'!U71</f>
        <v>0.3333333333333333</v>
      </c>
      <c r="V73" s="76">
        <f>+'C - FPU to CVV'!V71</f>
        <v>0.16666666666666666</v>
      </c>
      <c r="W73" s="77">
        <f t="shared" si="16"/>
        <v>1.6E-14</v>
      </c>
      <c r="X73" s="77">
        <f t="shared" si="17"/>
        <v>6.666666666666667E-16</v>
      </c>
      <c r="Y73" s="78" t="e">
        <f t="shared" si="18"/>
        <v>#REF!</v>
      </c>
      <c r="Z73" s="54"/>
    </row>
    <row r="74" spans="1:26" ht="12.75" customHeight="1">
      <c r="A74" s="61"/>
      <c r="B74" s="72"/>
      <c r="C74" s="73"/>
      <c r="D74" s="72"/>
      <c r="E74" s="72"/>
      <c r="F74" s="72"/>
      <c r="G74" s="73" t="s">
        <v>278</v>
      </c>
      <c r="H74" s="72">
        <v>1</v>
      </c>
      <c r="I74" s="72">
        <v>0</v>
      </c>
      <c r="J74" s="72" t="s">
        <v>196</v>
      </c>
      <c r="K74" s="72">
        <f>+RI_GND</f>
        <v>50</v>
      </c>
      <c r="L74" s="72" t="str">
        <f>+CI_GND</f>
        <v>1500pF</v>
      </c>
      <c r="M74" s="72" t="str">
        <f>+LI_GND</f>
        <v>0.08uH</v>
      </c>
      <c r="N74" s="72">
        <f>+'C - FPU to CVV'!N73</f>
        <v>0</v>
      </c>
      <c r="O74" s="72">
        <f>+'C - FPU to CVV'!O73</f>
        <v>0</v>
      </c>
      <c r="P74" s="75">
        <v>0</v>
      </c>
      <c r="Q74" s="75">
        <v>0</v>
      </c>
      <c r="R74" s="75">
        <v>0</v>
      </c>
      <c r="S74" s="72">
        <f>+'C - FPU to CVV'!S73</f>
        <v>0.1</v>
      </c>
      <c r="T74" s="76">
        <f t="shared" si="19"/>
        <v>0.5</v>
      </c>
      <c r="U74" s="76">
        <f>+'C - FPU to CVV'!U73</f>
        <v>0.3333333333333333</v>
      </c>
      <c r="V74" s="76">
        <f>+'C - FPU to CVV'!V73</f>
        <v>0.16666666666666666</v>
      </c>
      <c r="W74" s="77">
        <f t="shared" si="16"/>
        <v>0</v>
      </c>
      <c r="X74" s="77">
        <f t="shared" si="17"/>
        <v>0</v>
      </c>
      <c r="Y74" s="78" t="e">
        <f t="shared" si="18"/>
        <v>#REF!</v>
      </c>
      <c r="Z74" s="54"/>
    </row>
    <row r="75" spans="1:26" ht="12.75" customHeight="1">
      <c r="A75" s="61"/>
      <c r="B75" s="65"/>
      <c r="C75" s="66"/>
      <c r="D75" s="65"/>
      <c r="E75" s="65"/>
      <c r="F75" s="65"/>
      <c r="G75" s="66" t="s">
        <v>305</v>
      </c>
      <c r="H75" s="65">
        <v>1</v>
      </c>
      <c r="I75" s="65">
        <v>0</v>
      </c>
      <c r="J75" s="65" t="s">
        <v>196</v>
      </c>
      <c r="K75" s="65">
        <f>+RI_GND</f>
        <v>50</v>
      </c>
      <c r="L75" s="65" t="str">
        <f>+CI_GND</f>
        <v>1500pF</v>
      </c>
      <c r="M75" s="65" t="str">
        <f>+LI_GND</f>
        <v>0.08uH</v>
      </c>
      <c r="N75" s="65">
        <v>0</v>
      </c>
      <c r="O75" s="65">
        <v>0</v>
      </c>
      <c r="P75" s="67">
        <v>0</v>
      </c>
      <c r="Q75" s="67">
        <v>0</v>
      </c>
      <c r="R75" s="67">
        <v>0</v>
      </c>
      <c r="S75" s="65">
        <f>+'C - FPU to CVV'!S74</f>
        <v>0.1</v>
      </c>
      <c r="T75" s="69">
        <f t="shared" si="19"/>
        <v>0.5</v>
      </c>
      <c r="U75" s="69">
        <f>+'C - FPU to CVV'!U74</f>
        <v>0.3333333333333333</v>
      </c>
      <c r="V75" s="69">
        <f>+'C - FPU to CVV'!V74</f>
        <v>0.16666666666666666</v>
      </c>
      <c r="W75" s="70">
        <f t="shared" si="16"/>
        <v>0</v>
      </c>
      <c r="X75" s="70">
        <f t="shared" si="17"/>
        <v>0</v>
      </c>
      <c r="Y75" s="71" t="e">
        <f t="shared" si="18"/>
        <v>#REF!</v>
      </c>
      <c r="Z75" s="54"/>
    </row>
    <row r="76" spans="1:26" ht="12.75" customHeight="1">
      <c r="A76" s="61"/>
      <c r="B76" s="72"/>
      <c r="C76" s="73" t="s">
        <v>90</v>
      </c>
      <c r="D76" s="72" t="s">
        <v>490</v>
      </c>
      <c r="E76" s="72" t="s">
        <v>493</v>
      </c>
      <c r="F76" s="72" t="s">
        <v>494</v>
      </c>
      <c r="G76" s="73" t="s">
        <v>92</v>
      </c>
      <c r="H76" s="72">
        <v>32</v>
      </c>
      <c r="I76" s="72">
        <v>16</v>
      </c>
      <c r="J76" s="72" t="s">
        <v>261</v>
      </c>
      <c r="K76" s="72">
        <f>+RI_BOL_SIG</f>
        <v>500</v>
      </c>
      <c r="L76" s="72" t="str">
        <f>+CI_BOL_SIG</f>
        <v>1500pF</v>
      </c>
      <c r="M76" s="72" t="str">
        <f>+LI_BOL_SIG</f>
        <v>0.08uH</v>
      </c>
      <c r="N76" s="74">
        <f>+'C - FPU to CVV'!N74</f>
        <v>1E-09</v>
      </c>
      <c r="O76" s="72">
        <f>+'C - FPU to CVV'!O74</f>
        <v>5E-10</v>
      </c>
      <c r="P76" s="75">
        <v>1</v>
      </c>
      <c r="Q76" s="75">
        <v>0</v>
      </c>
      <c r="R76" s="75">
        <v>0</v>
      </c>
      <c r="S76" s="72">
        <f>+'C - FPU to CVV'!S74</f>
        <v>0.1</v>
      </c>
      <c r="T76" s="76">
        <f t="shared" si="19"/>
        <v>0.5</v>
      </c>
      <c r="U76" s="76">
        <f>+'C - FPU to CVV'!U74</f>
        <v>0.3333333333333333</v>
      </c>
      <c r="V76" s="76">
        <f>+'C - FPU to CVV'!V74</f>
        <v>0.16666666666666666</v>
      </c>
      <c r="W76" s="77">
        <f t="shared" si="16"/>
        <v>1.6E-14</v>
      </c>
      <c r="X76" s="77">
        <f t="shared" si="17"/>
        <v>6.666666666666667E-16</v>
      </c>
      <c r="Y76" s="78" t="e">
        <f t="shared" si="18"/>
        <v>#REF!</v>
      </c>
      <c r="Z76" s="54"/>
    </row>
    <row r="77" spans="1:26" ht="12.75" customHeight="1">
      <c r="A77" s="61"/>
      <c r="B77" s="72"/>
      <c r="C77" s="73"/>
      <c r="D77" s="72"/>
      <c r="E77" s="72"/>
      <c r="F77" s="72"/>
      <c r="G77" s="73" t="s">
        <v>278</v>
      </c>
      <c r="H77" s="72">
        <v>1</v>
      </c>
      <c r="I77" s="72">
        <v>0</v>
      </c>
      <c r="J77" s="72" t="s">
        <v>196</v>
      </c>
      <c r="K77" s="72">
        <f>+RI_GND</f>
        <v>50</v>
      </c>
      <c r="L77" s="72" t="str">
        <f>+CI_GND</f>
        <v>1500pF</v>
      </c>
      <c r="M77" s="72" t="str">
        <f>+LI_GND</f>
        <v>0.08uH</v>
      </c>
      <c r="N77" s="72">
        <f>+'C - FPU to CVV'!N76</f>
        <v>0</v>
      </c>
      <c r="O77" s="72">
        <f>+'C - FPU to CVV'!O76</f>
        <v>0</v>
      </c>
      <c r="P77" s="75">
        <v>0</v>
      </c>
      <c r="Q77" s="75">
        <v>0</v>
      </c>
      <c r="R77" s="75">
        <v>0</v>
      </c>
      <c r="S77" s="72">
        <v>0</v>
      </c>
      <c r="T77" s="76">
        <f t="shared" si="19"/>
        <v>0.5</v>
      </c>
      <c r="U77" s="76" t="e">
        <f>+'C - FPU to CVV'!#REF!</f>
        <v>#REF!</v>
      </c>
      <c r="V77" s="76" t="e">
        <f>+'C - FPU to CVV'!#REF!</f>
        <v>#REF!</v>
      </c>
      <c r="W77" s="77">
        <f t="shared" si="16"/>
        <v>0</v>
      </c>
      <c r="X77" s="77" t="e">
        <f t="shared" si="17"/>
        <v>#REF!</v>
      </c>
      <c r="Y77" s="78" t="e">
        <f t="shared" si="18"/>
        <v>#REF!</v>
      </c>
      <c r="Z77" s="54"/>
    </row>
    <row r="78" spans="1:26" ht="12.75" customHeight="1">
      <c r="A78" s="61"/>
      <c r="B78" s="72"/>
      <c r="C78" s="73"/>
      <c r="D78" s="72"/>
      <c r="E78" s="72"/>
      <c r="F78" s="72"/>
      <c r="G78" s="73" t="s">
        <v>305</v>
      </c>
      <c r="H78" s="72">
        <v>1</v>
      </c>
      <c r="I78" s="72">
        <v>0</v>
      </c>
      <c r="J78" s="72" t="s">
        <v>196</v>
      </c>
      <c r="K78" s="72">
        <f>+RI_GND</f>
        <v>50</v>
      </c>
      <c r="L78" s="72" t="str">
        <f>+CI_GND</f>
        <v>1500pF</v>
      </c>
      <c r="M78" s="72" t="str">
        <f>+LI_GND</f>
        <v>0.08uH</v>
      </c>
      <c r="N78" s="72">
        <v>0</v>
      </c>
      <c r="O78" s="72">
        <v>0</v>
      </c>
      <c r="P78" s="75">
        <v>0</v>
      </c>
      <c r="Q78" s="75">
        <v>0</v>
      </c>
      <c r="R78" s="75">
        <v>0</v>
      </c>
      <c r="S78" s="72">
        <f>+'C - FPU to CVV'!S77</f>
        <v>0.1</v>
      </c>
      <c r="T78" s="76">
        <f t="shared" si="19"/>
        <v>0.5</v>
      </c>
      <c r="U78" s="76">
        <f>+'C - FPU to CVV'!U77</f>
        <v>0.3333333333333333</v>
      </c>
      <c r="V78" s="76">
        <f>+'C - FPU to CVV'!V77</f>
        <v>0.16666666666666666</v>
      </c>
      <c r="W78" s="77">
        <f t="shared" si="16"/>
        <v>0</v>
      </c>
      <c r="X78" s="77">
        <f t="shared" si="17"/>
        <v>0</v>
      </c>
      <c r="Y78" s="78" t="e">
        <f t="shared" si="18"/>
        <v>#REF!</v>
      </c>
      <c r="Z78" s="54"/>
    </row>
    <row r="79" spans="1:25" s="134" customFormat="1" ht="13.5" thickBot="1">
      <c r="A79" s="130"/>
      <c r="B79" s="89"/>
      <c r="C79" s="90" t="s">
        <v>714</v>
      </c>
      <c r="D79" s="89"/>
      <c r="E79" s="89"/>
      <c r="F79" s="89"/>
      <c r="G79" s="90" t="s">
        <v>715</v>
      </c>
      <c r="H79" s="89"/>
      <c r="I79" s="89"/>
      <c r="J79" s="91" t="s">
        <v>716</v>
      </c>
      <c r="K79" s="89"/>
      <c r="L79" s="89"/>
      <c r="M79" s="89" t="s">
        <v>712</v>
      </c>
      <c r="N79" s="89"/>
      <c r="O79" s="89"/>
      <c r="P79" s="92"/>
      <c r="Q79" s="92"/>
      <c r="R79" s="92"/>
      <c r="S79" s="89"/>
      <c r="T79" s="93"/>
      <c r="U79" s="93"/>
      <c r="V79" s="93"/>
      <c r="W79" s="94"/>
      <c r="X79" s="94">
        <f t="shared" si="17"/>
        <v>0</v>
      </c>
      <c r="Y79" s="95" t="e">
        <f>+X79/$X$196</f>
        <v>#REF!</v>
      </c>
    </row>
    <row r="80" spans="1:26" ht="26.25" thickTop="1">
      <c r="A80" s="61" t="s">
        <v>726</v>
      </c>
      <c r="B80" s="72" t="s">
        <v>93</v>
      </c>
      <c r="C80" s="73" t="s">
        <v>99</v>
      </c>
      <c r="D80" s="72" t="s">
        <v>490</v>
      </c>
      <c r="E80" s="72" t="s">
        <v>495</v>
      </c>
      <c r="F80" s="72" t="s">
        <v>494</v>
      </c>
      <c r="G80" s="73" t="s">
        <v>311</v>
      </c>
      <c r="H80" s="72">
        <v>32</v>
      </c>
      <c r="I80" s="72">
        <v>16</v>
      </c>
      <c r="J80" s="72" t="s">
        <v>261</v>
      </c>
      <c r="K80" s="72">
        <f>+RI_BOL_SIG</f>
        <v>500</v>
      </c>
      <c r="L80" s="72" t="str">
        <f>+CI_BOL_SIG</f>
        <v>1500pF</v>
      </c>
      <c r="M80" s="72" t="str">
        <f>+LI_BOL_SIG</f>
        <v>0.08uH</v>
      </c>
      <c r="N80" s="74">
        <f>+'C - FPU to CVV'!N77</f>
        <v>1E-09</v>
      </c>
      <c r="O80" s="72">
        <f>+'C - FPU to CVV'!O77</f>
        <v>5E-10</v>
      </c>
      <c r="P80" s="75">
        <v>1</v>
      </c>
      <c r="Q80" s="75">
        <v>0</v>
      </c>
      <c r="R80" s="75">
        <v>0</v>
      </c>
      <c r="S80" s="72">
        <f>+'C - FPU to CVV'!S77</f>
        <v>0.1</v>
      </c>
      <c r="T80" s="76">
        <f>+DC_PHOT</f>
        <v>0.5</v>
      </c>
      <c r="U80" s="76">
        <f>+'C - FPU to CVV'!U77</f>
        <v>0.3333333333333333</v>
      </c>
      <c r="V80" s="76">
        <f>+'C - FPU to CVV'!V77</f>
        <v>0.16666666666666666</v>
      </c>
      <c r="W80" s="77">
        <f aca="true" t="shared" si="20" ref="W80:W88">+N80^2*K80*H80</f>
        <v>1.6E-14</v>
      </c>
      <c r="X80" s="77">
        <f t="shared" si="17"/>
        <v>6.666666666666667E-16</v>
      </c>
      <c r="Y80" s="78" t="e">
        <f t="shared" si="18"/>
        <v>#REF!</v>
      </c>
      <c r="Z80" s="54"/>
    </row>
    <row r="81" spans="1:26" ht="12" customHeight="1">
      <c r="A81" s="61" t="s">
        <v>3</v>
      </c>
      <c r="B81" s="72"/>
      <c r="C81" s="73"/>
      <c r="D81" s="72"/>
      <c r="E81" s="72"/>
      <c r="F81" s="72"/>
      <c r="G81" s="73" t="s">
        <v>278</v>
      </c>
      <c r="H81" s="72">
        <v>1</v>
      </c>
      <c r="I81" s="72">
        <v>0</v>
      </c>
      <c r="J81" s="72" t="s">
        <v>196</v>
      </c>
      <c r="K81" s="72">
        <f>+RI_GND</f>
        <v>50</v>
      </c>
      <c r="L81" s="72" t="str">
        <f>+CI_GND</f>
        <v>1500pF</v>
      </c>
      <c r="M81" s="72" t="str">
        <f>+LI_GND</f>
        <v>0.08uH</v>
      </c>
      <c r="N81" s="72">
        <f>+'C - FPU to CVV'!N78</f>
        <v>0</v>
      </c>
      <c r="O81" s="72">
        <v>0</v>
      </c>
      <c r="P81" s="75">
        <v>0</v>
      </c>
      <c r="Q81" s="75">
        <v>0</v>
      </c>
      <c r="R81" s="75">
        <v>0</v>
      </c>
      <c r="S81" s="72">
        <f>+'C - FPU to CVV'!S79</f>
        <v>0.1</v>
      </c>
      <c r="T81" s="76">
        <f aca="true" t="shared" si="21" ref="T81:T88">+DC_PHOT</f>
        <v>0.5</v>
      </c>
      <c r="U81" s="76">
        <f>+'C - FPU to CVV'!U79</f>
        <v>0.3333333333333333</v>
      </c>
      <c r="V81" s="76">
        <f>+'C - FPU to CVV'!V79</f>
        <v>0.16666666666666666</v>
      </c>
      <c r="W81" s="77">
        <f t="shared" si="20"/>
        <v>0</v>
      </c>
      <c r="X81" s="77">
        <f t="shared" si="17"/>
        <v>0</v>
      </c>
      <c r="Y81" s="78" t="e">
        <f t="shared" si="18"/>
        <v>#REF!</v>
      </c>
      <c r="Z81" s="54"/>
    </row>
    <row r="82" spans="1:26" ht="12" customHeight="1">
      <c r="A82" s="61"/>
      <c r="B82" s="65"/>
      <c r="C82" s="66"/>
      <c r="D82" s="65"/>
      <c r="E82" s="65"/>
      <c r="F82" s="65"/>
      <c r="G82" s="66" t="s">
        <v>305</v>
      </c>
      <c r="H82" s="65">
        <v>1</v>
      </c>
      <c r="I82" s="65">
        <v>0</v>
      </c>
      <c r="J82" s="65" t="s">
        <v>196</v>
      </c>
      <c r="K82" s="65">
        <f>+RI_GND</f>
        <v>50</v>
      </c>
      <c r="L82" s="65" t="str">
        <f>+CI_GND</f>
        <v>1500pF</v>
      </c>
      <c r="M82" s="65" t="str">
        <f>+LI_GND</f>
        <v>0.08uH</v>
      </c>
      <c r="N82" s="65">
        <f>+'C - FPU to CVV'!N80</f>
        <v>0</v>
      </c>
      <c r="O82" s="65">
        <f>+'C - FPU to CVV'!O80</f>
        <v>0</v>
      </c>
      <c r="P82" s="67">
        <v>0</v>
      </c>
      <c r="Q82" s="67">
        <v>0</v>
      </c>
      <c r="R82" s="67">
        <v>0</v>
      </c>
      <c r="S82" s="65">
        <f>+'C - FPU to CVV'!S80</f>
        <v>0.1</v>
      </c>
      <c r="T82" s="69">
        <f t="shared" si="21"/>
        <v>0.5</v>
      </c>
      <c r="U82" s="69">
        <f>+'C - FPU to CVV'!U80</f>
        <v>0.3333333333333333</v>
      </c>
      <c r="V82" s="69">
        <f>+'C - FPU to CVV'!V80</f>
        <v>0.16666666666666666</v>
      </c>
      <c r="W82" s="70">
        <f t="shared" si="20"/>
        <v>0</v>
      </c>
      <c r="X82" s="70">
        <f t="shared" si="17"/>
        <v>0</v>
      </c>
      <c r="Y82" s="71" t="e">
        <f t="shared" si="18"/>
        <v>#REF!</v>
      </c>
      <c r="Z82" s="54"/>
    </row>
    <row r="83" spans="1:26" ht="25.5">
      <c r="A83" s="61"/>
      <c r="B83" s="72"/>
      <c r="C83" s="73" t="s">
        <v>100</v>
      </c>
      <c r="D83" s="72" t="s">
        <v>490</v>
      </c>
      <c r="E83" s="72" t="s">
        <v>496</v>
      </c>
      <c r="F83" s="72" t="s">
        <v>494</v>
      </c>
      <c r="G83" s="73" t="s">
        <v>312</v>
      </c>
      <c r="H83" s="72">
        <v>32</v>
      </c>
      <c r="I83" s="72">
        <v>16</v>
      </c>
      <c r="J83" s="72" t="s">
        <v>261</v>
      </c>
      <c r="K83" s="72">
        <f>+RI_BOL_SIG</f>
        <v>500</v>
      </c>
      <c r="L83" s="72" t="str">
        <f>+CI_BOL_SIG</f>
        <v>1500pF</v>
      </c>
      <c r="M83" s="72" t="str">
        <f>+LI_BOL_SIG</f>
        <v>0.08uH</v>
      </c>
      <c r="N83" s="74">
        <f>+'C - FPU to CVV'!N79</f>
        <v>1E-09</v>
      </c>
      <c r="O83" s="72">
        <f>+'C - FPU to CVV'!O79</f>
        <v>5E-10</v>
      </c>
      <c r="P83" s="75">
        <v>1</v>
      </c>
      <c r="Q83" s="75">
        <v>0</v>
      </c>
      <c r="R83" s="75">
        <v>0</v>
      </c>
      <c r="S83" s="72">
        <f>+'C - FPU to CVV'!S80</f>
        <v>0.1</v>
      </c>
      <c r="T83" s="76">
        <f t="shared" si="21"/>
        <v>0.5</v>
      </c>
      <c r="U83" s="76">
        <f>+'C - FPU to CVV'!U80</f>
        <v>0.3333333333333333</v>
      </c>
      <c r="V83" s="76">
        <f>+'C - FPU to CVV'!V80</f>
        <v>0.16666666666666666</v>
      </c>
      <c r="W83" s="77">
        <f t="shared" si="20"/>
        <v>1.6E-14</v>
      </c>
      <c r="X83" s="77">
        <f t="shared" si="17"/>
        <v>6.666666666666667E-16</v>
      </c>
      <c r="Y83" s="78" t="e">
        <f t="shared" si="18"/>
        <v>#REF!</v>
      </c>
      <c r="Z83" s="54"/>
    </row>
    <row r="84" spans="1:26" ht="12" customHeight="1">
      <c r="A84" s="61"/>
      <c r="B84" s="72"/>
      <c r="C84" s="73"/>
      <c r="D84" s="72"/>
      <c r="E84" s="72"/>
      <c r="F84" s="72"/>
      <c r="G84" s="73" t="s">
        <v>278</v>
      </c>
      <c r="H84" s="72">
        <v>2</v>
      </c>
      <c r="I84" s="72">
        <v>0</v>
      </c>
      <c r="J84" s="72" t="s">
        <v>196</v>
      </c>
      <c r="K84" s="72">
        <f>+RI_GND</f>
        <v>50</v>
      </c>
      <c r="L84" s="72" t="str">
        <f>+CI_GND</f>
        <v>1500pF</v>
      </c>
      <c r="M84" s="72" t="str">
        <f>+LI_GND</f>
        <v>0.08uH</v>
      </c>
      <c r="N84" s="72">
        <f>+'C - FPU to CVV'!N82</f>
        <v>0</v>
      </c>
      <c r="O84" s="72">
        <f>+'C - FPU to CVV'!O82</f>
        <v>0</v>
      </c>
      <c r="P84" s="75">
        <v>0</v>
      </c>
      <c r="Q84" s="75">
        <v>0</v>
      </c>
      <c r="R84" s="75">
        <v>0</v>
      </c>
      <c r="S84" s="72">
        <f>+'C - FPU to CVV'!S82</f>
        <v>0.1</v>
      </c>
      <c r="T84" s="76">
        <f t="shared" si="21"/>
        <v>0.5</v>
      </c>
      <c r="U84" s="76">
        <f>+'C - FPU to CVV'!U82</f>
        <v>0.3333333333333333</v>
      </c>
      <c r="V84" s="76">
        <f>+'C - FPU to CVV'!V82</f>
        <v>0.16666666666666666</v>
      </c>
      <c r="W84" s="77">
        <f t="shared" si="20"/>
        <v>0</v>
      </c>
      <c r="X84" s="77">
        <f t="shared" si="17"/>
        <v>0</v>
      </c>
      <c r="Y84" s="78" t="e">
        <f t="shared" si="18"/>
        <v>#REF!</v>
      </c>
      <c r="Z84" s="54"/>
    </row>
    <row r="85" spans="1:26" ht="12" customHeight="1">
      <c r="A85" s="61"/>
      <c r="B85" s="65"/>
      <c r="C85" s="66"/>
      <c r="D85" s="65"/>
      <c r="E85" s="65"/>
      <c r="F85" s="65"/>
      <c r="G85" s="66" t="s">
        <v>305</v>
      </c>
      <c r="H85" s="65">
        <v>1</v>
      </c>
      <c r="I85" s="65">
        <v>0</v>
      </c>
      <c r="J85" s="65" t="s">
        <v>196</v>
      </c>
      <c r="K85" s="65">
        <f>+RI_GND</f>
        <v>50</v>
      </c>
      <c r="L85" s="65" t="str">
        <f>+CI_GND</f>
        <v>1500pF</v>
      </c>
      <c r="M85" s="65" t="str">
        <f>+LI_GND</f>
        <v>0.08uH</v>
      </c>
      <c r="N85" s="65">
        <v>0</v>
      </c>
      <c r="O85" s="65">
        <v>0</v>
      </c>
      <c r="P85" s="67">
        <v>0</v>
      </c>
      <c r="Q85" s="67">
        <v>0</v>
      </c>
      <c r="R85" s="67">
        <v>0</v>
      </c>
      <c r="S85" s="65">
        <f>+'C - FPU to CVV'!S83</f>
        <v>0.1</v>
      </c>
      <c r="T85" s="69">
        <f t="shared" si="21"/>
        <v>0.5</v>
      </c>
      <c r="U85" s="69">
        <f>+'C - FPU to CVV'!U83</f>
        <v>0.3333333333333333</v>
      </c>
      <c r="V85" s="69">
        <f>+'C - FPU to CVV'!V83</f>
        <v>0.16666666666666666</v>
      </c>
      <c r="W85" s="70">
        <f t="shared" si="20"/>
        <v>0</v>
      </c>
      <c r="X85" s="70">
        <f t="shared" si="17"/>
        <v>0</v>
      </c>
      <c r="Y85" s="71" t="e">
        <f t="shared" si="18"/>
        <v>#REF!</v>
      </c>
      <c r="Z85" s="54"/>
    </row>
    <row r="86" spans="1:26" ht="25.5">
      <c r="A86" s="61"/>
      <c r="B86" s="72"/>
      <c r="C86" s="73" t="s">
        <v>145</v>
      </c>
      <c r="D86" s="72" t="s">
        <v>490</v>
      </c>
      <c r="E86" s="72" t="s">
        <v>497</v>
      </c>
      <c r="F86" s="72" t="s">
        <v>494</v>
      </c>
      <c r="G86" s="73" t="s">
        <v>313</v>
      </c>
      <c r="H86" s="72">
        <v>32</v>
      </c>
      <c r="I86" s="72">
        <v>16</v>
      </c>
      <c r="J86" s="72" t="s">
        <v>261</v>
      </c>
      <c r="K86" s="72">
        <f>+RI_BOL_SIG</f>
        <v>500</v>
      </c>
      <c r="L86" s="72" t="str">
        <f>+CI_BOL_SIG</f>
        <v>1500pF</v>
      </c>
      <c r="M86" s="72" t="str">
        <f>+LI_BOL_SIG</f>
        <v>0.08uH</v>
      </c>
      <c r="N86" s="74">
        <f>+'C - FPU to CVV'!N83</f>
        <v>1E-09</v>
      </c>
      <c r="O86" s="72">
        <f>+'C - FPU to CVV'!O83</f>
        <v>5E-10</v>
      </c>
      <c r="P86" s="75">
        <v>1</v>
      </c>
      <c r="Q86" s="75">
        <v>0</v>
      </c>
      <c r="R86" s="75">
        <v>0</v>
      </c>
      <c r="S86" s="72">
        <f>+'C - FPU to CVV'!S83</f>
        <v>0.1</v>
      </c>
      <c r="T86" s="76">
        <f t="shared" si="21"/>
        <v>0.5</v>
      </c>
      <c r="U86" s="76">
        <f>+'C - FPU to CVV'!U83</f>
        <v>0.3333333333333333</v>
      </c>
      <c r="V86" s="76">
        <f>+'C - FPU to CVV'!V83</f>
        <v>0.16666666666666666</v>
      </c>
      <c r="W86" s="77">
        <f t="shared" si="20"/>
        <v>1.6E-14</v>
      </c>
      <c r="X86" s="77">
        <f t="shared" si="17"/>
        <v>6.666666666666667E-16</v>
      </c>
      <c r="Y86" s="78" t="e">
        <f t="shared" si="18"/>
        <v>#REF!</v>
      </c>
      <c r="Z86" s="54"/>
    </row>
    <row r="87" spans="1:26" ht="12" customHeight="1">
      <c r="A87" s="61"/>
      <c r="B87" s="72"/>
      <c r="C87" s="73"/>
      <c r="D87" s="72"/>
      <c r="E87" s="72"/>
      <c r="F87" s="72"/>
      <c r="G87" s="73" t="s">
        <v>278</v>
      </c>
      <c r="H87" s="72">
        <v>1</v>
      </c>
      <c r="I87" s="72">
        <v>0</v>
      </c>
      <c r="J87" s="72" t="s">
        <v>196</v>
      </c>
      <c r="K87" s="72">
        <f>+RI_GND</f>
        <v>50</v>
      </c>
      <c r="L87" s="72" t="str">
        <f>+CI_GND</f>
        <v>1500pF</v>
      </c>
      <c r="M87" s="72" t="str">
        <f>+LI_GND</f>
        <v>0.08uH</v>
      </c>
      <c r="N87" s="72">
        <f>+'C - FPU to CVV'!N85</f>
        <v>0</v>
      </c>
      <c r="O87" s="72">
        <f>+'C - FPU to CVV'!O85</f>
        <v>0</v>
      </c>
      <c r="P87" s="75">
        <v>0</v>
      </c>
      <c r="Q87" s="75">
        <v>0</v>
      </c>
      <c r="R87" s="75">
        <v>0</v>
      </c>
      <c r="S87" s="72">
        <v>0</v>
      </c>
      <c r="T87" s="76">
        <f t="shared" si="21"/>
        <v>0.5</v>
      </c>
      <c r="U87" s="76" t="e">
        <f>+'C - FPU to CVV'!#REF!</f>
        <v>#REF!</v>
      </c>
      <c r="V87" s="76" t="e">
        <f>+'C - FPU to CVV'!#REF!</f>
        <v>#REF!</v>
      </c>
      <c r="W87" s="77">
        <f t="shared" si="20"/>
        <v>0</v>
      </c>
      <c r="X87" s="77" t="e">
        <f t="shared" si="17"/>
        <v>#REF!</v>
      </c>
      <c r="Y87" s="78" t="e">
        <f t="shared" si="18"/>
        <v>#REF!</v>
      </c>
      <c r="Z87" s="54"/>
    </row>
    <row r="88" spans="1:26" ht="12" customHeight="1">
      <c r="A88" s="61"/>
      <c r="B88" s="72"/>
      <c r="C88" s="73"/>
      <c r="D88" s="72"/>
      <c r="E88" s="72"/>
      <c r="F88" s="72"/>
      <c r="G88" s="73" t="s">
        <v>305</v>
      </c>
      <c r="H88" s="72">
        <v>1</v>
      </c>
      <c r="I88" s="72">
        <v>0</v>
      </c>
      <c r="J88" s="72" t="s">
        <v>196</v>
      </c>
      <c r="K88" s="72">
        <f>+RI_GND</f>
        <v>50</v>
      </c>
      <c r="L88" s="72" t="str">
        <f>+CI_GND</f>
        <v>1500pF</v>
      </c>
      <c r="M88" s="72" t="str">
        <f>+LI_GND</f>
        <v>0.08uH</v>
      </c>
      <c r="N88" s="72">
        <v>0</v>
      </c>
      <c r="O88" s="72">
        <v>0</v>
      </c>
      <c r="P88" s="75">
        <v>0</v>
      </c>
      <c r="Q88" s="75">
        <v>0</v>
      </c>
      <c r="R88" s="75">
        <v>0</v>
      </c>
      <c r="S88" s="72">
        <f>+'C - FPU to CVV'!S86</f>
        <v>0.1</v>
      </c>
      <c r="T88" s="76">
        <f t="shared" si="21"/>
        <v>0.5</v>
      </c>
      <c r="U88" s="76">
        <f>+'C - FPU to CVV'!U86</f>
        <v>0.3333333333333333</v>
      </c>
      <c r="V88" s="76">
        <f>+'C - FPU to CVV'!V86</f>
        <v>0.16666666666666666</v>
      </c>
      <c r="W88" s="77">
        <f t="shared" si="20"/>
        <v>0</v>
      </c>
      <c r="X88" s="77">
        <f t="shared" si="17"/>
        <v>0</v>
      </c>
      <c r="Y88" s="78" t="e">
        <f t="shared" si="18"/>
        <v>#REF!</v>
      </c>
      <c r="Z88" s="54"/>
    </row>
    <row r="89" spans="1:25" s="134" customFormat="1" ht="13.5" thickBot="1">
      <c r="A89" s="130"/>
      <c r="B89" s="89"/>
      <c r="C89" s="90" t="s">
        <v>714</v>
      </c>
      <c r="D89" s="89"/>
      <c r="E89" s="89"/>
      <c r="F89" s="89"/>
      <c r="G89" s="90" t="s">
        <v>715</v>
      </c>
      <c r="H89" s="89"/>
      <c r="I89" s="89"/>
      <c r="J89" s="91" t="s">
        <v>716</v>
      </c>
      <c r="K89" s="89"/>
      <c r="L89" s="89"/>
      <c r="M89" s="89" t="s">
        <v>712</v>
      </c>
      <c r="N89" s="89"/>
      <c r="O89" s="89"/>
      <c r="P89" s="92"/>
      <c r="Q89" s="92"/>
      <c r="R89" s="92"/>
      <c r="S89" s="89"/>
      <c r="T89" s="93"/>
      <c r="U89" s="93"/>
      <c r="V89" s="93"/>
      <c r="W89" s="94"/>
      <c r="X89" s="94">
        <f t="shared" si="17"/>
        <v>0</v>
      </c>
      <c r="Y89" s="95" t="e">
        <f>+X89/$X$196</f>
        <v>#REF!</v>
      </c>
    </row>
    <row r="90" spans="1:26" ht="26.25" thickTop="1">
      <c r="A90" s="61" t="s">
        <v>725</v>
      </c>
      <c r="B90" s="72" t="s">
        <v>94</v>
      </c>
      <c r="C90" s="73" t="s">
        <v>146</v>
      </c>
      <c r="D90" s="72" t="s">
        <v>490</v>
      </c>
      <c r="E90" s="72" t="s">
        <v>498</v>
      </c>
      <c r="F90" s="72" t="s">
        <v>494</v>
      </c>
      <c r="G90" s="73" t="s">
        <v>314</v>
      </c>
      <c r="H90" s="72">
        <v>32</v>
      </c>
      <c r="I90" s="72">
        <v>16</v>
      </c>
      <c r="J90" s="72" t="s">
        <v>261</v>
      </c>
      <c r="K90" s="72">
        <f>+RI_BOL_SIG</f>
        <v>500</v>
      </c>
      <c r="L90" s="72" t="str">
        <f>+CI_BOL_SIG</f>
        <v>1500pF</v>
      </c>
      <c r="M90" s="72" t="str">
        <f>+LI_BOL_SIG</f>
        <v>0.08uH</v>
      </c>
      <c r="N90" s="74">
        <f>+'C - FPU to CVV'!N86</f>
        <v>1E-09</v>
      </c>
      <c r="O90" s="72">
        <f>+'C - FPU to CVV'!O86</f>
        <v>5E-10</v>
      </c>
      <c r="P90" s="75">
        <v>1</v>
      </c>
      <c r="Q90" s="75">
        <v>0</v>
      </c>
      <c r="R90" s="75">
        <v>0</v>
      </c>
      <c r="S90" s="72">
        <f>+'C - FPU to CVV'!S86</f>
        <v>0.1</v>
      </c>
      <c r="T90" s="76">
        <f>+DC_PHOT</f>
        <v>0.5</v>
      </c>
      <c r="U90" s="76">
        <f>+'C - FPU to CVV'!U86</f>
        <v>0.3333333333333333</v>
      </c>
      <c r="V90" s="76">
        <f>+'C - FPU to CVV'!V86</f>
        <v>0.16666666666666666</v>
      </c>
      <c r="W90" s="77">
        <f aca="true" t="shared" si="22" ref="W90:W98">+N90^2*K90*H90</f>
        <v>1.6E-14</v>
      </c>
      <c r="X90" s="77">
        <f t="shared" si="17"/>
        <v>6.666666666666667E-16</v>
      </c>
      <c r="Y90" s="78" t="e">
        <f t="shared" si="18"/>
        <v>#REF!</v>
      </c>
      <c r="Z90" s="54"/>
    </row>
    <row r="91" spans="1:26" ht="12" customHeight="1">
      <c r="A91" s="61" t="s">
        <v>3</v>
      </c>
      <c r="B91" s="72"/>
      <c r="C91" s="73"/>
      <c r="D91" s="72"/>
      <c r="E91" s="72"/>
      <c r="F91" s="72"/>
      <c r="G91" s="73" t="s">
        <v>278</v>
      </c>
      <c r="H91" s="72">
        <v>1</v>
      </c>
      <c r="I91" s="72">
        <v>0</v>
      </c>
      <c r="J91" s="72" t="s">
        <v>196</v>
      </c>
      <c r="K91" s="72">
        <f>+RI_GND</f>
        <v>50</v>
      </c>
      <c r="L91" s="72" t="str">
        <f>+CI_GND</f>
        <v>1500pF</v>
      </c>
      <c r="M91" s="72" t="str">
        <f>+LI_GND</f>
        <v>0.08uH</v>
      </c>
      <c r="N91" s="72">
        <f>+'C - FPU to CVV'!N87</f>
        <v>0</v>
      </c>
      <c r="O91" s="72">
        <v>0</v>
      </c>
      <c r="P91" s="75">
        <v>0</v>
      </c>
      <c r="Q91" s="75">
        <v>0</v>
      </c>
      <c r="R91" s="75">
        <v>0</v>
      </c>
      <c r="S91" s="72">
        <f>+'C - FPU to CVV'!S88</f>
        <v>0.1</v>
      </c>
      <c r="T91" s="76">
        <f aca="true" t="shared" si="23" ref="T91:T98">+DC_PHOT</f>
        <v>0.5</v>
      </c>
      <c r="U91" s="76">
        <f>+'C - FPU to CVV'!U88</f>
        <v>0.3333333333333333</v>
      </c>
      <c r="V91" s="76">
        <f>+'C - FPU to CVV'!V88</f>
        <v>0.16666666666666666</v>
      </c>
      <c r="W91" s="77">
        <f t="shared" si="22"/>
        <v>0</v>
      </c>
      <c r="X91" s="77">
        <f t="shared" si="17"/>
        <v>0</v>
      </c>
      <c r="Y91" s="78" t="e">
        <f t="shared" si="18"/>
        <v>#REF!</v>
      </c>
      <c r="Z91" s="54"/>
    </row>
    <row r="92" spans="1:26" ht="12" customHeight="1">
      <c r="A92" s="61"/>
      <c r="B92" s="65"/>
      <c r="C92" s="66"/>
      <c r="D92" s="65"/>
      <c r="E92" s="65"/>
      <c r="F92" s="65"/>
      <c r="G92" s="66" t="s">
        <v>305</v>
      </c>
      <c r="H92" s="65">
        <v>1</v>
      </c>
      <c r="I92" s="65">
        <v>0</v>
      </c>
      <c r="J92" s="65" t="s">
        <v>196</v>
      </c>
      <c r="K92" s="65">
        <f>+RI_GND</f>
        <v>50</v>
      </c>
      <c r="L92" s="65" t="str">
        <f>+CI_GND</f>
        <v>1500pF</v>
      </c>
      <c r="M92" s="65" t="str">
        <f>+LI_GND</f>
        <v>0.08uH</v>
      </c>
      <c r="N92" s="65">
        <f>+'C - FPU to CVV'!N89</f>
        <v>0</v>
      </c>
      <c r="O92" s="65">
        <f>+'C - FPU to CVV'!O89</f>
        <v>0</v>
      </c>
      <c r="P92" s="67">
        <v>0</v>
      </c>
      <c r="Q92" s="67">
        <v>0</v>
      </c>
      <c r="R92" s="67">
        <v>0</v>
      </c>
      <c r="S92" s="65">
        <f>+'C - FPU to CVV'!S89</f>
        <v>0.1</v>
      </c>
      <c r="T92" s="69">
        <f t="shared" si="23"/>
        <v>0.5</v>
      </c>
      <c r="U92" s="69">
        <f>+'C - FPU to CVV'!U89</f>
        <v>0.3333333333333333</v>
      </c>
      <c r="V92" s="69">
        <f>+'C - FPU to CVV'!V89</f>
        <v>0.16666666666666666</v>
      </c>
      <c r="W92" s="70">
        <f t="shared" si="22"/>
        <v>0</v>
      </c>
      <c r="X92" s="70">
        <f t="shared" si="17"/>
        <v>0</v>
      </c>
      <c r="Y92" s="71" t="e">
        <f t="shared" si="18"/>
        <v>#REF!</v>
      </c>
      <c r="Z92" s="54"/>
    </row>
    <row r="93" spans="1:26" ht="25.5">
      <c r="A93" s="61"/>
      <c r="B93" s="72"/>
      <c r="C93" s="73" t="s">
        <v>147</v>
      </c>
      <c r="D93" s="72" t="s">
        <v>490</v>
      </c>
      <c r="E93" s="72" t="s">
        <v>499</v>
      </c>
      <c r="F93" s="72" t="s">
        <v>494</v>
      </c>
      <c r="G93" s="73" t="s">
        <v>315</v>
      </c>
      <c r="H93" s="72">
        <v>32</v>
      </c>
      <c r="I93" s="72">
        <v>16</v>
      </c>
      <c r="J93" s="72" t="s">
        <v>261</v>
      </c>
      <c r="K93" s="72">
        <f>+RI_BOL_SIG</f>
        <v>500</v>
      </c>
      <c r="L93" s="72" t="str">
        <f>+CI_BOL_SIG</f>
        <v>1500pF</v>
      </c>
      <c r="M93" s="72" t="str">
        <f>+LI_BOL_SIG</f>
        <v>0.08uH</v>
      </c>
      <c r="N93" s="74">
        <f>+'C - FPU to CVV'!N88</f>
        <v>1E-09</v>
      </c>
      <c r="O93" s="72">
        <f>+'C - FPU to CVV'!O88</f>
        <v>5E-10</v>
      </c>
      <c r="P93" s="75">
        <v>1</v>
      </c>
      <c r="Q93" s="75">
        <v>0</v>
      </c>
      <c r="R93" s="75">
        <v>0</v>
      </c>
      <c r="S93" s="72">
        <f>+'C - FPU to CVV'!S89</f>
        <v>0.1</v>
      </c>
      <c r="T93" s="76">
        <f t="shared" si="23"/>
        <v>0.5</v>
      </c>
      <c r="U93" s="76">
        <f>+'C - FPU to CVV'!U89</f>
        <v>0.3333333333333333</v>
      </c>
      <c r="V93" s="76">
        <f>+'C - FPU to CVV'!V89</f>
        <v>0.16666666666666666</v>
      </c>
      <c r="W93" s="77">
        <f t="shared" si="22"/>
        <v>1.6E-14</v>
      </c>
      <c r="X93" s="77">
        <f t="shared" si="17"/>
        <v>6.666666666666667E-16</v>
      </c>
      <c r="Y93" s="78" t="e">
        <f t="shared" si="18"/>
        <v>#REF!</v>
      </c>
      <c r="Z93" s="54"/>
    </row>
    <row r="94" spans="1:26" ht="12" customHeight="1">
      <c r="A94" s="61"/>
      <c r="B94" s="72"/>
      <c r="C94" s="73"/>
      <c r="D94" s="72"/>
      <c r="E94" s="72"/>
      <c r="F94" s="72"/>
      <c r="G94" s="73" t="s">
        <v>278</v>
      </c>
      <c r="H94" s="72">
        <v>1</v>
      </c>
      <c r="I94" s="72">
        <v>0</v>
      </c>
      <c r="J94" s="72" t="s">
        <v>196</v>
      </c>
      <c r="K94" s="72">
        <f>+RI_GND</f>
        <v>50</v>
      </c>
      <c r="L94" s="72" t="str">
        <f>+CI_GND</f>
        <v>1500pF</v>
      </c>
      <c r="M94" s="72" t="str">
        <f>+LI_GND</f>
        <v>0.08uH</v>
      </c>
      <c r="N94" s="72">
        <f>+'C - FPU to CVV'!N91</f>
        <v>0</v>
      </c>
      <c r="O94" s="72">
        <f>+'C - FPU to CVV'!O91</f>
        <v>0</v>
      </c>
      <c r="P94" s="75">
        <v>0</v>
      </c>
      <c r="Q94" s="75">
        <v>0</v>
      </c>
      <c r="R94" s="75">
        <v>0</v>
      </c>
      <c r="S94" s="72">
        <f>+'C - FPU to CVV'!S91</f>
        <v>0.1</v>
      </c>
      <c r="T94" s="76">
        <f t="shared" si="23"/>
        <v>0.5</v>
      </c>
      <c r="U94" s="76">
        <f>+'C - FPU to CVV'!U91</f>
        <v>0.3333333333333333</v>
      </c>
      <c r="V94" s="76">
        <f>+'C - FPU to CVV'!V91</f>
        <v>0.16666666666666666</v>
      </c>
      <c r="W94" s="77">
        <f t="shared" si="22"/>
        <v>0</v>
      </c>
      <c r="X94" s="77">
        <f t="shared" si="17"/>
        <v>0</v>
      </c>
      <c r="Y94" s="78" t="e">
        <f t="shared" si="18"/>
        <v>#REF!</v>
      </c>
      <c r="Z94" s="54"/>
    </row>
    <row r="95" spans="1:26" ht="12" customHeight="1">
      <c r="A95" s="61"/>
      <c r="B95" s="65"/>
      <c r="C95" s="66"/>
      <c r="D95" s="65"/>
      <c r="E95" s="65"/>
      <c r="F95" s="65"/>
      <c r="G95" s="66" t="s">
        <v>305</v>
      </c>
      <c r="H95" s="65">
        <v>1</v>
      </c>
      <c r="I95" s="65">
        <v>0</v>
      </c>
      <c r="J95" s="65" t="s">
        <v>196</v>
      </c>
      <c r="K95" s="65">
        <f>+RI_GND</f>
        <v>50</v>
      </c>
      <c r="L95" s="65" t="str">
        <f>+CI_GND</f>
        <v>1500pF</v>
      </c>
      <c r="M95" s="65" t="str">
        <f>+LI_GND</f>
        <v>0.08uH</v>
      </c>
      <c r="N95" s="65">
        <v>0</v>
      </c>
      <c r="O95" s="65">
        <v>0</v>
      </c>
      <c r="P95" s="67">
        <v>0</v>
      </c>
      <c r="Q95" s="67">
        <v>0</v>
      </c>
      <c r="R95" s="67">
        <v>0</v>
      </c>
      <c r="S95" s="65">
        <f>+'C - FPU to CVV'!S92</f>
        <v>0.1</v>
      </c>
      <c r="T95" s="69">
        <f t="shared" si="23"/>
        <v>0.5</v>
      </c>
      <c r="U95" s="69">
        <f>+'C - FPU to CVV'!U92</f>
        <v>0.3333333333333333</v>
      </c>
      <c r="V95" s="69">
        <f>+'C - FPU to CVV'!V92</f>
        <v>0.16666666666666666</v>
      </c>
      <c r="W95" s="70">
        <f t="shared" si="22"/>
        <v>0</v>
      </c>
      <c r="X95" s="70">
        <f t="shared" si="17"/>
        <v>0</v>
      </c>
      <c r="Y95" s="71" t="e">
        <f t="shared" si="18"/>
        <v>#REF!</v>
      </c>
      <c r="Z95" s="54"/>
    </row>
    <row r="96" spans="1:26" ht="25.5">
      <c r="A96" s="61"/>
      <c r="B96" s="72"/>
      <c r="C96" s="73" t="s">
        <v>98</v>
      </c>
      <c r="D96" s="72" t="s">
        <v>490</v>
      </c>
      <c r="E96" s="72" t="s">
        <v>500</v>
      </c>
      <c r="F96" s="72" t="s">
        <v>494</v>
      </c>
      <c r="G96" s="73" t="s">
        <v>316</v>
      </c>
      <c r="H96" s="72">
        <v>32</v>
      </c>
      <c r="I96" s="72">
        <v>16</v>
      </c>
      <c r="J96" s="72" t="s">
        <v>261</v>
      </c>
      <c r="K96" s="72">
        <f>+RI_BOL_SIG</f>
        <v>500</v>
      </c>
      <c r="L96" s="72" t="str">
        <f>+CI_BOL_SIG</f>
        <v>1500pF</v>
      </c>
      <c r="M96" s="72" t="str">
        <f>+LI_BOL_SIG</f>
        <v>0.08uH</v>
      </c>
      <c r="N96" s="74">
        <f>+'C - FPU to CVV'!N92</f>
        <v>1E-09</v>
      </c>
      <c r="O96" s="72">
        <f>+'C - FPU to CVV'!O92</f>
        <v>5E-10</v>
      </c>
      <c r="P96" s="75">
        <v>1</v>
      </c>
      <c r="Q96" s="75">
        <v>0</v>
      </c>
      <c r="R96" s="75">
        <v>0</v>
      </c>
      <c r="S96" s="72">
        <f>+'C - FPU to CVV'!S92</f>
        <v>0.1</v>
      </c>
      <c r="T96" s="76">
        <f t="shared" si="23"/>
        <v>0.5</v>
      </c>
      <c r="U96" s="76">
        <f>+'C - FPU to CVV'!U92</f>
        <v>0.3333333333333333</v>
      </c>
      <c r="V96" s="76">
        <f>+'C - FPU to CVV'!V92</f>
        <v>0.16666666666666666</v>
      </c>
      <c r="W96" s="77">
        <f t="shared" si="22"/>
        <v>1.6E-14</v>
      </c>
      <c r="X96" s="77">
        <f t="shared" si="17"/>
        <v>6.666666666666667E-16</v>
      </c>
      <c r="Y96" s="78" t="e">
        <f t="shared" si="18"/>
        <v>#REF!</v>
      </c>
      <c r="Z96" s="54"/>
    </row>
    <row r="97" spans="1:26" ht="25.5">
      <c r="A97" s="61"/>
      <c r="B97" s="72"/>
      <c r="C97" s="73"/>
      <c r="D97" s="72"/>
      <c r="E97" s="72"/>
      <c r="F97" s="72"/>
      <c r="G97" s="73" t="s">
        <v>278</v>
      </c>
      <c r="H97" s="72">
        <v>1</v>
      </c>
      <c r="I97" s="72">
        <v>0</v>
      </c>
      <c r="J97" s="72" t="s">
        <v>196</v>
      </c>
      <c r="K97" s="72">
        <f>+RI_GND</f>
        <v>50</v>
      </c>
      <c r="L97" s="72" t="str">
        <f>+CI_GND</f>
        <v>1500pF</v>
      </c>
      <c r="M97" s="72" t="str">
        <f>+LI_GND</f>
        <v>0.08uH</v>
      </c>
      <c r="N97" s="72">
        <f>+'C - FPU to CVV'!N94</f>
        <v>0</v>
      </c>
      <c r="O97" s="72">
        <f>+'C - FPU to CVV'!O94</f>
        <v>0</v>
      </c>
      <c r="P97" s="75">
        <v>0</v>
      </c>
      <c r="Q97" s="75">
        <v>0</v>
      </c>
      <c r="R97" s="75">
        <v>0</v>
      </c>
      <c r="S97" s="72">
        <v>0</v>
      </c>
      <c r="T97" s="76">
        <f t="shared" si="23"/>
        <v>0.5</v>
      </c>
      <c r="U97" s="76" t="e">
        <f>+'C - FPU to CVV'!#REF!</f>
        <v>#REF!</v>
      </c>
      <c r="V97" s="76" t="e">
        <f>+'C - FPU to CVV'!#REF!</f>
        <v>#REF!</v>
      </c>
      <c r="W97" s="77">
        <f t="shared" si="22"/>
        <v>0</v>
      </c>
      <c r="X97" s="77" t="e">
        <f t="shared" si="17"/>
        <v>#REF!</v>
      </c>
      <c r="Y97" s="78" t="e">
        <f t="shared" si="18"/>
        <v>#REF!</v>
      </c>
      <c r="Z97" s="54"/>
    </row>
    <row r="98" spans="1:26" ht="12" customHeight="1">
      <c r="A98" s="61"/>
      <c r="B98" s="72"/>
      <c r="C98" s="73"/>
      <c r="D98" s="72"/>
      <c r="E98" s="72"/>
      <c r="F98" s="72"/>
      <c r="G98" s="73" t="s">
        <v>305</v>
      </c>
      <c r="H98" s="72">
        <v>1</v>
      </c>
      <c r="I98" s="72">
        <v>0</v>
      </c>
      <c r="J98" s="72" t="s">
        <v>196</v>
      </c>
      <c r="K98" s="72">
        <f>+RI_GND</f>
        <v>50</v>
      </c>
      <c r="L98" s="72" t="str">
        <f>+CI_GND</f>
        <v>1500pF</v>
      </c>
      <c r="M98" s="72" t="str">
        <f>+LI_GND</f>
        <v>0.08uH</v>
      </c>
      <c r="N98" s="72">
        <v>0</v>
      </c>
      <c r="O98" s="72">
        <v>0</v>
      </c>
      <c r="P98" s="75">
        <v>0</v>
      </c>
      <c r="Q98" s="75">
        <v>0</v>
      </c>
      <c r="R98" s="75">
        <v>0</v>
      </c>
      <c r="S98" s="72">
        <f>+'C - FPU to CVV'!S95</f>
        <v>0.1</v>
      </c>
      <c r="T98" s="76">
        <f t="shared" si="23"/>
        <v>0.5</v>
      </c>
      <c r="U98" s="76">
        <f>+'C - FPU to CVV'!U95</f>
        <v>0.3333333333333333</v>
      </c>
      <c r="V98" s="76">
        <f>+'C - FPU to CVV'!V95</f>
        <v>0.16666666666666666</v>
      </c>
      <c r="W98" s="77">
        <f t="shared" si="22"/>
        <v>0</v>
      </c>
      <c r="X98" s="77">
        <f t="shared" si="17"/>
        <v>0</v>
      </c>
      <c r="Y98" s="78" t="e">
        <f t="shared" si="18"/>
        <v>#REF!</v>
      </c>
      <c r="Z98" s="54"/>
    </row>
    <row r="99" spans="1:25" s="134" customFormat="1" ht="13.5" thickBot="1">
      <c r="A99" s="130"/>
      <c r="B99" s="89"/>
      <c r="C99" s="90" t="s">
        <v>714</v>
      </c>
      <c r="D99" s="89"/>
      <c r="E99" s="89"/>
      <c r="F99" s="89"/>
      <c r="G99" s="90" t="s">
        <v>715</v>
      </c>
      <c r="H99" s="89"/>
      <c r="I99" s="89"/>
      <c r="J99" s="91" t="s">
        <v>716</v>
      </c>
      <c r="K99" s="89"/>
      <c r="L99" s="89"/>
      <c r="M99" s="89" t="s">
        <v>712</v>
      </c>
      <c r="N99" s="89"/>
      <c r="O99" s="89"/>
      <c r="P99" s="92"/>
      <c r="Q99" s="92"/>
      <c r="R99" s="92"/>
      <c r="S99" s="89"/>
      <c r="T99" s="93"/>
      <c r="U99" s="93"/>
      <c r="V99" s="93"/>
      <c r="W99" s="94"/>
      <c r="X99" s="94">
        <f t="shared" si="17"/>
        <v>0</v>
      </c>
      <c r="Y99" s="95" t="e">
        <f>+X99/$X$196</f>
        <v>#REF!</v>
      </c>
    </row>
    <row r="100" spans="1:26" ht="26.25" thickTop="1">
      <c r="A100" s="61" t="s">
        <v>724</v>
      </c>
      <c r="B100" s="72" t="s">
        <v>95</v>
      </c>
      <c r="C100" s="73" t="s">
        <v>142</v>
      </c>
      <c r="D100" s="72" t="s">
        <v>490</v>
      </c>
      <c r="E100" s="72" t="s">
        <v>501</v>
      </c>
      <c r="F100" s="72" t="s">
        <v>494</v>
      </c>
      <c r="G100" s="73" t="s">
        <v>317</v>
      </c>
      <c r="H100" s="72">
        <v>32</v>
      </c>
      <c r="I100" s="72">
        <v>16</v>
      </c>
      <c r="J100" s="72" t="s">
        <v>261</v>
      </c>
      <c r="K100" s="72">
        <f>+RI_BOL_SIG</f>
        <v>500</v>
      </c>
      <c r="L100" s="72" t="str">
        <f>+CI_BOL_SIG</f>
        <v>1500pF</v>
      </c>
      <c r="M100" s="72" t="str">
        <f>+LI_BOL_SIG</f>
        <v>0.08uH</v>
      </c>
      <c r="N100" s="74">
        <f>+'C - FPU to CVV'!N95</f>
        <v>1E-09</v>
      </c>
      <c r="O100" s="72">
        <f>+'C - FPU to CVV'!O95</f>
        <v>5E-10</v>
      </c>
      <c r="P100" s="75">
        <v>1</v>
      </c>
      <c r="Q100" s="75">
        <v>0</v>
      </c>
      <c r="R100" s="75">
        <v>0</v>
      </c>
      <c r="S100" s="72">
        <f>+'C - FPU to CVV'!S95</f>
        <v>0.1</v>
      </c>
      <c r="T100" s="76">
        <f>+DC_PHOT</f>
        <v>0.5</v>
      </c>
      <c r="U100" s="76">
        <f>+'C - FPU to CVV'!U95</f>
        <v>0.3333333333333333</v>
      </c>
      <c r="V100" s="76">
        <f>+'C - FPU to CVV'!V95</f>
        <v>0.16666666666666666</v>
      </c>
      <c r="W100" s="77">
        <f aca="true" t="shared" si="24" ref="W100:W108">+N100^2*K100*H100</f>
        <v>1.6E-14</v>
      </c>
      <c r="X100" s="77">
        <f t="shared" si="17"/>
        <v>6.666666666666667E-16</v>
      </c>
      <c r="Y100" s="78" t="e">
        <f t="shared" si="18"/>
        <v>#REF!</v>
      </c>
      <c r="Z100" s="54"/>
    </row>
    <row r="101" spans="1:26" ht="12" customHeight="1">
      <c r="A101" s="61" t="s">
        <v>3</v>
      </c>
      <c r="B101" s="72"/>
      <c r="C101" s="73"/>
      <c r="D101" s="72"/>
      <c r="E101" s="72"/>
      <c r="F101" s="72"/>
      <c r="G101" s="73" t="s">
        <v>278</v>
      </c>
      <c r="H101" s="72">
        <v>1</v>
      </c>
      <c r="I101" s="72">
        <v>0</v>
      </c>
      <c r="J101" s="72" t="s">
        <v>196</v>
      </c>
      <c r="K101" s="72">
        <f>+RI_GND</f>
        <v>50</v>
      </c>
      <c r="L101" s="72" t="str">
        <f>+CI_GND</f>
        <v>1500pF</v>
      </c>
      <c r="M101" s="72" t="str">
        <f>+LI_GND</f>
        <v>0.08uH</v>
      </c>
      <c r="N101" s="72">
        <f>+'C - FPU to CVV'!N96</f>
        <v>0</v>
      </c>
      <c r="O101" s="72">
        <v>0</v>
      </c>
      <c r="P101" s="75">
        <v>0</v>
      </c>
      <c r="Q101" s="75">
        <v>0</v>
      </c>
      <c r="R101" s="75">
        <v>0</v>
      </c>
      <c r="S101" s="72">
        <f>+'C - FPU to CVV'!S97</f>
        <v>0.1</v>
      </c>
      <c r="T101" s="76">
        <f aca="true" t="shared" si="25" ref="T101:T108">+DC_PHOT</f>
        <v>0.5</v>
      </c>
      <c r="U101" s="76">
        <f>+'C - FPU to CVV'!U97</f>
        <v>0.3333333333333333</v>
      </c>
      <c r="V101" s="76">
        <f>+'C - FPU to CVV'!V97</f>
        <v>0.16666666666666666</v>
      </c>
      <c r="W101" s="77">
        <f t="shared" si="24"/>
        <v>0</v>
      </c>
      <c r="X101" s="77">
        <f aca="true" t="shared" si="26" ref="X101:X129">+O101^2*K101*V101*H101</f>
        <v>0</v>
      </c>
      <c r="Y101" s="78" t="e">
        <f aca="true" t="shared" si="27" ref="Y101:Y129">+X101/$X$196</f>
        <v>#REF!</v>
      </c>
      <c r="Z101" s="54"/>
    </row>
    <row r="102" spans="1:26" ht="12" customHeight="1">
      <c r="A102" s="61"/>
      <c r="B102" s="65"/>
      <c r="C102" s="66"/>
      <c r="D102" s="65"/>
      <c r="E102" s="65"/>
      <c r="F102" s="65"/>
      <c r="G102" s="66" t="s">
        <v>305</v>
      </c>
      <c r="H102" s="65">
        <v>1</v>
      </c>
      <c r="I102" s="65">
        <v>0</v>
      </c>
      <c r="J102" s="65" t="s">
        <v>196</v>
      </c>
      <c r="K102" s="65">
        <f>+RI_GND</f>
        <v>50</v>
      </c>
      <c r="L102" s="65" t="str">
        <f>+CI_GND</f>
        <v>1500pF</v>
      </c>
      <c r="M102" s="65" t="str">
        <f>+LI_GND</f>
        <v>0.08uH</v>
      </c>
      <c r="N102" s="65">
        <f>+'C - FPU to CVV'!N98</f>
        <v>0</v>
      </c>
      <c r="O102" s="65">
        <f>+'C - FPU to CVV'!O98</f>
        <v>0</v>
      </c>
      <c r="P102" s="67">
        <v>0</v>
      </c>
      <c r="Q102" s="67">
        <v>0</v>
      </c>
      <c r="R102" s="67">
        <v>0</v>
      </c>
      <c r="S102" s="65">
        <f>+'C - FPU to CVV'!S98</f>
        <v>0.1</v>
      </c>
      <c r="T102" s="69">
        <f t="shared" si="25"/>
        <v>0.5</v>
      </c>
      <c r="U102" s="69">
        <f>+'C - FPU to CVV'!U98</f>
        <v>0.3333333333333333</v>
      </c>
      <c r="V102" s="69">
        <f>+'C - FPU to CVV'!V98</f>
        <v>0.16666666666666666</v>
      </c>
      <c r="W102" s="70">
        <f t="shared" si="24"/>
        <v>0</v>
      </c>
      <c r="X102" s="70">
        <f t="shared" si="26"/>
        <v>0</v>
      </c>
      <c r="Y102" s="71" t="e">
        <f t="shared" si="27"/>
        <v>#REF!</v>
      </c>
      <c r="Z102" s="54"/>
    </row>
    <row r="103" spans="1:26" ht="25.5">
      <c r="A103" s="61"/>
      <c r="B103" s="72"/>
      <c r="C103" s="73" t="s">
        <v>143</v>
      </c>
      <c r="D103" s="72" t="s">
        <v>490</v>
      </c>
      <c r="E103" s="72" t="s">
        <v>502</v>
      </c>
      <c r="F103" s="72" t="s">
        <v>494</v>
      </c>
      <c r="G103" s="73" t="s">
        <v>318</v>
      </c>
      <c r="H103" s="72">
        <v>32</v>
      </c>
      <c r="I103" s="72">
        <v>16</v>
      </c>
      <c r="J103" s="72" t="s">
        <v>261</v>
      </c>
      <c r="K103" s="72">
        <f>+RI_BOL_SIG</f>
        <v>500</v>
      </c>
      <c r="L103" s="72" t="str">
        <f>+CI_BOL_SIG</f>
        <v>1500pF</v>
      </c>
      <c r="M103" s="72" t="str">
        <f>+LI_BOL_SIG</f>
        <v>0.08uH</v>
      </c>
      <c r="N103" s="74">
        <f>+'C - FPU to CVV'!N97</f>
        <v>1E-09</v>
      </c>
      <c r="O103" s="72">
        <f>+'C - FPU to CVV'!O97</f>
        <v>5E-10</v>
      </c>
      <c r="P103" s="75">
        <v>1</v>
      </c>
      <c r="Q103" s="75">
        <v>0</v>
      </c>
      <c r="R103" s="75">
        <v>0</v>
      </c>
      <c r="S103" s="72">
        <f>+'C - FPU to CVV'!S98</f>
        <v>0.1</v>
      </c>
      <c r="T103" s="76">
        <f t="shared" si="25"/>
        <v>0.5</v>
      </c>
      <c r="U103" s="76">
        <f>+'C - FPU to CVV'!U98</f>
        <v>0.3333333333333333</v>
      </c>
      <c r="V103" s="76">
        <f>+'C - FPU to CVV'!V98</f>
        <v>0.16666666666666666</v>
      </c>
      <c r="W103" s="77">
        <f t="shared" si="24"/>
        <v>1.6E-14</v>
      </c>
      <c r="X103" s="77">
        <f t="shared" si="26"/>
        <v>6.666666666666667E-16</v>
      </c>
      <c r="Y103" s="78" t="e">
        <f t="shared" si="27"/>
        <v>#REF!</v>
      </c>
      <c r="Z103" s="54"/>
    </row>
    <row r="104" spans="1:26" ht="12" customHeight="1">
      <c r="A104" s="61"/>
      <c r="B104" s="72"/>
      <c r="C104" s="73"/>
      <c r="D104" s="72"/>
      <c r="E104" s="72"/>
      <c r="F104" s="72"/>
      <c r="G104" s="73" t="s">
        <v>278</v>
      </c>
      <c r="H104" s="72">
        <v>1</v>
      </c>
      <c r="I104" s="72">
        <v>0</v>
      </c>
      <c r="J104" s="72" t="s">
        <v>196</v>
      </c>
      <c r="K104" s="72">
        <f>+RI_GND</f>
        <v>50</v>
      </c>
      <c r="L104" s="72" t="str">
        <f>+CI_GND</f>
        <v>1500pF</v>
      </c>
      <c r="M104" s="72" t="str">
        <f>+LI_GND</f>
        <v>0.08uH</v>
      </c>
      <c r="N104" s="72">
        <f>+'C - FPU to CVV'!N100</f>
        <v>0</v>
      </c>
      <c r="O104" s="72">
        <f>+'C - FPU to CVV'!O100</f>
        <v>0</v>
      </c>
      <c r="P104" s="75">
        <v>0</v>
      </c>
      <c r="Q104" s="75">
        <v>0</v>
      </c>
      <c r="R104" s="75">
        <v>0</v>
      </c>
      <c r="S104" s="72">
        <f>+'C - FPU to CVV'!S100</f>
        <v>0.1</v>
      </c>
      <c r="T104" s="76">
        <f t="shared" si="25"/>
        <v>0.5</v>
      </c>
      <c r="U104" s="76">
        <f>+'C - FPU to CVV'!U100</f>
        <v>0.3333333333333333</v>
      </c>
      <c r="V104" s="76">
        <f>+'C - FPU to CVV'!V100</f>
        <v>0.16666666666666666</v>
      </c>
      <c r="W104" s="77">
        <f t="shared" si="24"/>
        <v>0</v>
      </c>
      <c r="X104" s="77">
        <f t="shared" si="26"/>
        <v>0</v>
      </c>
      <c r="Y104" s="78" t="e">
        <f t="shared" si="27"/>
        <v>#REF!</v>
      </c>
      <c r="Z104" s="54"/>
    </row>
    <row r="105" spans="1:26" ht="12" customHeight="1">
      <c r="A105" s="61"/>
      <c r="B105" s="65"/>
      <c r="C105" s="66"/>
      <c r="D105" s="65"/>
      <c r="E105" s="65"/>
      <c r="F105" s="65"/>
      <c r="G105" s="66" t="s">
        <v>305</v>
      </c>
      <c r="H105" s="65">
        <v>1</v>
      </c>
      <c r="I105" s="65">
        <v>0</v>
      </c>
      <c r="J105" s="65" t="s">
        <v>196</v>
      </c>
      <c r="K105" s="65">
        <f>+RI_GND</f>
        <v>50</v>
      </c>
      <c r="L105" s="65" t="str">
        <f>+CI_GND</f>
        <v>1500pF</v>
      </c>
      <c r="M105" s="65" t="str">
        <f>+LI_GND</f>
        <v>0.08uH</v>
      </c>
      <c r="N105" s="65">
        <v>0</v>
      </c>
      <c r="O105" s="65">
        <v>0</v>
      </c>
      <c r="P105" s="67">
        <v>0</v>
      </c>
      <c r="Q105" s="67">
        <v>0</v>
      </c>
      <c r="R105" s="67">
        <v>0</v>
      </c>
      <c r="S105" s="65">
        <f>+'C - FPU to CVV'!S101</f>
        <v>0.1</v>
      </c>
      <c r="T105" s="69">
        <f t="shared" si="25"/>
        <v>0.5</v>
      </c>
      <c r="U105" s="69">
        <f>+'C - FPU to CVV'!U101</f>
        <v>0.3333333333333333</v>
      </c>
      <c r="V105" s="69">
        <f>+'C - FPU to CVV'!V101</f>
        <v>0.16666666666666666</v>
      </c>
      <c r="W105" s="70">
        <f t="shared" si="24"/>
        <v>0</v>
      </c>
      <c r="X105" s="70">
        <f t="shared" si="26"/>
        <v>0</v>
      </c>
      <c r="Y105" s="71" t="e">
        <f t="shared" si="27"/>
        <v>#REF!</v>
      </c>
      <c r="Z105" s="54"/>
    </row>
    <row r="106" spans="1:26" ht="25.5">
      <c r="A106" s="61"/>
      <c r="B106" s="72"/>
      <c r="C106" s="73" t="s">
        <v>144</v>
      </c>
      <c r="D106" s="72" t="s">
        <v>490</v>
      </c>
      <c r="E106" s="72" t="s">
        <v>503</v>
      </c>
      <c r="F106" s="72" t="s">
        <v>494</v>
      </c>
      <c r="G106" s="73" t="s">
        <v>319</v>
      </c>
      <c r="H106" s="72">
        <v>32</v>
      </c>
      <c r="I106" s="72">
        <v>16</v>
      </c>
      <c r="J106" s="72" t="s">
        <v>261</v>
      </c>
      <c r="K106" s="72">
        <f>+RI_BOL_SIG</f>
        <v>500</v>
      </c>
      <c r="L106" s="72" t="str">
        <f>+CI_BOL_SIG</f>
        <v>1500pF</v>
      </c>
      <c r="M106" s="72" t="str">
        <f>+LI_BOL_SIG</f>
        <v>0.08uH</v>
      </c>
      <c r="N106" s="74">
        <f>+'C - FPU to CVV'!N101</f>
        <v>1E-09</v>
      </c>
      <c r="O106" s="72">
        <f>+'C - FPU to CVV'!O101</f>
        <v>5E-10</v>
      </c>
      <c r="P106" s="75">
        <v>1</v>
      </c>
      <c r="Q106" s="75">
        <v>0</v>
      </c>
      <c r="R106" s="75">
        <v>0</v>
      </c>
      <c r="S106" s="72">
        <f>+'C - FPU to CVV'!S101</f>
        <v>0.1</v>
      </c>
      <c r="T106" s="76">
        <f t="shared" si="25"/>
        <v>0.5</v>
      </c>
      <c r="U106" s="76">
        <f>+'C - FPU to CVV'!U101</f>
        <v>0.3333333333333333</v>
      </c>
      <c r="V106" s="76">
        <f>+'C - FPU to CVV'!V101</f>
        <v>0.16666666666666666</v>
      </c>
      <c r="W106" s="77">
        <f t="shared" si="24"/>
        <v>1.6E-14</v>
      </c>
      <c r="X106" s="77">
        <f t="shared" si="26"/>
        <v>6.666666666666667E-16</v>
      </c>
      <c r="Y106" s="78" t="e">
        <f t="shared" si="27"/>
        <v>#REF!</v>
      </c>
      <c r="Z106" s="54"/>
    </row>
    <row r="107" spans="1:26" ht="12" customHeight="1">
      <c r="A107" s="61"/>
      <c r="B107" s="72"/>
      <c r="C107" s="73"/>
      <c r="D107" s="72"/>
      <c r="E107" s="72"/>
      <c r="F107" s="72"/>
      <c r="G107" s="73" t="s">
        <v>278</v>
      </c>
      <c r="H107" s="72">
        <v>1</v>
      </c>
      <c r="I107" s="72">
        <v>0</v>
      </c>
      <c r="J107" s="72" t="s">
        <v>196</v>
      </c>
      <c r="K107" s="72">
        <f>+RI_GND</f>
        <v>50</v>
      </c>
      <c r="L107" s="72" t="str">
        <f>+CI_GND</f>
        <v>1500pF</v>
      </c>
      <c r="M107" s="72" t="str">
        <f>+LI_GND</f>
        <v>0.08uH</v>
      </c>
      <c r="N107" s="72">
        <f>+'C - FPU to CVV'!N103</f>
        <v>0</v>
      </c>
      <c r="O107" s="72">
        <f>+'C - FPU to CVV'!O103</f>
        <v>0</v>
      </c>
      <c r="P107" s="75">
        <v>0</v>
      </c>
      <c r="Q107" s="75">
        <v>0</v>
      </c>
      <c r="R107" s="75">
        <v>0</v>
      </c>
      <c r="S107" s="72">
        <f>+'C - FPU to CVV'!S102</f>
        <v>0.1</v>
      </c>
      <c r="T107" s="76">
        <f t="shared" si="25"/>
        <v>0.5</v>
      </c>
      <c r="U107" s="76">
        <f>+'C - FPU to CVV'!U102</f>
        <v>0.3333333333333333</v>
      </c>
      <c r="V107" s="76">
        <f>+'C - FPU to CVV'!V102</f>
        <v>0.16666666666666666</v>
      </c>
      <c r="W107" s="77">
        <f t="shared" si="24"/>
        <v>0</v>
      </c>
      <c r="X107" s="77">
        <f t="shared" si="26"/>
        <v>0</v>
      </c>
      <c r="Y107" s="78" t="e">
        <f t="shared" si="27"/>
        <v>#REF!</v>
      </c>
      <c r="Z107" s="54"/>
    </row>
    <row r="108" spans="1:26" ht="12" customHeight="1">
      <c r="A108" s="61"/>
      <c r="B108" s="72"/>
      <c r="C108" s="73"/>
      <c r="D108" s="72"/>
      <c r="E108" s="72"/>
      <c r="F108" s="72"/>
      <c r="G108" s="73" t="s">
        <v>305</v>
      </c>
      <c r="H108" s="72">
        <v>1</v>
      </c>
      <c r="I108" s="72">
        <v>0</v>
      </c>
      <c r="J108" s="72" t="s">
        <v>196</v>
      </c>
      <c r="K108" s="72">
        <f>+RI_GND</f>
        <v>50</v>
      </c>
      <c r="L108" s="72" t="str">
        <f>+CI_GND</f>
        <v>1500pF</v>
      </c>
      <c r="M108" s="72" t="str">
        <f>+LI_GND</f>
        <v>0.08uH</v>
      </c>
      <c r="N108" s="72">
        <v>0</v>
      </c>
      <c r="O108" s="72">
        <v>0</v>
      </c>
      <c r="P108" s="75">
        <v>0</v>
      </c>
      <c r="Q108" s="75">
        <v>0</v>
      </c>
      <c r="R108" s="75">
        <v>0</v>
      </c>
      <c r="S108" s="72">
        <f>+'C - FPU to CVV'!S104</f>
        <v>0.1</v>
      </c>
      <c r="T108" s="76">
        <f t="shared" si="25"/>
        <v>0.5</v>
      </c>
      <c r="U108" s="76">
        <f>+'C - FPU to CVV'!U104</f>
        <v>0.3333333333333333</v>
      </c>
      <c r="V108" s="76">
        <f>+'C - FPU to CVV'!V104</f>
        <v>0.16666666666666666</v>
      </c>
      <c r="W108" s="77">
        <f t="shared" si="24"/>
        <v>0</v>
      </c>
      <c r="X108" s="77">
        <f t="shared" si="26"/>
        <v>0</v>
      </c>
      <c r="Y108" s="78" t="e">
        <f t="shared" si="27"/>
        <v>#REF!</v>
      </c>
      <c r="Z108" s="54"/>
    </row>
    <row r="109" spans="1:25" s="134" customFormat="1" ht="13.5" thickBot="1">
      <c r="A109" s="130"/>
      <c r="B109" s="89"/>
      <c r="C109" s="90" t="s">
        <v>714</v>
      </c>
      <c r="D109" s="89"/>
      <c r="E109" s="89"/>
      <c r="F109" s="89"/>
      <c r="G109" s="90" t="s">
        <v>715</v>
      </c>
      <c r="H109" s="89"/>
      <c r="I109" s="89"/>
      <c r="J109" s="91" t="s">
        <v>716</v>
      </c>
      <c r="K109" s="89"/>
      <c r="L109" s="89"/>
      <c r="M109" s="89" t="s">
        <v>712</v>
      </c>
      <c r="N109" s="89"/>
      <c r="O109" s="89"/>
      <c r="P109" s="92"/>
      <c r="Q109" s="92"/>
      <c r="R109" s="92"/>
      <c r="S109" s="89"/>
      <c r="T109" s="93"/>
      <c r="U109" s="93"/>
      <c r="V109" s="93"/>
      <c r="W109" s="94"/>
      <c r="X109" s="94">
        <f t="shared" si="26"/>
        <v>0</v>
      </c>
      <c r="Y109" s="95" t="e">
        <f t="shared" si="27"/>
        <v>#REF!</v>
      </c>
    </row>
    <row r="110" spans="1:26" ht="26.25" thickTop="1">
      <c r="A110" s="61" t="s">
        <v>723</v>
      </c>
      <c r="B110" s="72" t="s">
        <v>96</v>
      </c>
      <c r="C110" s="73" t="s">
        <v>148</v>
      </c>
      <c r="D110" s="72" t="s">
        <v>490</v>
      </c>
      <c r="E110" s="72" t="s">
        <v>504</v>
      </c>
      <c r="F110" s="72" t="s">
        <v>494</v>
      </c>
      <c r="G110" s="73" t="s">
        <v>320</v>
      </c>
      <c r="H110" s="72">
        <v>32</v>
      </c>
      <c r="I110" s="72">
        <v>16</v>
      </c>
      <c r="J110" s="72" t="s">
        <v>261</v>
      </c>
      <c r="K110" s="72">
        <f>+RI_BOL_SIG</f>
        <v>500</v>
      </c>
      <c r="L110" s="72" t="str">
        <f>+CI_BOL_SIG</f>
        <v>1500pF</v>
      </c>
      <c r="M110" s="72" t="str">
        <f>+LI_BOL_SIG</f>
        <v>0.08uH</v>
      </c>
      <c r="N110" s="74">
        <f>+'C - FPU to CVV'!N104</f>
        <v>1E-09</v>
      </c>
      <c r="O110" s="72">
        <f>+'C - FPU to CVV'!O104</f>
        <v>5E-10</v>
      </c>
      <c r="P110" s="75">
        <v>1</v>
      </c>
      <c r="Q110" s="75">
        <v>0</v>
      </c>
      <c r="R110" s="75">
        <v>0</v>
      </c>
      <c r="S110" s="72">
        <f>+'C - FPU to CVV'!S104</f>
        <v>0.1</v>
      </c>
      <c r="T110" s="76">
        <f>+DC_PHOT</f>
        <v>0.5</v>
      </c>
      <c r="U110" s="76">
        <f>+'C - FPU to CVV'!U104</f>
        <v>0.3333333333333333</v>
      </c>
      <c r="V110" s="76">
        <f>+'C - FPU to CVV'!V104</f>
        <v>0.16666666666666666</v>
      </c>
      <c r="W110" s="77">
        <f aca="true" t="shared" si="28" ref="W110:W118">+N110^2*K110*H110</f>
        <v>1.6E-14</v>
      </c>
      <c r="X110" s="77">
        <f t="shared" si="26"/>
        <v>6.666666666666667E-16</v>
      </c>
      <c r="Y110" s="78" t="e">
        <f t="shared" si="27"/>
        <v>#REF!</v>
      </c>
      <c r="Z110" s="54"/>
    </row>
    <row r="111" spans="1:26" ht="12" customHeight="1">
      <c r="A111" s="61" t="s">
        <v>3</v>
      </c>
      <c r="B111" s="72"/>
      <c r="C111" s="73"/>
      <c r="D111" s="72"/>
      <c r="E111" s="72"/>
      <c r="F111" s="72"/>
      <c r="G111" s="73" t="s">
        <v>278</v>
      </c>
      <c r="H111" s="72">
        <v>1</v>
      </c>
      <c r="I111" s="72">
        <v>0</v>
      </c>
      <c r="J111" s="72" t="s">
        <v>196</v>
      </c>
      <c r="K111" s="72">
        <f>+RI_GND</f>
        <v>50</v>
      </c>
      <c r="L111" s="72" t="str">
        <f>+CI_GND</f>
        <v>1500pF</v>
      </c>
      <c r="M111" s="72" t="str">
        <f>+LI_GND</f>
        <v>0.08uH</v>
      </c>
      <c r="N111" s="72">
        <f>+'C - FPU to CVV'!N105</f>
        <v>0</v>
      </c>
      <c r="O111" s="72">
        <v>0</v>
      </c>
      <c r="P111" s="75">
        <v>0</v>
      </c>
      <c r="Q111" s="75">
        <v>0</v>
      </c>
      <c r="R111" s="75">
        <v>0</v>
      </c>
      <c r="S111" s="72">
        <f>+'C - FPU to CVV'!S106</f>
        <v>0.1</v>
      </c>
      <c r="T111" s="76">
        <f aca="true" t="shared" si="29" ref="T111:T118">+DC_PHOT</f>
        <v>0.5</v>
      </c>
      <c r="U111" s="76">
        <f>+'C - FPU to CVV'!U106</f>
        <v>0.3333333333333333</v>
      </c>
      <c r="V111" s="76">
        <f>+'C - FPU to CVV'!V106</f>
        <v>0.16666666666666666</v>
      </c>
      <c r="W111" s="77">
        <f t="shared" si="28"/>
        <v>0</v>
      </c>
      <c r="X111" s="77">
        <f t="shared" si="26"/>
        <v>0</v>
      </c>
      <c r="Y111" s="78" t="e">
        <f t="shared" si="27"/>
        <v>#REF!</v>
      </c>
      <c r="Z111" s="54"/>
    </row>
    <row r="112" spans="1:26" ht="12" customHeight="1">
      <c r="A112" s="61"/>
      <c r="B112" s="65"/>
      <c r="C112" s="66"/>
      <c r="D112" s="65"/>
      <c r="E112" s="65"/>
      <c r="F112" s="65"/>
      <c r="G112" s="66" t="s">
        <v>305</v>
      </c>
      <c r="H112" s="65">
        <v>1</v>
      </c>
      <c r="I112" s="65">
        <v>0</v>
      </c>
      <c r="J112" s="65" t="s">
        <v>196</v>
      </c>
      <c r="K112" s="65">
        <f>+RI_GND</f>
        <v>50</v>
      </c>
      <c r="L112" s="65" t="str">
        <f>+CI_GND</f>
        <v>1500pF</v>
      </c>
      <c r="M112" s="65" t="str">
        <f>+LI_GND</f>
        <v>0.08uH</v>
      </c>
      <c r="N112" s="65">
        <f>+'C - FPU to CVV'!N107</f>
        <v>0</v>
      </c>
      <c r="O112" s="65">
        <f>+'C - FPU to CVV'!O107</f>
        <v>0</v>
      </c>
      <c r="P112" s="67">
        <v>0</v>
      </c>
      <c r="Q112" s="67">
        <v>0</v>
      </c>
      <c r="R112" s="67">
        <v>0</v>
      </c>
      <c r="S112" s="65">
        <f>+'C - FPU to CVV'!S107</f>
        <v>0.1</v>
      </c>
      <c r="T112" s="69">
        <f t="shared" si="29"/>
        <v>0.5</v>
      </c>
      <c r="U112" s="69">
        <f>+'C - FPU to CVV'!U107</f>
        <v>0.3333333333333333</v>
      </c>
      <c r="V112" s="69">
        <f>+'C - FPU to CVV'!V107</f>
        <v>0.16666666666666666</v>
      </c>
      <c r="W112" s="70">
        <f t="shared" si="28"/>
        <v>0</v>
      </c>
      <c r="X112" s="70">
        <f t="shared" si="26"/>
        <v>0</v>
      </c>
      <c r="Y112" s="71" t="e">
        <f t="shared" si="27"/>
        <v>#REF!</v>
      </c>
      <c r="Z112" s="54"/>
    </row>
    <row r="113" spans="1:26" ht="25.5">
      <c r="A113" s="61"/>
      <c r="B113" s="72"/>
      <c r="C113" s="73" t="s">
        <v>149</v>
      </c>
      <c r="D113" s="72" t="s">
        <v>490</v>
      </c>
      <c r="E113" s="72" t="s">
        <v>505</v>
      </c>
      <c r="F113" s="72" t="s">
        <v>494</v>
      </c>
      <c r="G113" s="73" t="s">
        <v>321</v>
      </c>
      <c r="H113" s="72">
        <v>32</v>
      </c>
      <c r="I113" s="72">
        <v>16</v>
      </c>
      <c r="J113" s="72" t="s">
        <v>261</v>
      </c>
      <c r="K113" s="72">
        <f>+RI_BOL_SIG</f>
        <v>500</v>
      </c>
      <c r="L113" s="72" t="str">
        <f>+CI_BOL_SIG</f>
        <v>1500pF</v>
      </c>
      <c r="M113" s="72" t="str">
        <f>+LI_BOL_SIG</f>
        <v>0.08uH</v>
      </c>
      <c r="N113" s="74">
        <f>+'C - FPU to CVV'!N106</f>
        <v>1E-09</v>
      </c>
      <c r="O113" s="72">
        <f>+'C - FPU to CVV'!O106</f>
        <v>5E-10</v>
      </c>
      <c r="P113" s="75">
        <v>1</v>
      </c>
      <c r="Q113" s="75">
        <v>0</v>
      </c>
      <c r="R113" s="75">
        <v>0</v>
      </c>
      <c r="S113" s="72">
        <f>+'C - FPU to CVV'!S107</f>
        <v>0.1</v>
      </c>
      <c r="T113" s="76">
        <f t="shared" si="29"/>
        <v>0.5</v>
      </c>
      <c r="U113" s="76">
        <f>+'C - FPU to CVV'!U107</f>
        <v>0.3333333333333333</v>
      </c>
      <c r="V113" s="76">
        <f>+'C - FPU to CVV'!V107</f>
        <v>0.16666666666666666</v>
      </c>
      <c r="W113" s="77">
        <f t="shared" si="28"/>
        <v>1.6E-14</v>
      </c>
      <c r="X113" s="77">
        <f t="shared" si="26"/>
        <v>6.666666666666667E-16</v>
      </c>
      <c r="Y113" s="78" t="e">
        <f t="shared" si="27"/>
        <v>#REF!</v>
      </c>
      <c r="Z113" s="54"/>
    </row>
    <row r="114" spans="1:26" ht="12" customHeight="1">
      <c r="A114" s="61"/>
      <c r="B114" s="72"/>
      <c r="C114" s="73"/>
      <c r="D114" s="72"/>
      <c r="E114" s="72"/>
      <c r="F114" s="72"/>
      <c r="G114" s="73" t="s">
        <v>278</v>
      </c>
      <c r="H114" s="72">
        <v>1</v>
      </c>
      <c r="I114" s="72">
        <v>0</v>
      </c>
      <c r="J114" s="72" t="s">
        <v>196</v>
      </c>
      <c r="K114" s="72">
        <f>+RI_GND</f>
        <v>50</v>
      </c>
      <c r="L114" s="72" t="str">
        <f>+CI_GND</f>
        <v>1500pF</v>
      </c>
      <c r="M114" s="72" t="str">
        <f>+LI_GND</f>
        <v>0.08uH</v>
      </c>
      <c r="N114" s="72">
        <f>+'C - FPU to CVV'!N109</f>
        <v>0</v>
      </c>
      <c r="O114" s="72">
        <f>+'C - FPU to CVV'!O109</f>
        <v>0</v>
      </c>
      <c r="P114" s="75">
        <v>0</v>
      </c>
      <c r="Q114" s="75">
        <v>0</v>
      </c>
      <c r="R114" s="75">
        <v>0</v>
      </c>
      <c r="S114" s="72">
        <f>+'C - FPU to CVV'!S109</f>
        <v>0.1</v>
      </c>
      <c r="T114" s="76">
        <f t="shared" si="29"/>
        <v>0.5</v>
      </c>
      <c r="U114" s="76">
        <f>+'C - FPU to CVV'!U109</f>
        <v>0.3333333333333333</v>
      </c>
      <c r="V114" s="76">
        <f>+'C - FPU to CVV'!V109</f>
        <v>0.16666666666666666</v>
      </c>
      <c r="W114" s="77">
        <f t="shared" si="28"/>
        <v>0</v>
      </c>
      <c r="X114" s="77">
        <f t="shared" si="26"/>
        <v>0</v>
      </c>
      <c r="Y114" s="78" t="e">
        <f t="shared" si="27"/>
        <v>#REF!</v>
      </c>
      <c r="Z114" s="54"/>
    </row>
    <row r="115" spans="1:26" ht="12" customHeight="1">
      <c r="A115" s="61"/>
      <c r="B115" s="65"/>
      <c r="C115" s="66"/>
      <c r="D115" s="65"/>
      <c r="E115" s="65"/>
      <c r="F115" s="65"/>
      <c r="G115" s="66" t="s">
        <v>305</v>
      </c>
      <c r="H115" s="65">
        <v>1</v>
      </c>
      <c r="I115" s="65">
        <v>0</v>
      </c>
      <c r="J115" s="65" t="s">
        <v>196</v>
      </c>
      <c r="K115" s="65">
        <f>+RI_GND</f>
        <v>50</v>
      </c>
      <c r="L115" s="65" t="str">
        <f>+CI_GND</f>
        <v>1500pF</v>
      </c>
      <c r="M115" s="65" t="str">
        <f>+LI_GND</f>
        <v>0.08uH</v>
      </c>
      <c r="N115" s="65">
        <v>0</v>
      </c>
      <c r="O115" s="65">
        <v>0</v>
      </c>
      <c r="P115" s="67">
        <v>0</v>
      </c>
      <c r="Q115" s="67">
        <v>0</v>
      </c>
      <c r="R115" s="67">
        <v>0</v>
      </c>
      <c r="S115" s="65">
        <f>+'C - FPU to CVV'!S110</f>
        <v>0.1</v>
      </c>
      <c r="T115" s="69">
        <f t="shared" si="29"/>
        <v>0.5</v>
      </c>
      <c r="U115" s="69">
        <f>+'C - FPU to CVV'!U110</f>
        <v>0.3333333333333333</v>
      </c>
      <c r="V115" s="69">
        <f>+'C - FPU to CVV'!V110</f>
        <v>0.16666666666666666</v>
      </c>
      <c r="W115" s="70">
        <f t="shared" si="28"/>
        <v>0</v>
      </c>
      <c r="X115" s="70">
        <f t="shared" si="26"/>
        <v>0</v>
      </c>
      <c r="Y115" s="71" t="e">
        <f t="shared" si="27"/>
        <v>#REF!</v>
      </c>
      <c r="Z115" s="54"/>
    </row>
    <row r="116" spans="1:26" ht="25.5">
      <c r="A116" s="61"/>
      <c r="B116" s="72"/>
      <c r="C116" s="73" t="s">
        <v>150</v>
      </c>
      <c r="D116" s="72" t="s">
        <v>490</v>
      </c>
      <c r="E116" s="72" t="s">
        <v>506</v>
      </c>
      <c r="F116" s="72" t="s">
        <v>494</v>
      </c>
      <c r="G116" s="73" t="s">
        <v>538</v>
      </c>
      <c r="H116" s="72">
        <v>32</v>
      </c>
      <c r="I116" s="72">
        <v>16</v>
      </c>
      <c r="J116" s="72" t="s">
        <v>261</v>
      </c>
      <c r="K116" s="72">
        <f>+RI_BOL_SIG</f>
        <v>500</v>
      </c>
      <c r="L116" s="72" t="str">
        <f>+CI_BOL_SIG</f>
        <v>1500pF</v>
      </c>
      <c r="M116" s="72" t="str">
        <f>+LI_BOL_SIG</f>
        <v>0.08uH</v>
      </c>
      <c r="N116" s="74">
        <f>+'C - FPU to CVV'!N110</f>
        <v>1E-09</v>
      </c>
      <c r="O116" s="72">
        <f>+'C - FPU to CVV'!O110</f>
        <v>5E-10</v>
      </c>
      <c r="P116" s="75">
        <v>1</v>
      </c>
      <c r="Q116" s="75">
        <v>0</v>
      </c>
      <c r="R116" s="75">
        <v>0</v>
      </c>
      <c r="S116" s="72">
        <f>+'C - FPU to CVV'!S110</f>
        <v>0.1</v>
      </c>
      <c r="T116" s="76">
        <f t="shared" si="29"/>
        <v>0.5</v>
      </c>
      <c r="U116" s="76">
        <f>+'C - FPU to CVV'!U110</f>
        <v>0.3333333333333333</v>
      </c>
      <c r="V116" s="76">
        <f>+'C - FPU to CVV'!V110</f>
        <v>0.16666666666666666</v>
      </c>
      <c r="W116" s="77">
        <f t="shared" si="28"/>
        <v>1.6E-14</v>
      </c>
      <c r="X116" s="77">
        <f t="shared" si="26"/>
        <v>6.666666666666667E-16</v>
      </c>
      <c r="Y116" s="78" t="e">
        <f t="shared" si="27"/>
        <v>#REF!</v>
      </c>
      <c r="Z116" s="54"/>
    </row>
    <row r="117" spans="1:26" ht="12" customHeight="1">
      <c r="A117" s="61"/>
      <c r="B117" s="72"/>
      <c r="C117" s="73"/>
      <c r="D117" s="72"/>
      <c r="E117" s="72"/>
      <c r="F117" s="72"/>
      <c r="G117" s="73" t="s">
        <v>278</v>
      </c>
      <c r="H117" s="72">
        <v>1</v>
      </c>
      <c r="I117" s="72">
        <v>0</v>
      </c>
      <c r="J117" s="72" t="s">
        <v>196</v>
      </c>
      <c r="K117" s="72">
        <f>+RI_GND</f>
        <v>50</v>
      </c>
      <c r="L117" s="72" t="str">
        <f>+CI_GND</f>
        <v>1500pF</v>
      </c>
      <c r="M117" s="72" t="str">
        <f>+LI_GND</f>
        <v>0.08uH</v>
      </c>
      <c r="N117" s="72">
        <f>+'C - FPU to CVV'!N112</f>
        <v>0</v>
      </c>
      <c r="O117" s="72">
        <f>+'C - FPU to CVV'!O112</f>
        <v>0</v>
      </c>
      <c r="P117" s="75">
        <v>0</v>
      </c>
      <c r="Q117" s="75">
        <v>0</v>
      </c>
      <c r="R117" s="75">
        <v>0</v>
      </c>
      <c r="S117" s="72" t="e">
        <f>+'C - FPU to CVV'!#REF!</f>
        <v>#REF!</v>
      </c>
      <c r="T117" s="76">
        <f t="shared" si="29"/>
        <v>0.5</v>
      </c>
      <c r="U117" s="76" t="e">
        <f>+'C - FPU to CVV'!#REF!</f>
        <v>#REF!</v>
      </c>
      <c r="V117" s="76" t="e">
        <f>+'C - FPU to CVV'!#REF!</f>
        <v>#REF!</v>
      </c>
      <c r="W117" s="77">
        <f t="shared" si="28"/>
        <v>0</v>
      </c>
      <c r="X117" s="77" t="e">
        <f t="shared" si="26"/>
        <v>#REF!</v>
      </c>
      <c r="Y117" s="78" t="e">
        <f t="shared" si="27"/>
        <v>#REF!</v>
      </c>
      <c r="Z117" s="54"/>
    </row>
    <row r="118" spans="1:26" ht="12" customHeight="1">
      <c r="A118" s="61"/>
      <c r="B118" s="72"/>
      <c r="C118" s="73"/>
      <c r="D118" s="72"/>
      <c r="E118" s="72"/>
      <c r="F118" s="72"/>
      <c r="G118" s="73" t="s">
        <v>305</v>
      </c>
      <c r="H118" s="72">
        <v>1</v>
      </c>
      <c r="I118" s="72">
        <v>0</v>
      </c>
      <c r="J118" s="72" t="s">
        <v>196</v>
      </c>
      <c r="K118" s="72">
        <f>+RI_GND</f>
        <v>50</v>
      </c>
      <c r="L118" s="72" t="str">
        <f>+CI_GND</f>
        <v>1500pF</v>
      </c>
      <c r="M118" s="72" t="str">
        <f>+LI_GND</f>
        <v>0.08uH</v>
      </c>
      <c r="N118" s="72">
        <v>0</v>
      </c>
      <c r="O118" s="72">
        <v>0</v>
      </c>
      <c r="P118" s="75">
        <v>0</v>
      </c>
      <c r="Q118" s="75">
        <v>0</v>
      </c>
      <c r="R118" s="75">
        <v>0</v>
      </c>
      <c r="S118" s="72">
        <f>+'C - FPU to CVV'!S113</f>
        <v>0.1</v>
      </c>
      <c r="T118" s="76">
        <f t="shared" si="29"/>
        <v>0.5</v>
      </c>
      <c r="U118" s="76">
        <f>+'C - FPU to CVV'!U113</f>
        <v>0.3333333333333333</v>
      </c>
      <c r="V118" s="76">
        <f>+'C - FPU to CVV'!V113</f>
        <v>0.16666666666666666</v>
      </c>
      <c r="W118" s="77">
        <f t="shared" si="28"/>
        <v>0</v>
      </c>
      <c r="X118" s="77">
        <f t="shared" si="26"/>
        <v>0</v>
      </c>
      <c r="Y118" s="78" t="e">
        <f t="shared" si="27"/>
        <v>#REF!</v>
      </c>
      <c r="Z118" s="54"/>
    </row>
    <row r="119" spans="1:25" s="134" customFormat="1" ht="13.5" thickBot="1">
      <c r="A119" s="130"/>
      <c r="B119" s="89"/>
      <c r="C119" s="90" t="s">
        <v>714</v>
      </c>
      <c r="D119" s="89"/>
      <c r="E119" s="89"/>
      <c r="F119" s="89"/>
      <c r="G119" s="90" t="s">
        <v>715</v>
      </c>
      <c r="H119" s="89"/>
      <c r="I119" s="89"/>
      <c r="J119" s="91" t="s">
        <v>716</v>
      </c>
      <c r="K119" s="89"/>
      <c r="L119" s="89"/>
      <c r="M119" s="89" t="s">
        <v>712</v>
      </c>
      <c r="N119" s="89"/>
      <c r="O119" s="89"/>
      <c r="P119" s="92"/>
      <c r="Q119" s="92"/>
      <c r="R119" s="92"/>
      <c r="S119" s="89"/>
      <c r="T119" s="93"/>
      <c r="U119" s="93"/>
      <c r="V119" s="93"/>
      <c r="W119" s="94"/>
      <c r="X119" s="94">
        <f t="shared" si="26"/>
        <v>0</v>
      </c>
      <c r="Y119" s="95" t="e">
        <f t="shared" si="27"/>
        <v>#REF!</v>
      </c>
    </row>
    <row r="120" spans="1:26" ht="26.25" thickTop="1">
      <c r="A120" s="61" t="s">
        <v>722</v>
      </c>
      <c r="B120" s="72" t="s">
        <v>97</v>
      </c>
      <c r="C120" s="73" t="s">
        <v>151</v>
      </c>
      <c r="D120" s="72" t="s">
        <v>490</v>
      </c>
      <c r="E120" s="72" t="s">
        <v>507</v>
      </c>
      <c r="F120" s="72" t="s">
        <v>494</v>
      </c>
      <c r="G120" s="73" t="s">
        <v>539</v>
      </c>
      <c r="H120" s="72">
        <v>32</v>
      </c>
      <c r="I120" s="72">
        <v>16</v>
      </c>
      <c r="J120" s="72" t="s">
        <v>261</v>
      </c>
      <c r="K120" s="72">
        <f>+RI_BOL_SIG</f>
        <v>500</v>
      </c>
      <c r="L120" s="72" t="str">
        <f>+CI_BOL_SIG</f>
        <v>1500pF</v>
      </c>
      <c r="M120" s="72" t="str">
        <f>+LI_BOL_SIG</f>
        <v>0.08uH</v>
      </c>
      <c r="N120" s="74">
        <f>+'C - FPU to CVV'!N113</f>
        <v>1E-09</v>
      </c>
      <c r="O120" s="72">
        <f>+'C - FPU to CVV'!O113</f>
        <v>5E-10</v>
      </c>
      <c r="P120" s="75">
        <v>1</v>
      </c>
      <c r="Q120" s="75">
        <v>0</v>
      </c>
      <c r="R120" s="75">
        <v>0</v>
      </c>
      <c r="S120" s="72">
        <f>+'C - FPU to CVV'!S113</f>
        <v>0.1</v>
      </c>
      <c r="T120" s="76">
        <f>+DC_PHOT</f>
        <v>0.5</v>
      </c>
      <c r="U120" s="76">
        <f>+'C - FPU to CVV'!U113</f>
        <v>0.3333333333333333</v>
      </c>
      <c r="V120" s="76">
        <f>+'C - FPU to CVV'!V113</f>
        <v>0.16666666666666666</v>
      </c>
      <c r="W120" s="77">
        <f aca="true" t="shared" si="30" ref="W120:W128">+N120^2*K120*H120</f>
        <v>1.6E-14</v>
      </c>
      <c r="X120" s="77">
        <f t="shared" si="26"/>
        <v>6.666666666666667E-16</v>
      </c>
      <c r="Y120" s="78" t="e">
        <f t="shared" si="27"/>
        <v>#REF!</v>
      </c>
      <c r="Z120" s="54"/>
    </row>
    <row r="121" spans="1:26" ht="12" customHeight="1">
      <c r="A121" s="61" t="s">
        <v>3</v>
      </c>
      <c r="B121" s="72"/>
      <c r="C121" s="73"/>
      <c r="D121" s="72"/>
      <c r="E121" s="72"/>
      <c r="F121" s="72"/>
      <c r="G121" s="73" t="s">
        <v>278</v>
      </c>
      <c r="H121" s="72">
        <v>1</v>
      </c>
      <c r="I121" s="72">
        <v>0</v>
      </c>
      <c r="J121" s="72" t="s">
        <v>196</v>
      </c>
      <c r="K121" s="72">
        <f>+RI_GND</f>
        <v>50</v>
      </c>
      <c r="L121" s="72" t="str">
        <f>+CI_GND</f>
        <v>1500pF</v>
      </c>
      <c r="M121" s="72" t="str">
        <f>+LI_GND</f>
        <v>0.08uH</v>
      </c>
      <c r="N121" s="72" t="e">
        <f>+'C - FPU to CVV'!#REF!</f>
        <v>#REF!</v>
      </c>
      <c r="O121" s="72">
        <v>0</v>
      </c>
      <c r="P121" s="75">
        <v>0</v>
      </c>
      <c r="Q121" s="75">
        <v>0</v>
      </c>
      <c r="R121" s="75">
        <v>0</v>
      </c>
      <c r="S121" s="72">
        <f>+'C - FPU to CVV'!S115</f>
        <v>0.1</v>
      </c>
      <c r="T121" s="76">
        <f aca="true" t="shared" si="31" ref="T121:T128">+DC_PHOT</f>
        <v>0.5</v>
      </c>
      <c r="U121" s="76">
        <f>+'C - FPU to CVV'!U115</f>
        <v>0.3333333333333333</v>
      </c>
      <c r="V121" s="76">
        <f>+'C - FPU to CVV'!V115</f>
        <v>0.16666666666666666</v>
      </c>
      <c r="W121" s="77" t="e">
        <f t="shared" si="30"/>
        <v>#REF!</v>
      </c>
      <c r="X121" s="77">
        <f t="shared" si="26"/>
        <v>0</v>
      </c>
      <c r="Y121" s="78" t="e">
        <f t="shared" si="27"/>
        <v>#REF!</v>
      </c>
      <c r="Z121" s="54"/>
    </row>
    <row r="122" spans="1:26" ht="12" customHeight="1">
      <c r="A122" s="61"/>
      <c r="B122" s="65"/>
      <c r="C122" s="66"/>
      <c r="D122" s="65"/>
      <c r="E122" s="65"/>
      <c r="F122" s="65"/>
      <c r="G122" s="66" t="s">
        <v>305</v>
      </c>
      <c r="H122" s="65">
        <v>1</v>
      </c>
      <c r="I122" s="65">
        <v>0</v>
      </c>
      <c r="J122" s="65" t="s">
        <v>196</v>
      </c>
      <c r="K122" s="65">
        <f>+RI_GND</f>
        <v>50</v>
      </c>
      <c r="L122" s="65" t="str">
        <f>+CI_GND</f>
        <v>1500pF</v>
      </c>
      <c r="M122" s="65" t="str">
        <f>+LI_GND</f>
        <v>0.08uH</v>
      </c>
      <c r="N122" s="65">
        <f>+'C - FPU to CVV'!N116</f>
        <v>0</v>
      </c>
      <c r="O122" s="65">
        <f>+'C - FPU to CVV'!O116</f>
        <v>0</v>
      </c>
      <c r="P122" s="67">
        <v>0</v>
      </c>
      <c r="Q122" s="67">
        <v>0</v>
      </c>
      <c r="R122" s="67">
        <v>0</v>
      </c>
      <c r="S122" s="65">
        <f>+'C - FPU to CVV'!S116</f>
        <v>0.1</v>
      </c>
      <c r="T122" s="69">
        <f t="shared" si="31"/>
        <v>0.5</v>
      </c>
      <c r="U122" s="69">
        <f>+'C - FPU to CVV'!U116</f>
        <v>0.3333333333333333</v>
      </c>
      <c r="V122" s="69">
        <f>+'C - FPU to CVV'!V116</f>
        <v>0.16666666666666666</v>
      </c>
      <c r="W122" s="70">
        <f t="shared" si="30"/>
        <v>0</v>
      </c>
      <c r="X122" s="70">
        <f t="shared" si="26"/>
        <v>0</v>
      </c>
      <c r="Y122" s="71" t="e">
        <f t="shared" si="27"/>
        <v>#REF!</v>
      </c>
      <c r="Z122" s="54"/>
    </row>
    <row r="123" spans="1:26" ht="25.5">
      <c r="A123" s="61"/>
      <c r="B123" s="72"/>
      <c r="C123" s="73" t="s">
        <v>152</v>
      </c>
      <c r="D123" s="72" t="s">
        <v>490</v>
      </c>
      <c r="E123" s="72" t="s">
        <v>508</v>
      </c>
      <c r="F123" s="72" t="s">
        <v>494</v>
      </c>
      <c r="G123" s="73" t="s">
        <v>540</v>
      </c>
      <c r="H123" s="72">
        <v>32</v>
      </c>
      <c r="I123" s="72">
        <v>16</v>
      </c>
      <c r="J123" s="72" t="s">
        <v>261</v>
      </c>
      <c r="K123" s="72">
        <f>+RI_BOL_SIG</f>
        <v>500</v>
      </c>
      <c r="L123" s="72" t="str">
        <f>+CI_BOL_SIG</f>
        <v>1500pF</v>
      </c>
      <c r="M123" s="72" t="str">
        <f>+LI_BOL_SIG</f>
        <v>0.08uH</v>
      </c>
      <c r="N123" s="74">
        <f>+'C - FPU to CVV'!N115</f>
        <v>1E-09</v>
      </c>
      <c r="O123" s="72">
        <f>+'C - FPU to CVV'!O115</f>
        <v>5E-10</v>
      </c>
      <c r="P123" s="75">
        <v>1</v>
      </c>
      <c r="Q123" s="75">
        <v>0</v>
      </c>
      <c r="R123" s="75">
        <v>0</v>
      </c>
      <c r="S123" s="72">
        <f>+'C - FPU to CVV'!S116</f>
        <v>0.1</v>
      </c>
      <c r="T123" s="76">
        <f t="shared" si="31"/>
        <v>0.5</v>
      </c>
      <c r="U123" s="76">
        <f>+'C - FPU to CVV'!U116</f>
        <v>0.3333333333333333</v>
      </c>
      <c r="V123" s="76">
        <f>+'C - FPU to CVV'!V116</f>
        <v>0.16666666666666666</v>
      </c>
      <c r="W123" s="77">
        <f t="shared" si="30"/>
        <v>1.6E-14</v>
      </c>
      <c r="X123" s="77">
        <f t="shared" si="26"/>
        <v>6.666666666666667E-16</v>
      </c>
      <c r="Y123" s="78" t="e">
        <f t="shared" si="27"/>
        <v>#REF!</v>
      </c>
      <c r="Z123" s="54"/>
    </row>
    <row r="124" spans="1:26" ht="12" customHeight="1">
      <c r="A124" s="61"/>
      <c r="B124" s="72"/>
      <c r="C124" s="73"/>
      <c r="D124" s="72"/>
      <c r="E124" s="72"/>
      <c r="F124" s="72"/>
      <c r="G124" s="73" t="s">
        <v>278</v>
      </c>
      <c r="H124" s="72">
        <v>1</v>
      </c>
      <c r="I124" s="72">
        <v>0</v>
      </c>
      <c r="J124" s="72" t="s">
        <v>196</v>
      </c>
      <c r="K124" s="72">
        <f>+RI_GND</f>
        <v>50</v>
      </c>
      <c r="L124" s="72" t="str">
        <f>+CI_GND</f>
        <v>1500pF</v>
      </c>
      <c r="M124" s="72" t="str">
        <f>+LI_GND</f>
        <v>0.08uH</v>
      </c>
      <c r="N124" s="72">
        <f>+'C - FPU to CVV'!N118</f>
        <v>0</v>
      </c>
      <c r="O124" s="72">
        <f>+'C - FPU to CVV'!O118</f>
        <v>0</v>
      </c>
      <c r="P124" s="75">
        <v>0</v>
      </c>
      <c r="Q124" s="75">
        <v>0</v>
      </c>
      <c r="R124" s="75">
        <v>0</v>
      </c>
      <c r="S124" s="72">
        <f>+'C - FPU to CVV'!S118</f>
        <v>0.1</v>
      </c>
      <c r="T124" s="76">
        <f t="shared" si="31"/>
        <v>0.5</v>
      </c>
      <c r="U124" s="76">
        <f>+'C - FPU to CVV'!U118</f>
        <v>0.3333333333333333</v>
      </c>
      <c r="V124" s="76">
        <f>+'C - FPU to CVV'!V118</f>
        <v>0.16666666666666666</v>
      </c>
      <c r="W124" s="77">
        <f t="shared" si="30"/>
        <v>0</v>
      </c>
      <c r="X124" s="77">
        <f t="shared" si="26"/>
        <v>0</v>
      </c>
      <c r="Y124" s="78" t="e">
        <f t="shared" si="27"/>
        <v>#REF!</v>
      </c>
      <c r="Z124" s="54"/>
    </row>
    <row r="125" spans="1:26" ht="12" customHeight="1">
      <c r="A125" s="61"/>
      <c r="B125" s="65"/>
      <c r="C125" s="66"/>
      <c r="D125" s="65"/>
      <c r="E125" s="65"/>
      <c r="F125" s="65"/>
      <c r="G125" s="66" t="s">
        <v>305</v>
      </c>
      <c r="H125" s="65">
        <v>1</v>
      </c>
      <c r="I125" s="65">
        <v>0</v>
      </c>
      <c r="J125" s="65" t="s">
        <v>196</v>
      </c>
      <c r="K125" s="65">
        <f>+RI_GND</f>
        <v>50</v>
      </c>
      <c r="L125" s="65" t="str">
        <f>+CI_GND</f>
        <v>1500pF</v>
      </c>
      <c r="M125" s="65" t="str">
        <f>+LI_GND</f>
        <v>0.08uH</v>
      </c>
      <c r="N125" s="65">
        <v>0</v>
      </c>
      <c r="O125" s="65">
        <v>0</v>
      </c>
      <c r="P125" s="67">
        <v>0</v>
      </c>
      <c r="Q125" s="67">
        <v>0</v>
      </c>
      <c r="R125" s="67">
        <v>0</v>
      </c>
      <c r="S125" s="65">
        <f>+'C - FPU to CVV'!S119</f>
        <v>0.1</v>
      </c>
      <c r="T125" s="69">
        <f t="shared" si="31"/>
        <v>0.5</v>
      </c>
      <c r="U125" s="69">
        <f>+'C - FPU to CVV'!U119</f>
        <v>0.3333333333333333</v>
      </c>
      <c r="V125" s="69">
        <f>+'C - FPU to CVV'!V119</f>
        <v>0.16666666666666666</v>
      </c>
      <c r="W125" s="70">
        <f t="shared" si="30"/>
        <v>0</v>
      </c>
      <c r="X125" s="70">
        <f t="shared" si="26"/>
        <v>0</v>
      </c>
      <c r="Y125" s="71" t="e">
        <f t="shared" si="27"/>
        <v>#REF!</v>
      </c>
      <c r="Z125" s="54"/>
    </row>
    <row r="126" spans="1:26" ht="25.5">
      <c r="A126" s="61"/>
      <c r="B126" s="72"/>
      <c r="C126" s="73" t="s">
        <v>153</v>
      </c>
      <c r="D126" s="72" t="s">
        <v>490</v>
      </c>
      <c r="E126" s="72" t="s">
        <v>509</v>
      </c>
      <c r="F126" s="72" t="s">
        <v>494</v>
      </c>
      <c r="G126" s="73" t="s">
        <v>541</v>
      </c>
      <c r="H126" s="72">
        <v>32</v>
      </c>
      <c r="I126" s="72">
        <v>16</v>
      </c>
      <c r="J126" s="72" t="s">
        <v>261</v>
      </c>
      <c r="K126" s="72">
        <f>+RI_BOL_SIG</f>
        <v>500</v>
      </c>
      <c r="L126" s="72" t="str">
        <f>+CI_BOL_SIG</f>
        <v>1500pF</v>
      </c>
      <c r="M126" s="72" t="str">
        <f>+LI_BOL_SIG</f>
        <v>0.08uH</v>
      </c>
      <c r="N126" s="74">
        <f>+'C - FPU to CVV'!N119</f>
        <v>1E-09</v>
      </c>
      <c r="O126" s="72">
        <f>+'C - FPU to CVV'!O119</f>
        <v>5E-10</v>
      </c>
      <c r="P126" s="75">
        <v>1</v>
      </c>
      <c r="Q126" s="75">
        <v>0</v>
      </c>
      <c r="R126" s="75">
        <v>0</v>
      </c>
      <c r="S126" s="72">
        <f>+'C - FPU to CVV'!S119</f>
        <v>0.1</v>
      </c>
      <c r="T126" s="76">
        <f t="shared" si="31"/>
        <v>0.5</v>
      </c>
      <c r="U126" s="76">
        <f>+'C - FPU to CVV'!U119</f>
        <v>0.3333333333333333</v>
      </c>
      <c r="V126" s="76">
        <f>+'C - FPU to CVV'!V119</f>
        <v>0.16666666666666666</v>
      </c>
      <c r="W126" s="77">
        <f t="shared" si="30"/>
        <v>1.6E-14</v>
      </c>
      <c r="X126" s="77">
        <f t="shared" si="26"/>
        <v>6.666666666666667E-16</v>
      </c>
      <c r="Y126" s="78" t="e">
        <f t="shared" si="27"/>
        <v>#REF!</v>
      </c>
      <c r="Z126" s="54"/>
    </row>
    <row r="127" spans="1:26" ht="12" customHeight="1">
      <c r="A127" s="61"/>
      <c r="B127" s="72"/>
      <c r="C127" s="73"/>
      <c r="D127" s="72"/>
      <c r="E127" s="72"/>
      <c r="F127" s="72"/>
      <c r="G127" s="73" t="s">
        <v>278</v>
      </c>
      <c r="H127" s="72">
        <v>1</v>
      </c>
      <c r="I127" s="72">
        <v>0</v>
      </c>
      <c r="J127" s="72" t="s">
        <v>196</v>
      </c>
      <c r="K127" s="72">
        <f>+RI_GND</f>
        <v>50</v>
      </c>
      <c r="L127" s="72" t="str">
        <f>+CI_GND</f>
        <v>1500pF</v>
      </c>
      <c r="M127" s="72" t="str">
        <f>+LI_GND</f>
        <v>0.08uH</v>
      </c>
      <c r="N127" s="72">
        <f>+'C - FPU to CVV'!N121</f>
        <v>0</v>
      </c>
      <c r="O127" s="72">
        <f>+'C - FPU to CVV'!O121</f>
        <v>0</v>
      </c>
      <c r="P127" s="75">
        <v>0</v>
      </c>
      <c r="Q127" s="75">
        <v>0</v>
      </c>
      <c r="R127" s="75">
        <v>0</v>
      </c>
      <c r="S127" s="72" t="e">
        <f>+'C - FPU to CVV'!#REF!</f>
        <v>#REF!</v>
      </c>
      <c r="T127" s="76">
        <f t="shared" si="31"/>
        <v>0.5</v>
      </c>
      <c r="U127" s="76" t="e">
        <f>+'C - FPU to CVV'!#REF!</f>
        <v>#REF!</v>
      </c>
      <c r="V127" s="76" t="e">
        <f>+'C - FPU to CVV'!#REF!</f>
        <v>#REF!</v>
      </c>
      <c r="W127" s="77">
        <f t="shared" si="30"/>
        <v>0</v>
      </c>
      <c r="X127" s="77" t="e">
        <f t="shared" si="26"/>
        <v>#REF!</v>
      </c>
      <c r="Y127" s="78" t="e">
        <f t="shared" si="27"/>
        <v>#REF!</v>
      </c>
      <c r="Z127" s="54"/>
    </row>
    <row r="128" spans="1:26" ht="12" customHeight="1">
      <c r="A128" s="61"/>
      <c r="B128" s="72"/>
      <c r="C128" s="73"/>
      <c r="D128" s="72"/>
      <c r="E128" s="72"/>
      <c r="F128" s="72"/>
      <c r="G128" s="73" t="s">
        <v>305</v>
      </c>
      <c r="H128" s="72">
        <v>1</v>
      </c>
      <c r="I128" s="72">
        <v>0</v>
      </c>
      <c r="J128" s="72" t="s">
        <v>196</v>
      </c>
      <c r="K128" s="72">
        <f>+RI_GND</f>
        <v>50</v>
      </c>
      <c r="L128" s="72" t="str">
        <f>+CI_GND</f>
        <v>1500pF</v>
      </c>
      <c r="M128" s="72" t="str">
        <f>+LI_GND</f>
        <v>0.08uH</v>
      </c>
      <c r="N128" s="72">
        <v>0</v>
      </c>
      <c r="O128" s="72">
        <v>0</v>
      </c>
      <c r="P128" s="75">
        <v>0</v>
      </c>
      <c r="Q128" s="75">
        <v>0</v>
      </c>
      <c r="R128" s="75">
        <v>0</v>
      </c>
      <c r="S128" s="72">
        <f>+'C - FPU to CVV'!S122</f>
        <v>0</v>
      </c>
      <c r="T128" s="76">
        <f t="shared" si="31"/>
        <v>0.5</v>
      </c>
      <c r="U128" s="76">
        <f>+'C - FPU to CVV'!U122</f>
        <v>0.3333333333333333</v>
      </c>
      <c r="V128" s="76">
        <f>+'C - FPU to CVV'!V122</f>
        <v>0.006944444444444444</v>
      </c>
      <c r="W128" s="77">
        <f t="shared" si="30"/>
        <v>0</v>
      </c>
      <c r="X128" s="77">
        <f t="shared" si="26"/>
        <v>0</v>
      </c>
      <c r="Y128" s="78" t="e">
        <f t="shared" si="27"/>
        <v>#REF!</v>
      </c>
      <c r="Z128" s="54"/>
    </row>
    <row r="129" spans="1:25" s="134" customFormat="1" ht="13.5" thickBot="1">
      <c r="A129" s="130"/>
      <c r="B129" s="89"/>
      <c r="C129" s="90" t="s">
        <v>714</v>
      </c>
      <c r="D129" s="89"/>
      <c r="E129" s="89"/>
      <c r="F129" s="89"/>
      <c r="G129" s="90" t="s">
        <v>715</v>
      </c>
      <c r="H129" s="89"/>
      <c r="I129" s="89"/>
      <c r="J129" s="91" t="s">
        <v>716</v>
      </c>
      <c r="K129" s="89"/>
      <c r="L129" s="89"/>
      <c r="M129" s="89" t="s">
        <v>712</v>
      </c>
      <c r="N129" s="89"/>
      <c r="O129" s="89"/>
      <c r="P129" s="92"/>
      <c r="Q129" s="92"/>
      <c r="R129" s="92"/>
      <c r="S129" s="89"/>
      <c r="T129" s="93"/>
      <c r="U129" s="93"/>
      <c r="V129" s="93"/>
      <c r="W129" s="94"/>
      <c r="X129" s="94">
        <f t="shared" si="26"/>
        <v>0</v>
      </c>
      <c r="Y129" s="95" t="e">
        <f t="shared" si="27"/>
        <v>#REF!</v>
      </c>
    </row>
    <row r="130" spans="1:26" ht="26.25" thickTop="1">
      <c r="A130" s="61" t="s">
        <v>721</v>
      </c>
      <c r="B130" s="72" t="s">
        <v>154</v>
      </c>
      <c r="C130" s="73" t="s">
        <v>157</v>
      </c>
      <c r="D130" s="72" t="s">
        <v>513</v>
      </c>
      <c r="E130" s="72" t="s">
        <v>519</v>
      </c>
      <c r="F130" s="72" t="s">
        <v>524</v>
      </c>
      <c r="G130" s="73" t="str">
        <f>+'C - FPU to CVV'!G122</f>
        <v>Sorption Pump Heater</v>
      </c>
      <c r="H130" s="72">
        <v>4</v>
      </c>
      <c r="I130" s="72">
        <v>0</v>
      </c>
      <c r="J130" s="79" t="s">
        <v>158</v>
      </c>
      <c r="K130" s="72">
        <f>+RI_SCO_SPH</f>
        <v>10</v>
      </c>
      <c r="L130" s="72"/>
      <c r="M130" s="72"/>
      <c r="N130" s="74">
        <f>+SCO_MAXI_SPH</f>
        <v>0.025</v>
      </c>
      <c r="O130" s="74">
        <f>+SCO_AVGI_SPH</f>
        <v>0.00625</v>
      </c>
      <c r="P130" s="75">
        <f>+'C - FPU to CVV'!P122</f>
        <v>0</v>
      </c>
      <c r="Q130" s="75">
        <f>+'C - FPU to CVV'!Q122</f>
        <v>0</v>
      </c>
      <c r="R130" s="75">
        <f>+'C - FPU to CVV'!R122</f>
        <v>1</v>
      </c>
      <c r="S130" s="72"/>
      <c r="T130" s="76">
        <f>+SCO_DC_SPH</f>
        <v>0.020833333333333332</v>
      </c>
      <c r="U130" s="100">
        <v>0.3333333333333333</v>
      </c>
      <c r="V130" s="76">
        <f aca="true" t="shared" si="32" ref="V130:V136">+U130*T130</f>
        <v>0.006944444444444444</v>
      </c>
      <c r="W130" s="77">
        <f aca="true" t="shared" si="33" ref="W130:W138">+N130^2*K130*H130</f>
        <v>0.025000000000000005</v>
      </c>
      <c r="X130" s="77">
        <f aca="true" t="shared" si="34" ref="X130:X157">+O130^2*K130*V130*H130</f>
        <v>1.0850694444444447E-05</v>
      </c>
      <c r="Y130" s="78" t="e">
        <f aca="true" t="shared" si="35" ref="Y130:Y142">+X130/$X$196</f>
        <v>#REF!</v>
      </c>
      <c r="Z130" s="54"/>
    </row>
    <row r="131" spans="1:26" ht="12.75">
      <c r="A131" s="61" t="s">
        <v>4</v>
      </c>
      <c r="B131" s="72"/>
      <c r="C131" s="73"/>
      <c r="D131" s="72"/>
      <c r="E131" s="72"/>
      <c r="F131" s="72"/>
      <c r="G131" s="73" t="str">
        <f>+'C - FPU to CVV'!G123</f>
        <v>Evaporator HS Heater</v>
      </c>
      <c r="H131" s="72">
        <v>4</v>
      </c>
      <c r="I131" s="72">
        <v>0</v>
      </c>
      <c r="J131" s="79" t="s">
        <v>158</v>
      </c>
      <c r="K131" s="72">
        <f>+RI_SCO_HSH</f>
        <v>50</v>
      </c>
      <c r="L131" s="72"/>
      <c r="M131" s="72"/>
      <c r="N131" s="74">
        <f>+SCO_MAXI_HSH</f>
        <v>0.0015</v>
      </c>
      <c r="O131" s="74">
        <f>+SCO_AVGI_HSH</f>
        <v>0.000375</v>
      </c>
      <c r="P131" s="75">
        <f>+'C - FPU to CVV'!P123</f>
        <v>0</v>
      </c>
      <c r="Q131" s="75">
        <f>+'C - FPU to CVV'!Q123</f>
        <v>0</v>
      </c>
      <c r="R131" s="75">
        <f>+'C - FPU to CVV'!R123</f>
        <v>1</v>
      </c>
      <c r="S131" s="72"/>
      <c r="T131" s="76"/>
      <c r="U131" s="100"/>
      <c r="V131" s="76"/>
      <c r="W131" s="77"/>
      <c r="X131" s="77"/>
      <c r="Y131" s="78"/>
      <c r="Z131" s="54"/>
    </row>
    <row r="132" spans="1:26" ht="12.75">
      <c r="A132" s="61"/>
      <c r="B132" s="72"/>
      <c r="C132" s="73"/>
      <c r="D132" s="72"/>
      <c r="E132" s="72"/>
      <c r="F132" s="72"/>
      <c r="G132" s="73" t="str">
        <f>+'C - FPU to CVV'!G124</f>
        <v>Sorption Pump HS heater</v>
      </c>
      <c r="H132" s="72">
        <v>4</v>
      </c>
      <c r="I132" s="72">
        <v>0</v>
      </c>
      <c r="J132" s="79" t="s">
        <v>158</v>
      </c>
      <c r="K132" s="72">
        <f>+RI_SCO_HSH</f>
        <v>50</v>
      </c>
      <c r="L132" s="72"/>
      <c r="M132" s="72"/>
      <c r="N132" s="74">
        <f>+SCO_MAXI_HSH</f>
        <v>0.0015</v>
      </c>
      <c r="O132" s="74">
        <f>+SCO_AVGI_HSH</f>
        <v>0.000375</v>
      </c>
      <c r="P132" s="75">
        <f>+'C - FPU to CVV'!P124</f>
        <v>1</v>
      </c>
      <c r="Q132" s="75">
        <f>+'C - FPU to CVV'!Q124</f>
        <v>1</v>
      </c>
      <c r="R132" s="75">
        <f>+'C - FPU to CVV'!R124</f>
        <v>1</v>
      </c>
      <c r="S132" s="72"/>
      <c r="T132" s="76">
        <f>+SCO_DC_HSH</f>
        <v>0.020833333333333332</v>
      </c>
      <c r="U132" s="100">
        <v>0.3333333333333333</v>
      </c>
      <c r="V132" s="76">
        <f t="shared" si="32"/>
        <v>0.006944444444444444</v>
      </c>
      <c r="W132" s="77">
        <f t="shared" si="33"/>
        <v>0.00045</v>
      </c>
      <c r="X132" s="77">
        <f t="shared" si="34"/>
        <v>1.9531249999999998E-07</v>
      </c>
      <c r="Y132" s="78" t="e">
        <f t="shared" si="35"/>
        <v>#REF!</v>
      </c>
      <c r="Z132" s="54"/>
    </row>
    <row r="133" spans="1:26" ht="12.75">
      <c r="A133" s="61"/>
      <c r="B133" s="72"/>
      <c r="C133" s="73"/>
      <c r="D133" s="72"/>
      <c r="E133" s="72"/>
      <c r="F133" s="72"/>
      <c r="G133" s="73" t="str">
        <f>+'C - FPU to CVV'!G163</f>
        <v>300mK Thermal Control Heater</v>
      </c>
      <c r="H133" s="72">
        <v>4</v>
      </c>
      <c r="I133" s="72">
        <v>1</v>
      </c>
      <c r="J133" s="79" t="s">
        <v>155</v>
      </c>
      <c r="K133" s="72">
        <f>+RI_TC</f>
        <v>100</v>
      </c>
      <c r="L133" s="72"/>
      <c r="M133" s="72"/>
      <c r="N133" s="74">
        <f>+TC_MAXI</f>
        <v>0.002</v>
      </c>
      <c r="O133" s="74">
        <f>+TC_AVGI</f>
        <v>0.0005</v>
      </c>
      <c r="P133" s="75">
        <v>1</v>
      </c>
      <c r="Q133" s="75">
        <v>0</v>
      </c>
      <c r="R133" s="75">
        <v>0</v>
      </c>
      <c r="S133" s="72"/>
      <c r="T133" s="76">
        <v>0.5</v>
      </c>
      <c r="U133" s="101">
        <v>0.333</v>
      </c>
      <c r="V133" s="76">
        <f t="shared" si="32"/>
        <v>0.1665</v>
      </c>
      <c r="W133" s="77">
        <f t="shared" si="33"/>
        <v>0.0015999999999999999</v>
      </c>
      <c r="X133" s="77">
        <f t="shared" si="34"/>
        <v>1.6649999999999998E-05</v>
      </c>
      <c r="Y133" s="78" t="e">
        <f t="shared" si="35"/>
        <v>#REF!</v>
      </c>
      <c r="Z133" s="54"/>
    </row>
    <row r="134" spans="1:26" ht="12.75">
      <c r="A134" s="61"/>
      <c r="B134" s="72"/>
      <c r="C134" s="73"/>
      <c r="D134" s="72"/>
      <c r="E134" s="72"/>
      <c r="F134" s="72"/>
      <c r="G134" s="73" t="str">
        <f>+'C - FPU to CVV'!G127</f>
        <v>Spectrometer Stimulus Heater 4%</v>
      </c>
      <c r="H134" s="72">
        <v>4</v>
      </c>
      <c r="I134" s="72">
        <v>0</v>
      </c>
      <c r="J134" s="79" t="s">
        <v>158</v>
      </c>
      <c r="K134" s="72">
        <f>+RI_SCAL_4</f>
        <v>30</v>
      </c>
      <c r="L134" s="72"/>
      <c r="M134" s="72"/>
      <c r="N134" s="74">
        <f>+SCAL_MAXI_4</f>
        <v>0.009</v>
      </c>
      <c r="O134" s="74">
        <f>+SCAL_AVGI_4</f>
        <v>0.00225</v>
      </c>
      <c r="P134" s="75">
        <v>0</v>
      </c>
      <c r="Q134" s="75">
        <v>1</v>
      </c>
      <c r="R134" s="75">
        <v>0</v>
      </c>
      <c r="S134" s="72"/>
      <c r="T134" s="76">
        <v>0.5</v>
      </c>
      <c r="U134" s="101">
        <v>0.333</v>
      </c>
      <c r="V134" s="76">
        <f t="shared" si="32"/>
        <v>0.1665</v>
      </c>
      <c r="W134" s="77">
        <f t="shared" si="33"/>
        <v>0.00972</v>
      </c>
      <c r="X134" s="77">
        <f t="shared" si="34"/>
        <v>0.00010114875</v>
      </c>
      <c r="Y134" s="78" t="e">
        <f t="shared" si="35"/>
        <v>#REF!</v>
      </c>
      <c r="Z134" s="54"/>
    </row>
    <row r="135" spans="1:26" ht="12.75">
      <c r="A135" s="61"/>
      <c r="B135" s="72"/>
      <c r="C135" s="73"/>
      <c r="D135" s="72"/>
      <c r="E135" s="72"/>
      <c r="F135" s="72"/>
      <c r="G135" s="73" t="str">
        <f>+'C - FPU to CVV'!G128</f>
        <v>Spectrometer Stimulus Heater 2%</v>
      </c>
      <c r="H135" s="72">
        <v>4</v>
      </c>
      <c r="I135" s="72">
        <v>0</v>
      </c>
      <c r="J135" s="79" t="s">
        <v>158</v>
      </c>
      <c r="K135" s="72">
        <f>+RI_SCAL_2</f>
        <v>30</v>
      </c>
      <c r="L135" s="72"/>
      <c r="M135" s="72"/>
      <c r="N135" s="74">
        <f>+SCAL_MAXI_2</f>
        <v>0.007</v>
      </c>
      <c r="O135" s="74">
        <f>+SCAL_AVGI_2</f>
        <v>0.00175</v>
      </c>
      <c r="P135" s="75">
        <v>0</v>
      </c>
      <c r="Q135" s="75">
        <v>1</v>
      </c>
      <c r="R135" s="75">
        <v>0</v>
      </c>
      <c r="S135" s="72"/>
      <c r="T135" s="76">
        <v>0.5</v>
      </c>
      <c r="U135" s="101">
        <v>0.333</v>
      </c>
      <c r="V135" s="76">
        <f t="shared" si="32"/>
        <v>0.1665</v>
      </c>
      <c r="W135" s="77">
        <f t="shared" si="33"/>
        <v>0.005880000000000001</v>
      </c>
      <c r="X135" s="77">
        <f t="shared" si="34"/>
        <v>6.118875000000001E-05</v>
      </c>
      <c r="Y135" s="78" t="e">
        <f t="shared" si="35"/>
        <v>#REF!</v>
      </c>
      <c r="Z135" s="54"/>
    </row>
    <row r="136" spans="1:26" ht="12.75">
      <c r="A136" s="61"/>
      <c r="B136" s="102"/>
      <c r="C136" s="103" t="s">
        <v>252</v>
      </c>
      <c r="D136" s="102" t="s">
        <v>494</v>
      </c>
      <c r="E136" s="102" t="s">
        <v>520</v>
      </c>
      <c r="F136" s="102" t="s">
        <v>523</v>
      </c>
      <c r="G136" s="103" t="s">
        <v>159</v>
      </c>
      <c r="H136" s="102">
        <v>44</v>
      </c>
      <c r="I136" s="102">
        <v>11</v>
      </c>
      <c r="J136" s="104" t="s">
        <v>155</v>
      </c>
      <c r="K136" s="102">
        <f>+RI_CERNOX</f>
        <v>1000</v>
      </c>
      <c r="L136" s="102"/>
      <c r="M136" s="102"/>
      <c r="N136" s="105">
        <f>+I_CERNOX</f>
        <v>1E-06</v>
      </c>
      <c r="O136" s="105">
        <f>+I_CERNOX</f>
        <v>1E-06</v>
      </c>
      <c r="P136" s="106">
        <v>1</v>
      </c>
      <c r="Q136" s="106">
        <v>1</v>
      </c>
      <c r="R136" s="106">
        <v>1</v>
      </c>
      <c r="S136" s="102"/>
      <c r="T136" s="107">
        <v>1</v>
      </c>
      <c r="U136" s="107">
        <v>0.33</v>
      </c>
      <c r="V136" s="107">
        <f t="shared" si="32"/>
        <v>0.33</v>
      </c>
      <c r="W136" s="105">
        <f t="shared" si="33"/>
        <v>4.4000000000000004E-08</v>
      </c>
      <c r="X136" s="105">
        <f t="shared" si="34"/>
        <v>1.4520000000000002E-08</v>
      </c>
      <c r="Y136" s="108" t="e">
        <f t="shared" si="35"/>
        <v>#REF!</v>
      </c>
      <c r="Z136" s="54"/>
    </row>
    <row r="137" spans="1:26" ht="25.5">
      <c r="A137" s="61"/>
      <c r="B137" s="65"/>
      <c r="C137" s="66"/>
      <c r="D137" s="65"/>
      <c r="E137" s="65"/>
      <c r="F137" s="65"/>
      <c r="G137" s="66" t="s">
        <v>305</v>
      </c>
      <c r="H137" s="65">
        <v>1</v>
      </c>
      <c r="I137" s="65">
        <v>0</v>
      </c>
      <c r="J137" s="86" t="s">
        <v>196</v>
      </c>
      <c r="K137" s="65">
        <f>+RI_GND</f>
        <v>50</v>
      </c>
      <c r="L137" s="65" t="str">
        <f>+CI_GND</f>
        <v>1500pF</v>
      </c>
      <c r="M137" s="65" t="str">
        <f>+LI_GND</f>
        <v>0.08uH</v>
      </c>
      <c r="N137" s="65">
        <v>0</v>
      </c>
      <c r="O137" s="65">
        <v>0</v>
      </c>
      <c r="P137" s="67">
        <v>0</v>
      </c>
      <c r="Q137" s="67">
        <v>0</v>
      </c>
      <c r="R137" s="67">
        <v>0</v>
      </c>
      <c r="S137" s="65" t="e">
        <f>+'C - FPU to CVV'!#REF!</f>
        <v>#REF!</v>
      </c>
      <c r="T137" s="69">
        <f>+DC_PHOT</f>
        <v>0.5</v>
      </c>
      <c r="U137" s="69" t="e">
        <f>+'C - FPU to CVV'!#REF!</f>
        <v>#REF!</v>
      </c>
      <c r="V137" s="69" t="e">
        <f>+'C - FPU to CVV'!#REF!</f>
        <v>#REF!</v>
      </c>
      <c r="W137" s="70">
        <f t="shared" si="33"/>
        <v>0</v>
      </c>
      <c r="X137" s="70" t="e">
        <f t="shared" si="34"/>
        <v>#REF!</v>
      </c>
      <c r="Y137" s="71" t="e">
        <f t="shared" si="35"/>
        <v>#REF!</v>
      </c>
      <c r="Z137" s="54"/>
    </row>
    <row r="138" spans="1:26" ht="12.75">
      <c r="A138" s="61"/>
      <c r="B138" s="109"/>
      <c r="C138" s="110" t="s">
        <v>251</v>
      </c>
      <c r="D138" s="109" t="s">
        <v>514</v>
      </c>
      <c r="E138" s="109" t="s">
        <v>521</v>
      </c>
      <c r="F138" s="109" t="s">
        <v>522</v>
      </c>
      <c r="G138" s="110" t="s">
        <v>160</v>
      </c>
      <c r="H138" s="109">
        <v>12</v>
      </c>
      <c r="I138" s="109">
        <v>3</v>
      </c>
      <c r="J138" s="111" t="s">
        <v>155</v>
      </c>
      <c r="K138" s="109">
        <f>+RI_CERNOX</f>
        <v>1000</v>
      </c>
      <c r="L138" s="109"/>
      <c r="M138" s="109"/>
      <c r="N138" s="112">
        <f>+I_CERNOX</f>
        <v>1E-06</v>
      </c>
      <c r="O138" s="112">
        <f>+I_CERNOX</f>
        <v>1E-06</v>
      </c>
      <c r="P138" s="113">
        <v>1</v>
      </c>
      <c r="Q138" s="113">
        <v>1</v>
      </c>
      <c r="R138" s="113">
        <v>1</v>
      </c>
      <c r="S138" s="109"/>
      <c r="T138" s="114">
        <v>1</v>
      </c>
      <c r="U138" s="114">
        <v>0.33</v>
      </c>
      <c r="V138" s="114">
        <f>+U138*T138</f>
        <v>0.33</v>
      </c>
      <c r="W138" s="112">
        <f t="shared" si="33"/>
        <v>1.2000000000000002E-08</v>
      </c>
      <c r="X138" s="112">
        <f t="shared" si="34"/>
        <v>3.96E-09</v>
      </c>
      <c r="Y138" s="115" t="e">
        <f t="shared" si="35"/>
        <v>#REF!</v>
      </c>
      <c r="Z138" s="54"/>
    </row>
    <row r="139" spans="1:25" ht="12.75">
      <c r="A139" s="61"/>
      <c r="B139" s="72"/>
      <c r="C139" s="73" t="s">
        <v>714</v>
      </c>
      <c r="D139" s="72"/>
      <c r="E139" s="72"/>
      <c r="F139" s="72"/>
      <c r="G139" s="73" t="s">
        <v>715</v>
      </c>
      <c r="H139" s="72"/>
      <c r="I139" s="72"/>
      <c r="J139" s="135" t="s">
        <v>716</v>
      </c>
      <c r="K139" s="72"/>
      <c r="L139" s="72"/>
      <c r="M139" s="72" t="s">
        <v>712</v>
      </c>
      <c r="N139" s="72"/>
      <c r="O139" s="72"/>
      <c r="P139" s="75"/>
      <c r="Q139" s="75"/>
      <c r="R139" s="75"/>
      <c r="S139" s="72"/>
      <c r="T139" s="76"/>
      <c r="U139" s="76"/>
      <c r="V139" s="76"/>
      <c r="W139" s="77"/>
      <c r="X139" s="77">
        <f t="shared" si="34"/>
        <v>0</v>
      </c>
      <c r="Y139" s="78" t="e">
        <f>+X139/$X$196</f>
        <v>#REF!</v>
      </c>
    </row>
    <row r="140" spans="1:25" s="140" customFormat="1" ht="13.5" thickBot="1">
      <c r="A140" s="136" t="s">
        <v>720</v>
      </c>
      <c r="B140" s="137" t="s">
        <v>161</v>
      </c>
      <c r="C140" s="90" t="s">
        <v>250</v>
      </c>
      <c r="D140" s="89" t="s">
        <v>514</v>
      </c>
      <c r="E140" s="89" t="s">
        <v>525</v>
      </c>
      <c r="F140" s="89" t="s">
        <v>522</v>
      </c>
      <c r="G140" s="90" t="s">
        <v>162</v>
      </c>
      <c r="H140" s="89">
        <v>12</v>
      </c>
      <c r="I140" s="89">
        <v>3</v>
      </c>
      <c r="J140" s="138" t="s">
        <v>155</v>
      </c>
      <c r="K140" s="89">
        <f>+RI_CERNOX</f>
        <v>1000</v>
      </c>
      <c r="L140" s="89"/>
      <c r="M140" s="89"/>
      <c r="N140" s="94">
        <f>+I_CERNOX</f>
        <v>1E-06</v>
      </c>
      <c r="O140" s="137">
        <f>+I_CERNOX</f>
        <v>1E-06</v>
      </c>
      <c r="P140" s="139">
        <v>1</v>
      </c>
      <c r="Q140" s="139">
        <v>1</v>
      </c>
      <c r="R140" s="139">
        <v>1</v>
      </c>
      <c r="S140" s="137"/>
      <c r="T140" s="93">
        <v>1</v>
      </c>
      <c r="U140" s="93">
        <v>0.33</v>
      </c>
      <c r="V140" s="93">
        <f aca="true" t="shared" si="36" ref="V140:V146">+U140*T140</f>
        <v>0.33</v>
      </c>
      <c r="W140" s="94">
        <f aca="true" t="shared" si="37" ref="W140:W159">+N140^2*K140*H140</f>
        <v>1.2000000000000002E-08</v>
      </c>
      <c r="X140" s="94">
        <f t="shared" si="34"/>
        <v>3.96E-09</v>
      </c>
      <c r="Y140" s="95" t="e">
        <f t="shared" si="35"/>
        <v>#REF!</v>
      </c>
    </row>
    <row r="141" spans="1:26" s="48" customFormat="1" ht="13.5" thickTop="1">
      <c r="A141" s="116" t="s">
        <v>5</v>
      </c>
      <c r="B141" s="98"/>
      <c r="C141" s="73" t="s">
        <v>9</v>
      </c>
      <c r="D141" s="98" t="s">
        <v>479</v>
      </c>
      <c r="E141" s="98" t="s">
        <v>526</v>
      </c>
      <c r="F141" s="98" t="s">
        <v>478</v>
      </c>
      <c r="G141" s="121" t="s">
        <v>422</v>
      </c>
      <c r="H141" s="98">
        <v>4</v>
      </c>
      <c r="I141" s="98">
        <v>2</v>
      </c>
      <c r="J141" s="98" t="s">
        <v>261</v>
      </c>
      <c r="K141" s="98">
        <f>+RI_BSM_SNS</f>
        <v>1000</v>
      </c>
      <c r="L141" s="98"/>
      <c r="M141" s="98"/>
      <c r="N141" s="77">
        <f>+BSM_I_SNS</f>
        <v>1E-06</v>
      </c>
      <c r="O141" s="77">
        <f>+BSM_I_SNS</f>
        <v>1E-06</v>
      </c>
      <c r="P141" s="117">
        <v>1</v>
      </c>
      <c r="Q141" s="117">
        <v>1</v>
      </c>
      <c r="R141" s="117">
        <v>0</v>
      </c>
      <c r="S141" s="98">
        <v>0.4</v>
      </c>
      <c r="T141" s="99">
        <v>1</v>
      </c>
      <c r="U141" s="99">
        <v>0.33</v>
      </c>
      <c r="V141" s="99">
        <f t="shared" si="36"/>
        <v>0.33</v>
      </c>
      <c r="W141" s="77">
        <f t="shared" si="37"/>
        <v>4E-09</v>
      </c>
      <c r="X141" s="77">
        <f t="shared" si="34"/>
        <v>1.3200000000000002E-09</v>
      </c>
      <c r="Y141" s="78" t="e">
        <f t="shared" si="35"/>
        <v>#REF!</v>
      </c>
      <c r="Z141" s="50"/>
    </row>
    <row r="142" spans="1:26" s="48" customFormat="1" ht="12.75">
      <c r="A142" s="116"/>
      <c r="B142" s="98"/>
      <c r="C142" s="73"/>
      <c r="D142" s="98"/>
      <c r="E142" s="98"/>
      <c r="F142" s="98"/>
      <c r="G142" s="121" t="s">
        <v>422</v>
      </c>
      <c r="H142" s="98">
        <v>6</v>
      </c>
      <c r="I142" s="98">
        <v>2</v>
      </c>
      <c r="J142" s="98" t="s">
        <v>163</v>
      </c>
      <c r="K142" s="98">
        <f>+RI_BSM_SNS</f>
        <v>1000</v>
      </c>
      <c r="L142" s="98"/>
      <c r="M142" s="98"/>
      <c r="N142" s="77">
        <f>+BSM_I_SNS</f>
        <v>1E-06</v>
      </c>
      <c r="O142" s="77">
        <f>+BSM_I_SNS</f>
        <v>1E-06</v>
      </c>
      <c r="P142" s="117">
        <v>1</v>
      </c>
      <c r="Q142" s="117">
        <v>1</v>
      </c>
      <c r="R142" s="117">
        <v>0</v>
      </c>
      <c r="S142" s="98"/>
      <c r="T142" s="99">
        <v>1</v>
      </c>
      <c r="U142" s="99">
        <v>0.33</v>
      </c>
      <c r="V142" s="99">
        <f t="shared" si="36"/>
        <v>0.33</v>
      </c>
      <c r="W142" s="77">
        <f t="shared" si="37"/>
        <v>6.000000000000001E-09</v>
      </c>
      <c r="X142" s="77">
        <f t="shared" si="34"/>
        <v>1.98E-09</v>
      </c>
      <c r="Y142" s="78" t="e">
        <f t="shared" si="35"/>
        <v>#REF!</v>
      </c>
      <c r="Z142" s="50"/>
    </row>
    <row r="143" spans="1:26" s="48" customFormat="1" ht="12.75">
      <c r="A143" s="116"/>
      <c r="B143" s="98"/>
      <c r="C143" s="121"/>
      <c r="D143" s="98"/>
      <c r="E143" s="98"/>
      <c r="F143" s="98"/>
      <c r="G143" s="121" t="s">
        <v>245</v>
      </c>
      <c r="H143" s="98">
        <v>2</v>
      </c>
      <c r="I143" s="98">
        <v>1</v>
      </c>
      <c r="J143" s="98" t="s">
        <v>261</v>
      </c>
      <c r="K143" s="98">
        <f>+RI_BSM_LL_CNF</f>
        <v>1000</v>
      </c>
      <c r="L143" s="98"/>
      <c r="M143" s="98"/>
      <c r="N143" s="98">
        <f>+BSM_I_LLS</f>
        <v>0.001</v>
      </c>
      <c r="O143" s="98">
        <v>0</v>
      </c>
      <c r="P143" s="117">
        <v>0</v>
      </c>
      <c r="Q143" s="117">
        <v>0</v>
      </c>
      <c r="R143" s="117">
        <v>0</v>
      </c>
      <c r="S143" s="98"/>
      <c r="T143" s="99">
        <v>0</v>
      </c>
      <c r="U143" s="99">
        <v>0</v>
      </c>
      <c r="V143" s="99">
        <f t="shared" si="36"/>
        <v>0</v>
      </c>
      <c r="W143" s="77">
        <f t="shared" si="37"/>
        <v>0.002</v>
      </c>
      <c r="X143" s="77">
        <f t="shared" si="34"/>
        <v>0</v>
      </c>
      <c r="Y143" s="78" t="e">
        <f aca="true" t="shared" si="38" ref="Y143:Y159">+X143/$X$196</f>
        <v>#REF!</v>
      </c>
      <c r="Z143" s="50"/>
    </row>
    <row r="144" spans="1:26" s="48" customFormat="1" ht="12.75">
      <c r="A144" s="116"/>
      <c r="B144" s="98"/>
      <c r="C144" s="121"/>
      <c r="D144" s="98"/>
      <c r="E144" s="98"/>
      <c r="F144" s="98"/>
      <c r="G144" s="121" t="s">
        <v>246</v>
      </c>
      <c r="H144" s="98">
        <v>2</v>
      </c>
      <c r="I144" s="98">
        <v>1</v>
      </c>
      <c r="J144" s="98" t="s">
        <v>261</v>
      </c>
      <c r="K144" s="98">
        <f>+RI_BSM_LL_DRV</f>
        <v>10</v>
      </c>
      <c r="L144" s="98"/>
      <c r="M144" s="98"/>
      <c r="N144" s="98">
        <f>+BSM_I_LLD</f>
        <v>0.035</v>
      </c>
      <c r="O144" s="98">
        <v>0</v>
      </c>
      <c r="P144" s="117">
        <v>0</v>
      </c>
      <c r="Q144" s="117">
        <v>0</v>
      </c>
      <c r="R144" s="117">
        <v>0</v>
      </c>
      <c r="S144" s="98"/>
      <c r="T144" s="99">
        <v>0</v>
      </c>
      <c r="U144" s="99">
        <v>0</v>
      </c>
      <c r="V144" s="99">
        <f t="shared" si="36"/>
        <v>0</v>
      </c>
      <c r="W144" s="77">
        <f t="shared" si="37"/>
        <v>0.024500000000000004</v>
      </c>
      <c r="X144" s="77">
        <f t="shared" si="34"/>
        <v>0</v>
      </c>
      <c r="Y144" s="78" t="e">
        <f t="shared" si="38"/>
        <v>#REF!</v>
      </c>
      <c r="Z144" s="50"/>
    </row>
    <row r="145" spans="1:26" s="48" customFormat="1" ht="12.75">
      <c r="A145" s="116"/>
      <c r="B145" s="98"/>
      <c r="C145" s="121"/>
      <c r="D145" s="98"/>
      <c r="E145" s="98"/>
      <c r="F145" s="98"/>
      <c r="G145" s="121" t="s">
        <v>247</v>
      </c>
      <c r="H145" s="98">
        <v>4</v>
      </c>
      <c r="I145" s="98">
        <v>1</v>
      </c>
      <c r="J145" s="98" t="s">
        <v>155</v>
      </c>
      <c r="K145" s="98">
        <f>+RI_BSM_DRV</f>
        <v>10</v>
      </c>
      <c r="L145" s="98"/>
      <c r="M145" s="98"/>
      <c r="N145" s="98">
        <f>+BSM_MAXI_DRV</f>
        <v>0.04</v>
      </c>
      <c r="O145" s="98">
        <f>+BSM_AVGI_CDRV</f>
        <v>0.02</v>
      </c>
      <c r="P145" s="117">
        <v>1</v>
      </c>
      <c r="Q145" s="117">
        <v>1</v>
      </c>
      <c r="R145" s="117">
        <v>0</v>
      </c>
      <c r="S145" s="98"/>
      <c r="T145" s="99">
        <v>0.5</v>
      </c>
      <c r="U145" s="99">
        <v>0.33</v>
      </c>
      <c r="V145" s="99">
        <f t="shared" si="36"/>
        <v>0.165</v>
      </c>
      <c r="W145" s="77">
        <f t="shared" si="37"/>
        <v>0.064</v>
      </c>
      <c r="X145" s="77">
        <f t="shared" si="34"/>
        <v>0.00264</v>
      </c>
      <c r="Y145" s="78" t="e">
        <f t="shared" si="38"/>
        <v>#REF!</v>
      </c>
      <c r="Z145" s="50"/>
    </row>
    <row r="146" spans="1:26" s="48" customFormat="1" ht="12.75">
      <c r="A146" s="116"/>
      <c r="B146" s="122"/>
      <c r="C146" s="123"/>
      <c r="D146" s="122"/>
      <c r="E146" s="122"/>
      <c r="F146" s="122"/>
      <c r="G146" s="123" t="s">
        <v>248</v>
      </c>
      <c r="H146" s="122">
        <v>4</v>
      </c>
      <c r="I146" s="122">
        <v>1</v>
      </c>
      <c r="J146" s="122" t="s">
        <v>155</v>
      </c>
      <c r="K146" s="122">
        <f>+RI_BSM_DRV</f>
        <v>10</v>
      </c>
      <c r="L146" s="122"/>
      <c r="M146" s="122"/>
      <c r="N146" s="122">
        <f>+BSM_MAXI_DRV</f>
        <v>0.04</v>
      </c>
      <c r="O146" s="122">
        <f>+BSM_AVGI_JDRV</f>
        <v>0.005</v>
      </c>
      <c r="P146" s="124">
        <v>1</v>
      </c>
      <c r="Q146" s="124">
        <v>1</v>
      </c>
      <c r="R146" s="124">
        <v>0</v>
      </c>
      <c r="S146" s="122"/>
      <c r="T146" s="68">
        <v>0.5</v>
      </c>
      <c r="U146" s="68">
        <v>0.33</v>
      </c>
      <c r="V146" s="68">
        <f t="shared" si="36"/>
        <v>0.165</v>
      </c>
      <c r="W146" s="70">
        <f t="shared" si="37"/>
        <v>0.064</v>
      </c>
      <c r="X146" s="70">
        <f t="shared" si="34"/>
        <v>0.000165</v>
      </c>
      <c r="Y146" s="71" t="e">
        <f t="shared" si="38"/>
        <v>#REF!</v>
      </c>
      <c r="Z146" s="50"/>
    </row>
    <row r="147" spans="1:26" s="48" customFormat="1" ht="12.75">
      <c r="A147" s="116"/>
      <c r="B147" s="98"/>
      <c r="C147" s="121" t="s">
        <v>10</v>
      </c>
      <c r="D147" s="98" t="s">
        <v>478</v>
      </c>
      <c r="E147" s="98" t="s">
        <v>527</v>
      </c>
      <c r="F147" s="98" t="s">
        <v>479</v>
      </c>
      <c r="G147" s="121" t="s">
        <v>65</v>
      </c>
      <c r="H147" s="98">
        <v>2</v>
      </c>
      <c r="I147" s="98">
        <v>1</v>
      </c>
      <c r="J147" s="98" t="s">
        <v>261</v>
      </c>
      <c r="K147" s="98">
        <f>+RI_FTS_LVDT_S</f>
        <v>5</v>
      </c>
      <c r="L147" s="98"/>
      <c r="M147" s="98"/>
      <c r="N147" s="98">
        <f>+FTS_MAXI_LVDTP</f>
        <v>0.005</v>
      </c>
      <c r="O147" s="98">
        <f>+FTS_AVGI_LVDTP</f>
        <v>0.0025</v>
      </c>
      <c r="P147" s="117">
        <v>0</v>
      </c>
      <c r="Q147" s="117">
        <v>1</v>
      </c>
      <c r="R147" s="117">
        <v>0</v>
      </c>
      <c r="S147" s="98">
        <v>0</v>
      </c>
      <c r="T147" s="99">
        <v>0.5</v>
      </c>
      <c r="U147" s="99">
        <v>0.33</v>
      </c>
      <c r="V147" s="99">
        <f aca="true" t="shared" si="39" ref="V147:V158">+U147*T147</f>
        <v>0.165</v>
      </c>
      <c r="W147" s="77">
        <f t="shared" si="37"/>
        <v>0.00025</v>
      </c>
      <c r="X147" s="77">
        <f t="shared" si="34"/>
        <v>1.03125E-05</v>
      </c>
      <c r="Y147" s="78" t="e">
        <f t="shared" si="38"/>
        <v>#REF!</v>
      </c>
      <c r="Z147" s="50"/>
    </row>
    <row r="148" spans="1:26" s="48" customFormat="1" ht="12.75">
      <c r="A148" s="116"/>
      <c r="B148" s="98"/>
      <c r="C148" s="121"/>
      <c r="D148" s="98"/>
      <c r="E148" s="98"/>
      <c r="F148" s="98"/>
      <c r="G148" s="121" t="s">
        <v>66</v>
      </c>
      <c r="H148" s="98">
        <v>4</v>
      </c>
      <c r="I148" s="98">
        <v>2</v>
      </c>
      <c r="J148" s="98" t="s">
        <v>261</v>
      </c>
      <c r="K148" s="98">
        <f>+RI_FTS_LVDT_S</f>
        <v>5</v>
      </c>
      <c r="L148" s="98"/>
      <c r="M148" s="98"/>
      <c r="N148" s="98">
        <f>+FTS_AVGI_LVDTS</f>
        <v>5E-05</v>
      </c>
      <c r="O148" s="98">
        <f>+FTS_AVGI_LVDTS</f>
        <v>5E-05</v>
      </c>
      <c r="P148" s="117">
        <v>0</v>
      </c>
      <c r="Q148" s="117">
        <v>1</v>
      </c>
      <c r="R148" s="117">
        <v>0</v>
      </c>
      <c r="S148" s="98">
        <v>0</v>
      </c>
      <c r="T148" s="99">
        <v>0.5</v>
      </c>
      <c r="U148" s="99">
        <v>0.33</v>
      </c>
      <c r="V148" s="99">
        <f t="shared" si="39"/>
        <v>0.165</v>
      </c>
      <c r="W148" s="77">
        <f t="shared" si="37"/>
        <v>5E-08</v>
      </c>
      <c r="X148" s="77">
        <f t="shared" si="34"/>
        <v>8.25E-09</v>
      </c>
      <c r="Y148" s="78" t="e">
        <f t="shared" si="38"/>
        <v>#REF!</v>
      </c>
      <c r="Z148" s="50"/>
    </row>
    <row r="149" spans="1:26" s="48" customFormat="1" ht="12.75">
      <c r="A149" s="116"/>
      <c r="B149" s="98"/>
      <c r="C149" s="121"/>
      <c r="D149" s="98"/>
      <c r="E149" s="98"/>
      <c r="F149" s="98"/>
      <c r="G149" s="121" t="s">
        <v>61</v>
      </c>
      <c r="H149" s="98">
        <v>4</v>
      </c>
      <c r="I149" s="98">
        <v>2</v>
      </c>
      <c r="J149" s="98" t="s">
        <v>261</v>
      </c>
      <c r="K149" s="98">
        <f>+RI_FTS_LLP</f>
        <v>5</v>
      </c>
      <c r="L149" s="98"/>
      <c r="M149" s="98"/>
      <c r="N149" s="98">
        <f>+FT_MAXI_LLP</f>
        <v>0.4</v>
      </c>
      <c r="O149" s="98"/>
      <c r="P149" s="117">
        <v>0</v>
      </c>
      <c r="Q149" s="117">
        <v>0</v>
      </c>
      <c r="R149" s="117">
        <v>0</v>
      </c>
      <c r="S149" s="98">
        <v>0</v>
      </c>
      <c r="T149" s="99">
        <v>0</v>
      </c>
      <c r="U149" s="99">
        <v>0</v>
      </c>
      <c r="V149" s="99">
        <f t="shared" si="39"/>
        <v>0</v>
      </c>
      <c r="W149" s="77">
        <f t="shared" si="37"/>
        <v>3.2000000000000006</v>
      </c>
      <c r="X149" s="77">
        <f t="shared" si="34"/>
        <v>0</v>
      </c>
      <c r="Y149" s="78" t="e">
        <f t="shared" si="38"/>
        <v>#REF!</v>
      </c>
      <c r="Z149" s="50"/>
    </row>
    <row r="150" spans="1:26" s="48" customFormat="1" ht="12.75">
      <c r="A150" s="116"/>
      <c r="B150" s="98"/>
      <c r="C150" s="121"/>
      <c r="D150" s="98"/>
      <c r="E150" s="98"/>
      <c r="F150" s="98"/>
      <c r="G150" s="121" t="s">
        <v>62</v>
      </c>
      <c r="H150" s="98">
        <v>2</v>
      </c>
      <c r="I150" s="98">
        <v>1</v>
      </c>
      <c r="J150" s="98" t="s">
        <v>261</v>
      </c>
      <c r="K150" s="98">
        <f>+RI_FTS_LLS</f>
        <v>5</v>
      </c>
      <c r="L150" s="98"/>
      <c r="M150" s="98"/>
      <c r="N150" s="98">
        <f>+FTS_MAXI_LLS</f>
        <v>0.001</v>
      </c>
      <c r="O150" s="98"/>
      <c r="P150" s="117">
        <v>0</v>
      </c>
      <c r="Q150" s="117">
        <v>0</v>
      </c>
      <c r="R150" s="117">
        <v>0</v>
      </c>
      <c r="S150" s="98">
        <v>0</v>
      </c>
      <c r="T150" s="99">
        <v>0</v>
      </c>
      <c r="U150" s="99">
        <v>0</v>
      </c>
      <c r="V150" s="99">
        <f t="shared" si="39"/>
        <v>0</v>
      </c>
      <c r="W150" s="77">
        <f t="shared" si="37"/>
        <v>9.999999999999999E-06</v>
      </c>
      <c r="X150" s="77">
        <f t="shared" si="34"/>
        <v>0</v>
      </c>
      <c r="Y150" s="78" t="e">
        <f t="shared" si="38"/>
        <v>#REF!</v>
      </c>
      <c r="Z150" s="50"/>
    </row>
    <row r="151" spans="1:26" s="48" customFormat="1" ht="12.75">
      <c r="A151" s="116"/>
      <c r="B151" s="98"/>
      <c r="C151" s="121"/>
      <c r="D151" s="98"/>
      <c r="E151" s="98"/>
      <c r="F151" s="98"/>
      <c r="G151" s="121" t="s">
        <v>63</v>
      </c>
      <c r="H151" s="98">
        <v>4</v>
      </c>
      <c r="I151" s="98">
        <v>2</v>
      </c>
      <c r="J151" s="98" t="s">
        <v>261</v>
      </c>
      <c r="K151" s="98">
        <f>+RI_FTS_LLP</f>
        <v>5</v>
      </c>
      <c r="L151" s="98"/>
      <c r="M151" s="98"/>
      <c r="N151" s="98">
        <f>+FT_MAXI_LLP</f>
        <v>0.4</v>
      </c>
      <c r="O151" s="98"/>
      <c r="P151" s="117">
        <v>0</v>
      </c>
      <c r="Q151" s="117">
        <v>0</v>
      </c>
      <c r="R151" s="117">
        <v>0</v>
      </c>
      <c r="S151" s="98">
        <v>0</v>
      </c>
      <c r="T151" s="99">
        <v>0</v>
      </c>
      <c r="U151" s="99">
        <v>0</v>
      </c>
      <c r="V151" s="99">
        <f t="shared" si="39"/>
        <v>0</v>
      </c>
      <c r="W151" s="77">
        <f t="shared" si="37"/>
        <v>3.2000000000000006</v>
      </c>
      <c r="X151" s="77">
        <f t="shared" si="34"/>
        <v>0</v>
      </c>
      <c r="Y151" s="78" t="e">
        <f t="shared" si="38"/>
        <v>#REF!</v>
      </c>
      <c r="Z151" s="50"/>
    </row>
    <row r="152" spans="1:26" s="48" customFormat="1" ht="12.75">
      <c r="A152" s="116"/>
      <c r="B152" s="122"/>
      <c r="C152" s="123"/>
      <c r="D152" s="122"/>
      <c r="E152" s="122"/>
      <c r="F152" s="122"/>
      <c r="G152" s="123" t="s">
        <v>64</v>
      </c>
      <c r="H152" s="122">
        <v>2</v>
      </c>
      <c r="I152" s="122">
        <v>1</v>
      </c>
      <c r="J152" s="122" t="s">
        <v>261</v>
      </c>
      <c r="K152" s="122">
        <f>+RI_FTS_LLS</f>
        <v>5</v>
      </c>
      <c r="L152" s="122"/>
      <c r="M152" s="122"/>
      <c r="N152" s="122">
        <f>+FTS_MAXI_LLS</f>
        <v>0.001</v>
      </c>
      <c r="O152" s="122"/>
      <c r="P152" s="124">
        <v>0</v>
      </c>
      <c r="Q152" s="124">
        <v>0</v>
      </c>
      <c r="R152" s="124">
        <v>0</v>
      </c>
      <c r="S152" s="122">
        <v>0</v>
      </c>
      <c r="T152" s="68">
        <v>0</v>
      </c>
      <c r="U152" s="68">
        <v>0</v>
      </c>
      <c r="V152" s="68">
        <f t="shared" si="39"/>
        <v>0</v>
      </c>
      <c r="W152" s="70">
        <f t="shared" si="37"/>
        <v>9.999999999999999E-06</v>
      </c>
      <c r="X152" s="70">
        <f t="shared" si="34"/>
        <v>0</v>
      </c>
      <c r="Y152" s="71" t="e">
        <f t="shared" si="38"/>
        <v>#REF!</v>
      </c>
      <c r="Z152" s="50"/>
    </row>
    <row r="153" spans="1:26" s="48" customFormat="1" ht="12.75">
      <c r="A153" s="116"/>
      <c r="B153" s="98"/>
      <c r="C153" s="73" t="s">
        <v>8</v>
      </c>
      <c r="D153" s="98" t="s">
        <v>479</v>
      </c>
      <c r="E153" s="98" t="s">
        <v>528</v>
      </c>
      <c r="F153" s="98" t="s">
        <v>478</v>
      </c>
      <c r="G153" s="121" t="s">
        <v>164</v>
      </c>
      <c r="H153" s="98">
        <v>2</v>
      </c>
      <c r="I153" s="98">
        <v>1</v>
      </c>
      <c r="J153" s="98" t="s">
        <v>261</v>
      </c>
      <c r="K153" s="98">
        <f>+RI_FTS_DRV</f>
        <v>5</v>
      </c>
      <c r="L153" s="98"/>
      <c r="M153" s="98"/>
      <c r="N153" s="98">
        <f>+FTS_I_DRVM</f>
        <v>0.1</v>
      </c>
      <c r="O153" s="98">
        <f>+FTS_I_DRVA</f>
        <v>0.08</v>
      </c>
      <c r="P153" s="117">
        <v>0</v>
      </c>
      <c r="Q153" s="117">
        <v>1</v>
      </c>
      <c r="R153" s="117">
        <v>0</v>
      </c>
      <c r="S153" s="98">
        <v>0</v>
      </c>
      <c r="T153" s="99">
        <v>0.5</v>
      </c>
      <c r="U153" s="99">
        <v>0.33</v>
      </c>
      <c r="V153" s="99">
        <f t="shared" si="39"/>
        <v>0.165</v>
      </c>
      <c r="W153" s="77">
        <f t="shared" si="37"/>
        <v>0.10000000000000002</v>
      </c>
      <c r="X153" s="77">
        <f t="shared" si="34"/>
        <v>0.01056</v>
      </c>
      <c r="Y153" s="78" t="e">
        <f t="shared" si="38"/>
        <v>#REF!</v>
      </c>
      <c r="Z153" s="50"/>
    </row>
    <row r="154" spans="1:26" s="48" customFormat="1" ht="12.75">
      <c r="A154" s="116"/>
      <c r="B154" s="98"/>
      <c r="C154" s="73"/>
      <c r="D154" s="98"/>
      <c r="E154" s="98"/>
      <c r="F154" s="98"/>
      <c r="G154" s="121" t="s">
        <v>679</v>
      </c>
      <c r="H154" s="98">
        <v>2</v>
      </c>
      <c r="I154" s="98">
        <v>1</v>
      </c>
      <c r="J154" s="98" t="s">
        <v>261</v>
      </c>
      <c r="K154" s="98">
        <f>+RI_FTS_DRV</f>
        <v>5</v>
      </c>
      <c r="L154" s="98"/>
      <c r="M154" s="98"/>
      <c r="N154" s="98">
        <f>+FTS_I_DRVM</f>
        <v>0.1</v>
      </c>
      <c r="O154" s="98">
        <v>0</v>
      </c>
      <c r="P154" s="117">
        <v>0</v>
      </c>
      <c r="Q154" s="117">
        <v>1</v>
      </c>
      <c r="R154" s="117">
        <v>0</v>
      </c>
      <c r="S154" s="98">
        <v>0</v>
      </c>
      <c r="T154" s="99">
        <v>0.5</v>
      </c>
      <c r="U154" s="99">
        <v>0.33</v>
      </c>
      <c r="V154" s="99">
        <f>+U154*T154</f>
        <v>0.165</v>
      </c>
      <c r="W154" s="77">
        <f t="shared" si="37"/>
        <v>0.10000000000000002</v>
      </c>
      <c r="X154" s="77">
        <f t="shared" si="34"/>
        <v>0</v>
      </c>
      <c r="Y154" s="78" t="e">
        <f t="shared" si="38"/>
        <v>#REF!</v>
      </c>
      <c r="Z154" s="50"/>
    </row>
    <row r="155" spans="1:26" s="48" customFormat="1" ht="12.75">
      <c r="A155" s="116"/>
      <c r="B155" s="98"/>
      <c r="C155" s="121"/>
      <c r="D155" s="98"/>
      <c r="E155" s="98"/>
      <c r="F155" s="98"/>
      <c r="G155" s="121" t="s">
        <v>249</v>
      </c>
      <c r="H155" s="98">
        <v>2</v>
      </c>
      <c r="I155" s="98">
        <v>1</v>
      </c>
      <c r="J155" s="98" t="s">
        <v>261</v>
      </c>
      <c r="K155" s="98">
        <f>+RI_FTS_DRV_SNS</f>
        <v>500</v>
      </c>
      <c r="L155" s="98"/>
      <c r="M155" s="98"/>
      <c r="N155" s="98">
        <f>+FTS_I_DRV_SNS</f>
        <v>1E-05</v>
      </c>
      <c r="O155" s="98"/>
      <c r="P155" s="117">
        <v>0</v>
      </c>
      <c r="Q155" s="117">
        <v>1</v>
      </c>
      <c r="R155" s="117">
        <v>0</v>
      </c>
      <c r="S155" s="98"/>
      <c r="T155" s="99">
        <v>0</v>
      </c>
      <c r="U155" s="99">
        <v>0.33</v>
      </c>
      <c r="V155" s="99">
        <f t="shared" si="39"/>
        <v>0</v>
      </c>
      <c r="W155" s="77">
        <f t="shared" si="37"/>
        <v>1.0000000000000002E-07</v>
      </c>
      <c r="X155" s="77">
        <f t="shared" si="34"/>
        <v>0</v>
      </c>
      <c r="Y155" s="78" t="e">
        <f t="shared" si="38"/>
        <v>#REF!</v>
      </c>
      <c r="Z155" s="50"/>
    </row>
    <row r="156" spans="1:26" s="48" customFormat="1" ht="12.75">
      <c r="A156" s="116"/>
      <c r="B156" s="98"/>
      <c r="C156" s="121"/>
      <c r="D156" s="98"/>
      <c r="E156" s="98"/>
      <c r="F156" s="98"/>
      <c r="G156" s="121" t="s">
        <v>67</v>
      </c>
      <c r="H156" s="98">
        <v>4</v>
      </c>
      <c r="I156" s="98">
        <v>2</v>
      </c>
      <c r="J156" s="98" t="s">
        <v>261</v>
      </c>
      <c r="K156" s="98">
        <f>+RI_FTS_PS_PWR</f>
        <v>100</v>
      </c>
      <c r="L156" s="98"/>
      <c r="M156" s="98"/>
      <c r="N156" s="98">
        <f>+FTS_PSP_I</f>
        <v>0.001</v>
      </c>
      <c r="O156" s="98"/>
      <c r="P156" s="117">
        <v>0</v>
      </c>
      <c r="Q156" s="117">
        <v>1</v>
      </c>
      <c r="R156" s="117">
        <v>0</v>
      </c>
      <c r="S156" s="98"/>
      <c r="T156" s="99">
        <v>0.5</v>
      </c>
      <c r="U156" s="99">
        <v>0.33</v>
      </c>
      <c r="V156" s="99">
        <f t="shared" si="39"/>
        <v>0.165</v>
      </c>
      <c r="W156" s="77">
        <f t="shared" si="37"/>
        <v>0.00039999999999999996</v>
      </c>
      <c r="X156" s="77">
        <f t="shared" si="34"/>
        <v>0</v>
      </c>
      <c r="Y156" s="78" t="e">
        <f t="shared" si="38"/>
        <v>#REF!</v>
      </c>
      <c r="Z156" s="50"/>
    </row>
    <row r="157" spans="1:26" s="48" customFormat="1" ht="12.75">
      <c r="A157" s="61"/>
      <c r="B157" s="72"/>
      <c r="C157" s="121"/>
      <c r="D157" s="98"/>
      <c r="E157" s="98"/>
      <c r="F157" s="98"/>
      <c r="G157" s="121" t="s">
        <v>240</v>
      </c>
      <c r="H157" s="98">
        <v>6</v>
      </c>
      <c r="I157" s="98">
        <v>3</v>
      </c>
      <c r="J157" s="98" t="s">
        <v>261</v>
      </c>
      <c r="K157" s="98">
        <f>+RI_FTS_PS_PHOT</f>
        <v>1000</v>
      </c>
      <c r="L157" s="98"/>
      <c r="M157" s="98"/>
      <c r="N157" s="98">
        <f>+FTS_PS_PHOT_I</f>
        <v>2E-05</v>
      </c>
      <c r="O157" s="98"/>
      <c r="P157" s="117">
        <v>0</v>
      </c>
      <c r="Q157" s="117">
        <v>1</v>
      </c>
      <c r="R157" s="117">
        <v>0</v>
      </c>
      <c r="S157" s="98"/>
      <c r="T157" s="99">
        <v>0.5</v>
      </c>
      <c r="U157" s="99">
        <v>0.33</v>
      </c>
      <c r="V157" s="99">
        <f t="shared" si="39"/>
        <v>0.165</v>
      </c>
      <c r="W157" s="77">
        <f t="shared" si="37"/>
        <v>2.4000000000000007E-06</v>
      </c>
      <c r="X157" s="77">
        <f t="shared" si="34"/>
        <v>0</v>
      </c>
      <c r="Y157" s="78" t="e">
        <f t="shared" si="38"/>
        <v>#REF!</v>
      </c>
      <c r="Z157" s="50"/>
    </row>
    <row r="158" spans="1:26" s="48" customFormat="1" ht="12.75">
      <c r="A158" s="61"/>
      <c r="B158" s="72"/>
      <c r="C158" s="121"/>
      <c r="D158" s="98"/>
      <c r="E158" s="98"/>
      <c r="F158" s="98"/>
      <c r="G158" s="121" t="s">
        <v>241</v>
      </c>
      <c r="H158" s="98">
        <v>6</v>
      </c>
      <c r="I158" s="98">
        <v>3</v>
      </c>
      <c r="J158" s="98" t="s">
        <v>261</v>
      </c>
      <c r="K158" s="98">
        <f>+RI_FTS_PS_FB</f>
        <v>1000</v>
      </c>
      <c r="L158" s="98"/>
      <c r="M158" s="98"/>
      <c r="N158" s="98">
        <f>+FTS_PS_FB_I</f>
        <v>1E-05</v>
      </c>
      <c r="O158" s="98"/>
      <c r="P158" s="117">
        <v>0</v>
      </c>
      <c r="Q158" s="117">
        <v>1</v>
      </c>
      <c r="R158" s="117">
        <v>0</v>
      </c>
      <c r="S158" s="98"/>
      <c r="T158" s="99">
        <v>0.5</v>
      </c>
      <c r="U158" s="99">
        <v>0.33</v>
      </c>
      <c r="V158" s="99">
        <f t="shared" si="39"/>
        <v>0.165</v>
      </c>
      <c r="W158" s="77">
        <f t="shared" si="37"/>
        <v>6.000000000000002E-07</v>
      </c>
      <c r="X158" s="77"/>
      <c r="Y158" s="78" t="e">
        <f t="shared" si="38"/>
        <v>#REF!</v>
      </c>
      <c r="Z158" s="50"/>
    </row>
    <row r="159" spans="1:26" s="48" customFormat="1" ht="26.25" thickBot="1">
      <c r="A159" s="61"/>
      <c r="B159" s="65"/>
      <c r="C159" s="66"/>
      <c r="D159" s="65"/>
      <c r="E159" s="65"/>
      <c r="F159" s="65"/>
      <c r="G159" s="66" t="s">
        <v>305</v>
      </c>
      <c r="H159" s="65">
        <v>1</v>
      </c>
      <c r="I159" s="65">
        <v>0</v>
      </c>
      <c r="J159" s="86" t="s">
        <v>196</v>
      </c>
      <c r="K159" s="65">
        <f>+RI_GND</f>
        <v>50</v>
      </c>
      <c r="L159" s="65" t="str">
        <f>+CI_GND</f>
        <v>1500pF</v>
      </c>
      <c r="M159" s="65" t="str">
        <f>+LI_GND</f>
        <v>0.08uH</v>
      </c>
      <c r="N159" s="65">
        <v>0</v>
      </c>
      <c r="O159" s="65">
        <v>0</v>
      </c>
      <c r="P159" s="67">
        <v>0</v>
      </c>
      <c r="Q159" s="67">
        <v>0</v>
      </c>
      <c r="R159" s="67">
        <v>0</v>
      </c>
      <c r="S159" s="65">
        <f>+'C - FPU to CVV'!S152</f>
        <v>5</v>
      </c>
      <c r="T159" s="69">
        <f>+DC_PHOT</f>
        <v>0.5</v>
      </c>
      <c r="U159" s="69">
        <f>+'C - FPU to CVV'!U152</f>
        <v>0.33</v>
      </c>
      <c r="V159" s="69">
        <f>+'C - FPU to CVV'!V152</f>
        <v>0.165</v>
      </c>
      <c r="W159" s="70">
        <f t="shared" si="37"/>
        <v>0</v>
      </c>
      <c r="X159" s="70">
        <f>+O159^2*K159*V159*H159</f>
        <v>0</v>
      </c>
      <c r="Y159" s="71" t="e">
        <f t="shared" si="38"/>
        <v>#REF!</v>
      </c>
      <c r="Z159" s="50"/>
    </row>
    <row r="160" spans="1:26" s="48" customFormat="1" ht="13.5" thickTop="1">
      <c r="A160" s="61"/>
      <c r="B160" s="65"/>
      <c r="C160" s="66" t="s">
        <v>510</v>
      </c>
      <c r="D160" s="125" t="s">
        <v>511</v>
      </c>
      <c r="E160" s="206" t="s">
        <v>717</v>
      </c>
      <c r="F160" s="207"/>
      <c r="G160" s="66" t="s">
        <v>477</v>
      </c>
      <c r="H160" s="65">
        <v>6</v>
      </c>
      <c r="I160" s="65">
        <v>3</v>
      </c>
      <c r="J160" s="86" t="s">
        <v>261</v>
      </c>
      <c r="K160" s="65">
        <v>1000</v>
      </c>
      <c r="L160" s="65"/>
      <c r="M160" s="65"/>
      <c r="N160" s="65">
        <v>0</v>
      </c>
      <c r="O160" s="65">
        <v>0</v>
      </c>
      <c r="P160" s="67">
        <v>0</v>
      </c>
      <c r="Q160" s="67">
        <v>0</v>
      </c>
      <c r="R160" s="67">
        <v>0</v>
      </c>
      <c r="S160" s="65"/>
      <c r="T160" s="69">
        <v>0</v>
      </c>
      <c r="U160" s="69">
        <v>0</v>
      </c>
      <c r="V160" s="69">
        <v>0</v>
      </c>
      <c r="W160" s="70"/>
      <c r="X160" s="70"/>
      <c r="Y160" s="71"/>
      <c r="Z160" s="50"/>
    </row>
    <row r="161" spans="1:26" s="48" customFormat="1" ht="12.75">
      <c r="A161" s="61"/>
      <c r="B161" s="102"/>
      <c r="C161" s="119" t="s">
        <v>465</v>
      </c>
      <c r="D161" s="118" t="s">
        <v>515</v>
      </c>
      <c r="E161" s="118" t="s">
        <v>529</v>
      </c>
      <c r="F161" s="118" t="s">
        <v>466</v>
      </c>
      <c r="G161" s="119" t="s">
        <v>467</v>
      </c>
      <c r="H161" s="118">
        <v>4</v>
      </c>
      <c r="I161" s="118">
        <v>1</v>
      </c>
      <c r="J161" s="118" t="s">
        <v>155</v>
      </c>
      <c r="K161" s="118">
        <f>+RI_PCAL</f>
        <v>10</v>
      </c>
      <c r="L161" s="118"/>
      <c r="M161" s="118"/>
      <c r="N161" s="118">
        <f>+PCAL_MAXI</f>
        <v>0.007</v>
      </c>
      <c r="O161" s="118">
        <f>+PCAL_AVGI</f>
        <v>0.00175</v>
      </c>
      <c r="P161" s="106">
        <v>1</v>
      </c>
      <c r="Q161" s="106">
        <v>0</v>
      </c>
      <c r="R161" s="106">
        <v>0</v>
      </c>
      <c r="S161" s="118"/>
      <c r="T161" s="120">
        <f>+PCAL_DC</f>
        <v>0.05</v>
      </c>
      <c r="U161" s="120">
        <v>0.33</v>
      </c>
      <c r="V161" s="120">
        <f>+U161*T161</f>
        <v>0.0165</v>
      </c>
      <c r="W161" s="105">
        <f>+N161^2*K161*H161</f>
        <v>0.0019600000000000004</v>
      </c>
      <c r="X161" s="105">
        <f>+O161^2*K161*V161*H161</f>
        <v>2.0212500000000003E-06</v>
      </c>
      <c r="Y161" s="108" t="e">
        <f>+X161/$X$196</f>
        <v>#REF!</v>
      </c>
      <c r="Z161" s="50"/>
    </row>
    <row r="162" spans="1:25" s="134" customFormat="1" ht="13.5" thickBot="1">
      <c r="A162" s="130"/>
      <c r="B162" s="89"/>
      <c r="C162" s="90" t="s">
        <v>714</v>
      </c>
      <c r="D162" s="89"/>
      <c r="E162" s="89"/>
      <c r="F162" s="89"/>
      <c r="G162" s="90" t="s">
        <v>715</v>
      </c>
      <c r="H162" s="89"/>
      <c r="I162" s="89"/>
      <c r="J162" s="91" t="s">
        <v>716</v>
      </c>
      <c r="K162" s="89"/>
      <c r="L162" s="89"/>
      <c r="M162" s="89" t="s">
        <v>712</v>
      </c>
      <c r="N162" s="89"/>
      <c r="O162" s="89"/>
      <c r="P162" s="92"/>
      <c r="Q162" s="92"/>
      <c r="R162" s="92"/>
      <c r="S162" s="89"/>
      <c r="T162" s="93"/>
      <c r="U162" s="93"/>
      <c r="V162" s="93"/>
      <c r="W162" s="94"/>
      <c r="X162" s="94">
        <f>+O162^2*K162*V162*H162</f>
        <v>0</v>
      </c>
      <c r="Y162" s="95" t="e">
        <f>+X162/$X$196</f>
        <v>#REF!</v>
      </c>
    </row>
    <row r="163" spans="1:26" ht="26.25" thickTop="1">
      <c r="A163" s="61" t="s">
        <v>719</v>
      </c>
      <c r="B163" s="72" t="s">
        <v>124</v>
      </c>
      <c r="C163" s="73" t="s">
        <v>166</v>
      </c>
      <c r="D163" s="72" t="s">
        <v>513</v>
      </c>
      <c r="E163" s="72" t="s">
        <v>530</v>
      </c>
      <c r="F163" s="72" t="s">
        <v>524</v>
      </c>
      <c r="G163" s="73" t="s">
        <v>40</v>
      </c>
      <c r="H163" s="72">
        <v>4</v>
      </c>
      <c r="I163" s="72">
        <v>0</v>
      </c>
      <c r="J163" s="79" t="s">
        <v>158</v>
      </c>
      <c r="K163" s="72">
        <v>10</v>
      </c>
      <c r="L163" s="72"/>
      <c r="M163" s="72"/>
      <c r="N163" s="74">
        <f>+SCO_MAXI_SPH</f>
        <v>0.025</v>
      </c>
      <c r="O163" s="75">
        <v>0</v>
      </c>
      <c r="P163" s="75">
        <v>0</v>
      </c>
      <c r="Q163" s="75">
        <v>0</v>
      </c>
      <c r="R163" s="75">
        <v>0</v>
      </c>
      <c r="S163" s="72"/>
      <c r="T163" s="76">
        <f>+SCO_DC_SPH</f>
        <v>0.020833333333333332</v>
      </c>
      <c r="U163" s="100">
        <v>0.3333333333333333</v>
      </c>
      <c r="V163" s="76">
        <f aca="true" t="shared" si="40" ref="V163:V168">+U163*T163</f>
        <v>0.006944444444444444</v>
      </c>
      <c r="W163" s="77">
        <f aca="true" t="shared" si="41" ref="W163:W170">+N163^2*K163*H163</f>
        <v>0.025000000000000005</v>
      </c>
      <c r="X163" s="77">
        <f aca="true" t="shared" si="42" ref="X163:X189">+O163^2*K163*V163*H163</f>
        <v>0</v>
      </c>
      <c r="Y163" s="78" t="e">
        <f aca="true" t="shared" si="43" ref="Y163:Y174">+X163/$X$196</f>
        <v>#REF!</v>
      </c>
      <c r="Z163" s="54"/>
    </row>
    <row r="164" spans="1:26" ht="12.75">
      <c r="A164" s="61" t="s">
        <v>6</v>
      </c>
      <c r="B164" s="72"/>
      <c r="C164" s="73"/>
      <c r="D164" s="72"/>
      <c r="E164" s="72"/>
      <c r="F164" s="72"/>
      <c r="G164" s="73" t="s">
        <v>51</v>
      </c>
      <c r="H164" s="72">
        <v>8</v>
      </c>
      <c r="I164" s="72">
        <v>0</v>
      </c>
      <c r="J164" s="79" t="s">
        <v>158</v>
      </c>
      <c r="K164" s="72">
        <v>50</v>
      </c>
      <c r="L164" s="72"/>
      <c r="M164" s="72"/>
      <c r="N164" s="74">
        <f>+SCO_MAXI_HSH</f>
        <v>0.0015</v>
      </c>
      <c r="O164" s="75">
        <v>0</v>
      </c>
      <c r="P164" s="75">
        <v>0</v>
      </c>
      <c r="Q164" s="75">
        <v>0</v>
      </c>
      <c r="R164" s="75">
        <v>0</v>
      </c>
      <c r="S164" s="72"/>
      <c r="T164" s="76">
        <f>+SCO_DC_HSH</f>
        <v>0.020833333333333332</v>
      </c>
      <c r="U164" s="100">
        <v>0.3333333333333333</v>
      </c>
      <c r="V164" s="76">
        <f t="shared" si="40"/>
        <v>0.006944444444444444</v>
      </c>
      <c r="W164" s="77">
        <f t="shared" si="41"/>
        <v>0.0009</v>
      </c>
      <c r="X164" s="77">
        <f t="shared" si="42"/>
        <v>0</v>
      </c>
      <c r="Y164" s="78" t="e">
        <f t="shared" si="43"/>
        <v>#REF!</v>
      </c>
      <c r="Z164" s="54"/>
    </row>
    <row r="165" spans="1:26" ht="12.75">
      <c r="A165" s="61"/>
      <c r="B165" s="72"/>
      <c r="C165" s="73"/>
      <c r="D165" s="72"/>
      <c r="E165" s="72"/>
      <c r="F165" s="72"/>
      <c r="G165" s="73" t="s">
        <v>53</v>
      </c>
      <c r="H165" s="72">
        <v>4</v>
      </c>
      <c r="I165" s="72">
        <v>1</v>
      </c>
      <c r="J165" s="79" t="s">
        <v>155</v>
      </c>
      <c r="K165" s="72">
        <v>100</v>
      </c>
      <c r="L165" s="72"/>
      <c r="M165" s="72"/>
      <c r="N165" s="74">
        <f>+TC_MAXI</f>
        <v>0.002</v>
      </c>
      <c r="O165" s="75">
        <v>0</v>
      </c>
      <c r="P165" s="75">
        <v>0</v>
      </c>
      <c r="Q165" s="75">
        <v>0</v>
      </c>
      <c r="R165" s="75">
        <v>0</v>
      </c>
      <c r="S165" s="72"/>
      <c r="T165" s="76">
        <v>0.5</v>
      </c>
      <c r="U165" s="101">
        <v>0.333</v>
      </c>
      <c r="V165" s="76">
        <f t="shared" si="40"/>
        <v>0.1665</v>
      </c>
      <c r="W165" s="77">
        <f t="shared" si="41"/>
        <v>0.0015999999999999999</v>
      </c>
      <c r="X165" s="77">
        <f t="shared" si="42"/>
        <v>0</v>
      </c>
      <c r="Y165" s="78" t="e">
        <f t="shared" si="43"/>
        <v>#REF!</v>
      </c>
      <c r="Z165" s="54"/>
    </row>
    <row r="166" spans="1:26" ht="12.75">
      <c r="A166" s="61"/>
      <c r="B166" s="72"/>
      <c r="C166" s="73"/>
      <c r="D166" s="72"/>
      <c r="E166" s="72"/>
      <c r="F166" s="72"/>
      <c r="G166" s="73" t="s">
        <v>140</v>
      </c>
      <c r="H166" s="72">
        <v>4</v>
      </c>
      <c r="I166" s="72">
        <v>0</v>
      </c>
      <c r="J166" s="79" t="s">
        <v>158</v>
      </c>
      <c r="K166" s="72">
        <v>30</v>
      </c>
      <c r="L166" s="72"/>
      <c r="M166" s="72"/>
      <c r="N166" s="74">
        <f>+SCAL_MAXI_4</f>
        <v>0.009</v>
      </c>
      <c r="O166" s="75">
        <v>0</v>
      </c>
      <c r="P166" s="75">
        <v>0</v>
      </c>
      <c r="Q166" s="75">
        <v>0</v>
      </c>
      <c r="R166" s="75">
        <v>0</v>
      </c>
      <c r="S166" s="72"/>
      <c r="T166" s="76">
        <v>0.5</v>
      </c>
      <c r="U166" s="101">
        <v>0.333</v>
      </c>
      <c r="V166" s="76">
        <f t="shared" si="40"/>
        <v>0.1665</v>
      </c>
      <c r="W166" s="77">
        <f t="shared" si="41"/>
        <v>0.00972</v>
      </c>
      <c r="X166" s="77">
        <f t="shared" si="42"/>
        <v>0</v>
      </c>
      <c r="Y166" s="78" t="e">
        <f t="shared" si="43"/>
        <v>#REF!</v>
      </c>
      <c r="Z166" s="54"/>
    </row>
    <row r="167" spans="1:26" ht="12.75">
      <c r="A167" s="61"/>
      <c r="B167" s="65"/>
      <c r="C167" s="66"/>
      <c r="D167" s="72"/>
      <c r="E167" s="72"/>
      <c r="F167" s="72"/>
      <c r="G167" s="73" t="s">
        <v>141</v>
      </c>
      <c r="H167" s="72">
        <v>4</v>
      </c>
      <c r="I167" s="72">
        <v>0</v>
      </c>
      <c r="J167" s="79" t="s">
        <v>158</v>
      </c>
      <c r="K167" s="72">
        <v>30</v>
      </c>
      <c r="L167" s="72"/>
      <c r="M167" s="72"/>
      <c r="N167" s="74">
        <f>+SCAL_MAXI_2</f>
        <v>0.007</v>
      </c>
      <c r="O167" s="75">
        <v>0</v>
      </c>
      <c r="P167" s="75">
        <v>0</v>
      </c>
      <c r="Q167" s="75">
        <v>0</v>
      </c>
      <c r="R167" s="75">
        <v>0</v>
      </c>
      <c r="S167" s="72"/>
      <c r="T167" s="76">
        <v>0.5</v>
      </c>
      <c r="U167" s="101">
        <v>0.333</v>
      </c>
      <c r="V167" s="76">
        <f t="shared" si="40"/>
        <v>0.1665</v>
      </c>
      <c r="W167" s="77">
        <f t="shared" si="41"/>
        <v>0.005880000000000001</v>
      </c>
      <c r="X167" s="77">
        <f t="shared" si="42"/>
        <v>0</v>
      </c>
      <c r="Y167" s="78" t="e">
        <f t="shared" si="43"/>
        <v>#REF!</v>
      </c>
      <c r="Z167" s="54"/>
    </row>
    <row r="168" spans="1:26" ht="12.75">
      <c r="A168" s="61"/>
      <c r="B168" s="102"/>
      <c r="C168" s="103" t="s">
        <v>253</v>
      </c>
      <c r="D168" s="102" t="s">
        <v>494</v>
      </c>
      <c r="E168" s="102" t="s">
        <v>531</v>
      </c>
      <c r="F168" s="102" t="s">
        <v>490</v>
      </c>
      <c r="G168" s="103" t="s">
        <v>159</v>
      </c>
      <c r="H168" s="102">
        <v>44</v>
      </c>
      <c r="I168" s="102">
        <v>11</v>
      </c>
      <c r="J168" s="104" t="s">
        <v>155</v>
      </c>
      <c r="K168" s="102">
        <f>+RI_CERNOX</f>
        <v>1000</v>
      </c>
      <c r="L168" s="102"/>
      <c r="M168" s="102"/>
      <c r="N168" s="105">
        <f>+I_CERNOX</f>
        <v>1E-06</v>
      </c>
      <c r="O168" s="106">
        <v>0</v>
      </c>
      <c r="P168" s="106">
        <v>0</v>
      </c>
      <c r="Q168" s="106">
        <v>0</v>
      </c>
      <c r="R168" s="106">
        <v>0</v>
      </c>
      <c r="S168" s="102"/>
      <c r="T168" s="107">
        <v>1</v>
      </c>
      <c r="U168" s="107">
        <v>0.33</v>
      </c>
      <c r="V168" s="107">
        <f t="shared" si="40"/>
        <v>0.33</v>
      </c>
      <c r="W168" s="105">
        <f t="shared" si="41"/>
        <v>4.4000000000000004E-08</v>
      </c>
      <c r="X168" s="105">
        <f t="shared" si="42"/>
        <v>0</v>
      </c>
      <c r="Y168" s="108" t="e">
        <f t="shared" si="43"/>
        <v>#REF!</v>
      </c>
      <c r="Z168" s="54"/>
    </row>
    <row r="169" spans="1:26" ht="25.5">
      <c r="A169" s="61"/>
      <c r="B169" s="65"/>
      <c r="C169" s="66"/>
      <c r="D169" s="65"/>
      <c r="E169" s="65"/>
      <c r="F169" s="65"/>
      <c r="G169" s="66" t="s">
        <v>305</v>
      </c>
      <c r="H169" s="65">
        <v>1</v>
      </c>
      <c r="I169" s="65">
        <v>0</v>
      </c>
      <c r="J169" s="86" t="s">
        <v>196</v>
      </c>
      <c r="K169" s="65">
        <f>+RI_GND</f>
        <v>50</v>
      </c>
      <c r="L169" s="65" t="str">
        <f>+CI_GND</f>
        <v>1500pF</v>
      </c>
      <c r="M169" s="65" t="str">
        <f>+LI_GND</f>
        <v>0.08uH</v>
      </c>
      <c r="N169" s="65">
        <v>0</v>
      </c>
      <c r="O169" s="67">
        <v>0</v>
      </c>
      <c r="P169" s="67">
        <v>0</v>
      </c>
      <c r="Q169" s="67">
        <v>0</v>
      </c>
      <c r="R169" s="67">
        <v>0</v>
      </c>
      <c r="S169" s="65" t="e">
        <f>+'C - FPU to CVV'!#REF!</f>
        <v>#REF!</v>
      </c>
      <c r="T169" s="69">
        <f>+DC_PHOT</f>
        <v>0.5</v>
      </c>
      <c r="U169" s="69" t="e">
        <f>+'C - FPU to CVV'!#REF!</f>
        <v>#REF!</v>
      </c>
      <c r="V169" s="69" t="e">
        <f>+'C - FPU to CVV'!#REF!</f>
        <v>#REF!</v>
      </c>
      <c r="W169" s="70">
        <f t="shared" si="41"/>
        <v>0</v>
      </c>
      <c r="X169" s="70" t="e">
        <f t="shared" si="42"/>
        <v>#REF!</v>
      </c>
      <c r="Y169" s="71" t="e">
        <f t="shared" si="43"/>
        <v>#REF!</v>
      </c>
      <c r="Z169" s="54"/>
    </row>
    <row r="170" spans="1:26" ht="12.75">
      <c r="A170" s="61"/>
      <c r="B170" s="102"/>
      <c r="C170" s="103" t="s">
        <v>254</v>
      </c>
      <c r="D170" s="102" t="s">
        <v>514</v>
      </c>
      <c r="E170" s="102" t="s">
        <v>532</v>
      </c>
      <c r="F170" s="102" t="s">
        <v>522</v>
      </c>
      <c r="G170" s="103" t="s">
        <v>160</v>
      </c>
      <c r="H170" s="102">
        <v>12</v>
      </c>
      <c r="I170" s="102">
        <v>3</v>
      </c>
      <c r="J170" s="104" t="s">
        <v>155</v>
      </c>
      <c r="K170" s="102">
        <f>+RI_CERNOX</f>
        <v>1000</v>
      </c>
      <c r="L170" s="102"/>
      <c r="M170" s="102"/>
      <c r="N170" s="105">
        <f>+I_CERNOX</f>
        <v>1E-06</v>
      </c>
      <c r="O170" s="106">
        <v>0</v>
      </c>
      <c r="P170" s="106">
        <v>0</v>
      </c>
      <c r="Q170" s="106">
        <v>0</v>
      </c>
      <c r="R170" s="106">
        <v>0</v>
      </c>
      <c r="S170" s="102"/>
      <c r="T170" s="107">
        <v>1</v>
      </c>
      <c r="U170" s="107">
        <v>0.33</v>
      </c>
      <c r="V170" s="107">
        <f>+U170*T170</f>
        <v>0.33</v>
      </c>
      <c r="W170" s="105">
        <f t="shared" si="41"/>
        <v>1.2000000000000002E-08</v>
      </c>
      <c r="X170" s="105">
        <f t="shared" si="42"/>
        <v>0</v>
      </c>
      <c r="Y170" s="108" t="e">
        <f t="shared" si="43"/>
        <v>#REF!</v>
      </c>
      <c r="Z170" s="54"/>
    </row>
    <row r="171" spans="1:25" s="134" customFormat="1" ht="13.5" thickBot="1">
      <c r="A171" s="130"/>
      <c r="B171" s="89"/>
      <c r="C171" s="90" t="s">
        <v>714</v>
      </c>
      <c r="D171" s="89"/>
      <c r="E171" s="89"/>
      <c r="F171" s="89"/>
      <c r="G171" s="90" t="s">
        <v>715</v>
      </c>
      <c r="H171" s="89"/>
      <c r="I171" s="89"/>
      <c r="J171" s="91" t="s">
        <v>716</v>
      </c>
      <c r="K171" s="89"/>
      <c r="L171" s="89"/>
      <c r="M171" s="89" t="s">
        <v>712</v>
      </c>
      <c r="N171" s="89"/>
      <c r="O171" s="89"/>
      <c r="P171" s="92"/>
      <c r="Q171" s="92"/>
      <c r="R171" s="92"/>
      <c r="S171" s="89"/>
      <c r="T171" s="93"/>
      <c r="U171" s="93"/>
      <c r="V171" s="93"/>
      <c r="W171" s="94"/>
      <c r="X171" s="94">
        <f t="shared" si="42"/>
        <v>0</v>
      </c>
      <c r="Y171" s="95" t="e">
        <f>+X171/$X$196</f>
        <v>#REF!</v>
      </c>
    </row>
    <row r="172" spans="1:26" ht="13.5" thickTop="1">
      <c r="A172" s="116" t="s">
        <v>718</v>
      </c>
      <c r="B172" s="98" t="s">
        <v>82</v>
      </c>
      <c r="C172" s="73" t="s">
        <v>255</v>
      </c>
      <c r="D172" s="72" t="s">
        <v>514</v>
      </c>
      <c r="E172" s="72" t="s">
        <v>533</v>
      </c>
      <c r="F172" s="72" t="s">
        <v>522</v>
      </c>
      <c r="G172" s="73" t="s">
        <v>162</v>
      </c>
      <c r="H172" s="72">
        <v>12</v>
      </c>
      <c r="I172" s="72">
        <v>3</v>
      </c>
      <c r="J172" s="79" t="s">
        <v>155</v>
      </c>
      <c r="K172" s="72">
        <f>+RI_CERNOX</f>
        <v>1000</v>
      </c>
      <c r="L172" s="72"/>
      <c r="M172" s="72"/>
      <c r="N172" s="77">
        <f>+I_CERNOX</f>
        <v>1E-06</v>
      </c>
      <c r="O172" s="117">
        <v>0</v>
      </c>
      <c r="P172" s="117">
        <v>0</v>
      </c>
      <c r="Q172" s="117">
        <v>0</v>
      </c>
      <c r="R172" s="117">
        <v>0</v>
      </c>
      <c r="S172" s="98"/>
      <c r="T172" s="76">
        <v>1</v>
      </c>
      <c r="U172" s="76">
        <v>0.33</v>
      </c>
      <c r="V172" s="76">
        <f>+U172*T172</f>
        <v>0.33</v>
      </c>
      <c r="W172" s="77">
        <f aca="true" t="shared" si="44" ref="W172:W191">+N172^2*K172*H172</f>
        <v>1.2000000000000002E-08</v>
      </c>
      <c r="X172" s="77">
        <f t="shared" si="42"/>
        <v>0</v>
      </c>
      <c r="Y172" s="78" t="e">
        <f t="shared" si="43"/>
        <v>#REF!</v>
      </c>
      <c r="Z172" s="54"/>
    </row>
    <row r="173" spans="1:26" ht="12.75">
      <c r="A173" s="116" t="s">
        <v>7</v>
      </c>
      <c r="B173" s="118"/>
      <c r="C173" s="103" t="s">
        <v>11</v>
      </c>
      <c r="D173" s="118" t="s">
        <v>479</v>
      </c>
      <c r="E173" s="118" t="s">
        <v>534</v>
      </c>
      <c r="F173" s="118" t="s">
        <v>478</v>
      </c>
      <c r="G173" s="119" t="s">
        <v>422</v>
      </c>
      <c r="H173" s="118">
        <v>4</v>
      </c>
      <c r="I173" s="118">
        <v>2</v>
      </c>
      <c r="J173" s="118" t="s">
        <v>261</v>
      </c>
      <c r="K173" s="118">
        <f>+RI_BSM_SNS</f>
        <v>1000</v>
      </c>
      <c r="L173" s="118"/>
      <c r="M173" s="118"/>
      <c r="N173" s="105">
        <f>+BSM_I_SNS</f>
        <v>1E-06</v>
      </c>
      <c r="O173" s="106">
        <v>0</v>
      </c>
      <c r="P173" s="106">
        <v>0</v>
      </c>
      <c r="Q173" s="106">
        <v>0</v>
      </c>
      <c r="R173" s="106">
        <v>0</v>
      </c>
      <c r="S173" s="118">
        <v>0.4</v>
      </c>
      <c r="T173" s="120">
        <v>1</v>
      </c>
      <c r="U173" s="120">
        <v>0.33</v>
      </c>
      <c r="V173" s="120">
        <f>+U173*T173</f>
        <v>0.33</v>
      </c>
      <c r="W173" s="105">
        <f t="shared" si="44"/>
        <v>4E-09</v>
      </c>
      <c r="X173" s="105">
        <f t="shared" si="42"/>
        <v>0</v>
      </c>
      <c r="Y173" s="108" t="e">
        <f t="shared" si="43"/>
        <v>#REF!</v>
      </c>
      <c r="Z173" s="54"/>
    </row>
    <row r="174" spans="1:26" ht="12.75">
      <c r="A174" s="116"/>
      <c r="B174" s="98"/>
      <c r="C174" s="73"/>
      <c r="D174" s="98"/>
      <c r="E174" s="98"/>
      <c r="F174" s="98"/>
      <c r="G174" s="121" t="s">
        <v>422</v>
      </c>
      <c r="H174" s="98">
        <v>6</v>
      </c>
      <c r="I174" s="98">
        <v>2</v>
      </c>
      <c r="J174" s="98" t="s">
        <v>163</v>
      </c>
      <c r="K174" s="98">
        <f>+RI_BSM_SNS</f>
        <v>1000</v>
      </c>
      <c r="L174" s="98"/>
      <c r="M174" s="98"/>
      <c r="N174" s="77">
        <f>+BSM_I_SNS</f>
        <v>1E-06</v>
      </c>
      <c r="O174" s="117">
        <v>0</v>
      </c>
      <c r="P174" s="117">
        <v>0</v>
      </c>
      <c r="Q174" s="117">
        <v>0</v>
      </c>
      <c r="R174" s="117">
        <v>0</v>
      </c>
      <c r="S174" s="98"/>
      <c r="T174" s="99">
        <v>1</v>
      </c>
      <c r="U174" s="99">
        <v>0.33</v>
      </c>
      <c r="V174" s="99">
        <f>+U174*T174</f>
        <v>0.33</v>
      </c>
      <c r="W174" s="77">
        <f t="shared" si="44"/>
        <v>6.000000000000001E-09</v>
      </c>
      <c r="X174" s="77">
        <f t="shared" si="42"/>
        <v>0</v>
      </c>
      <c r="Y174" s="78" t="e">
        <f t="shared" si="43"/>
        <v>#REF!</v>
      </c>
      <c r="Z174" s="54"/>
    </row>
    <row r="175" spans="1:26" ht="12.75">
      <c r="A175" s="116"/>
      <c r="B175" s="98"/>
      <c r="C175" s="121"/>
      <c r="D175" s="98"/>
      <c r="E175" s="98"/>
      <c r="F175" s="98"/>
      <c r="G175" s="121" t="s">
        <v>245</v>
      </c>
      <c r="H175" s="98">
        <v>2</v>
      </c>
      <c r="I175" s="98">
        <v>1</v>
      </c>
      <c r="J175" s="98" t="s">
        <v>261</v>
      </c>
      <c r="K175" s="98">
        <f>+RI_BSM_LL_CNF</f>
        <v>1000</v>
      </c>
      <c r="L175" s="98"/>
      <c r="M175" s="98"/>
      <c r="N175" s="98">
        <f>+BSM_I_LLS</f>
        <v>0.001</v>
      </c>
      <c r="O175" s="117">
        <v>0</v>
      </c>
      <c r="P175" s="98">
        <v>0</v>
      </c>
      <c r="Q175" s="98">
        <v>0</v>
      </c>
      <c r="R175" s="98">
        <v>0</v>
      </c>
      <c r="S175" s="98"/>
      <c r="T175" s="99">
        <v>0</v>
      </c>
      <c r="U175" s="99">
        <v>0</v>
      </c>
      <c r="V175" s="99">
        <f aca="true" t="shared" si="45" ref="V175:V185">+U175*T175</f>
        <v>0</v>
      </c>
      <c r="W175" s="77">
        <f t="shared" si="44"/>
        <v>0.002</v>
      </c>
      <c r="X175" s="77">
        <f t="shared" si="42"/>
        <v>0</v>
      </c>
      <c r="Y175" s="78" t="e">
        <f aca="true" t="shared" si="46" ref="Y175:Y193">+X175/$X$196</f>
        <v>#REF!</v>
      </c>
      <c r="Z175" s="54"/>
    </row>
    <row r="176" spans="1:26" s="48" customFormat="1" ht="12.75">
      <c r="A176" s="59"/>
      <c r="B176" s="98"/>
      <c r="C176" s="121"/>
      <c r="D176" s="98"/>
      <c r="E176" s="98"/>
      <c r="F176" s="98"/>
      <c r="G176" s="121" t="s">
        <v>246</v>
      </c>
      <c r="H176" s="98">
        <v>2</v>
      </c>
      <c r="I176" s="98">
        <v>1</v>
      </c>
      <c r="J176" s="98" t="s">
        <v>261</v>
      </c>
      <c r="K176" s="98">
        <f>+RI_BSM_LL_DRV</f>
        <v>10</v>
      </c>
      <c r="L176" s="98"/>
      <c r="M176" s="98"/>
      <c r="N176" s="98">
        <f>+BSM_I_LLD</f>
        <v>0.035</v>
      </c>
      <c r="O176" s="117">
        <v>0</v>
      </c>
      <c r="P176" s="98">
        <v>0</v>
      </c>
      <c r="Q176" s="98">
        <v>0</v>
      </c>
      <c r="R176" s="98">
        <v>0</v>
      </c>
      <c r="S176" s="98"/>
      <c r="T176" s="99">
        <v>0</v>
      </c>
      <c r="U176" s="99">
        <v>0</v>
      </c>
      <c r="V176" s="99">
        <f t="shared" si="45"/>
        <v>0</v>
      </c>
      <c r="W176" s="77">
        <f t="shared" si="44"/>
        <v>0.024500000000000004</v>
      </c>
      <c r="X176" s="77">
        <f t="shared" si="42"/>
        <v>0</v>
      </c>
      <c r="Y176" s="78" t="e">
        <f t="shared" si="46"/>
        <v>#REF!</v>
      </c>
      <c r="Z176" s="50"/>
    </row>
    <row r="177" spans="1:26" s="48" customFormat="1" ht="12.75">
      <c r="A177" s="116"/>
      <c r="B177" s="98"/>
      <c r="C177" s="121"/>
      <c r="D177" s="98"/>
      <c r="E177" s="98"/>
      <c r="F177" s="98"/>
      <c r="G177" s="121" t="s">
        <v>247</v>
      </c>
      <c r="H177" s="98">
        <v>4</v>
      </c>
      <c r="I177" s="98">
        <v>1</v>
      </c>
      <c r="J177" s="98" t="s">
        <v>155</v>
      </c>
      <c r="K177" s="98">
        <f>+RI_BSM_DRV</f>
        <v>10</v>
      </c>
      <c r="L177" s="98"/>
      <c r="M177" s="98"/>
      <c r="N177" s="98">
        <f>+BSM_MAXI_DRV</f>
        <v>0.04</v>
      </c>
      <c r="O177" s="117">
        <v>0</v>
      </c>
      <c r="P177" s="98">
        <v>0</v>
      </c>
      <c r="Q177" s="98">
        <v>0</v>
      </c>
      <c r="R177" s="98">
        <v>0</v>
      </c>
      <c r="S177" s="98"/>
      <c r="T177" s="99">
        <v>0.5</v>
      </c>
      <c r="U177" s="99">
        <v>0.33</v>
      </c>
      <c r="V177" s="99">
        <f t="shared" si="45"/>
        <v>0.165</v>
      </c>
      <c r="W177" s="77">
        <f t="shared" si="44"/>
        <v>0.064</v>
      </c>
      <c r="X177" s="77">
        <f t="shared" si="42"/>
        <v>0</v>
      </c>
      <c r="Y177" s="78" t="e">
        <f t="shared" si="46"/>
        <v>#REF!</v>
      </c>
      <c r="Z177" s="50"/>
    </row>
    <row r="178" spans="1:26" s="48" customFormat="1" ht="12.75">
      <c r="A178" s="116"/>
      <c r="B178" s="122"/>
      <c r="C178" s="123"/>
      <c r="D178" s="122"/>
      <c r="E178" s="122"/>
      <c r="F178" s="122"/>
      <c r="G178" s="123" t="s">
        <v>248</v>
      </c>
      <c r="H178" s="122">
        <v>4</v>
      </c>
      <c r="I178" s="122">
        <v>1</v>
      </c>
      <c r="J178" s="122" t="s">
        <v>155</v>
      </c>
      <c r="K178" s="122">
        <f>+RI_BSM_DRV</f>
        <v>10</v>
      </c>
      <c r="L178" s="122"/>
      <c r="M178" s="122"/>
      <c r="N178" s="122">
        <f>+BSM_MAXI_DRV</f>
        <v>0.04</v>
      </c>
      <c r="O178" s="124">
        <v>0</v>
      </c>
      <c r="P178" s="122">
        <v>0</v>
      </c>
      <c r="Q178" s="122">
        <v>0</v>
      </c>
      <c r="R178" s="122">
        <v>0</v>
      </c>
      <c r="S178" s="122"/>
      <c r="T178" s="68">
        <v>0.5</v>
      </c>
      <c r="U178" s="68">
        <v>0.33</v>
      </c>
      <c r="V178" s="68">
        <f t="shared" si="45"/>
        <v>0.165</v>
      </c>
      <c r="W178" s="70">
        <f t="shared" si="44"/>
        <v>0.064</v>
      </c>
      <c r="X178" s="70">
        <f t="shared" si="42"/>
        <v>0</v>
      </c>
      <c r="Y178" s="71" t="e">
        <f t="shared" si="46"/>
        <v>#REF!</v>
      </c>
      <c r="Z178" s="50"/>
    </row>
    <row r="179" spans="1:26" s="48" customFormat="1" ht="12.75">
      <c r="A179" s="116"/>
      <c r="B179" s="98"/>
      <c r="C179" s="121" t="s">
        <v>12</v>
      </c>
      <c r="D179" s="98" t="s">
        <v>478</v>
      </c>
      <c r="E179" s="98" t="s">
        <v>535</v>
      </c>
      <c r="F179" s="98" t="s">
        <v>479</v>
      </c>
      <c r="G179" s="121" t="s">
        <v>65</v>
      </c>
      <c r="H179" s="98">
        <v>2</v>
      </c>
      <c r="I179" s="98">
        <v>1</v>
      </c>
      <c r="J179" s="98" t="s">
        <v>261</v>
      </c>
      <c r="K179" s="98">
        <f>+RI_FTS_LVDT_S</f>
        <v>5</v>
      </c>
      <c r="L179" s="98"/>
      <c r="M179" s="98"/>
      <c r="N179" s="98">
        <f>+FTS_MAXI_LVDTP</f>
        <v>0.005</v>
      </c>
      <c r="O179" s="98">
        <v>0</v>
      </c>
      <c r="P179" s="98">
        <v>0</v>
      </c>
      <c r="Q179" s="98">
        <v>0</v>
      </c>
      <c r="R179" s="98">
        <v>0</v>
      </c>
      <c r="S179" s="98">
        <v>0</v>
      </c>
      <c r="T179" s="99">
        <v>0.5</v>
      </c>
      <c r="U179" s="99">
        <v>0.33</v>
      </c>
      <c r="V179" s="99">
        <f t="shared" si="45"/>
        <v>0.165</v>
      </c>
      <c r="W179" s="77">
        <f t="shared" si="44"/>
        <v>0.00025</v>
      </c>
      <c r="X179" s="77">
        <f t="shared" si="42"/>
        <v>0</v>
      </c>
      <c r="Y179" s="78" t="e">
        <f t="shared" si="46"/>
        <v>#REF!</v>
      </c>
      <c r="Z179" s="50"/>
    </row>
    <row r="180" spans="1:26" s="48" customFormat="1" ht="12.75">
      <c r="A180" s="116"/>
      <c r="B180" s="98"/>
      <c r="C180" s="121"/>
      <c r="D180" s="98"/>
      <c r="E180" s="98"/>
      <c r="F180" s="98"/>
      <c r="G180" s="121" t="s">
        <v>66</v>
      </c>
      <c r="H180" s="98">
        <v>4</v>
      </c>
      <c r="I180" s="98">
        <v>2</v>
      </c>
      <c r="J180" s="98" t="s">
        <v>261</v>
      </c>
      <c r="K180" s="98">
        <f>+RI_FTS_LVDT_S</f>
        <v>5</v>
      </c>
      <c r="L180" s="98"/>
      <c r="M180" s="98"/>
      <c r="N180" s="98">
        <f>+FTS_AVGI_LVDTS</f>
        <v>5E-05</v>
      </c>
      <c r="O180" s="98">
        <v>0</v>
      </c>
      <c r="P180" s="98">
        <v>0</v>
      </c>
      <c r="Q180" s="98">
        <v>0</v>
      </c>
      <c r="R180" s="98">
        <v>0</v>
      </c>
      <c r="S180" s="98">
        <v>0</v>
      </c>
      <c r="T180" s="99">
        <v>0.5</v>
      </c>
      <c r="U180" s="99">
        <v>0.33</v>
      </c>
      <c r="V180" s="99">
        <f t="shared" si="45"/>
        <v>0.165</v>
      </c>
      <c r="W180" s="77">
        <f t="shared" si="44"/>
        <v>5E-08</v>
      </c>
      <c r="X180" s="77">
        <f t="shared" si="42"/>
        <v>0</v>
      </c>
      <c r="Y180" s="78" t="e">
        <f t="shared" si="46"/>
        <v>#REF!</v>
      </c>
      <c r="Z180" s="50"/>
    </row>
    <row r="181" spans="1:26" s="48" customFormat="1" ht="12.75">
      <c r="A181" s="116"/>
      <c r="B181" s="98"/>
      <c r="C181" s="98"/>
      <c r="D181" s="121"/>
      <c r="E181" s="121"/>
      <c r="F181" s="121"/>
      <c r="G181" s="121" t="s">
        <v>61</v>
      </c>
      <c r="H181" s="98">
        <v>4</v>
      </c>
      <c r="I181" s="98">
        <v>2</v>
      </c>
      <c r="J181" s="98" t="s">
        <v>261</v>
      </c>
      <c r="K181" s="98">
        <f>+RI_FTS_LLP</f>
        <v>5</v>
      </c>
      <c r="L181" s="98"/>
      <c r="M181" s="98"/>
      <c r="N181" s="98">
        <f>+FT_MAXI_LLP</f>
        <v>0.4</v>
      </c>
      <c r="O181" s="98">
        <v>0</v>
      </c>
      <c r="P181" s="98">
        <v>0</v>
      </c>
      <c r="Q181" s="98">
        <v>0</v>
      </c>
      <c r="R181" s="98">
        <v>0</v>
      </c>
      <c r="S181" s="98">
        <v>0</v>
      </c>
      <c r="T181" s="99">
        <v>0</v>
      </c>
      <c r="U181" s="99">
        <v>0</v>
      </c>
      <c r="V181" s="99">
        <f t="shared" si="45"/>
        <v>0</v>
      </c>
      <c r="W181" s="77">
        <f t="shared" si="44"/>
        <v>3.2000000000000006</v>
      </c>
      <c r="X181" s="77">
        <f t="shared" si="42"/>
        <v>0</v>
      </c>
      <c r="Y181" s="78" t="e">
        <f t="shared" si="46"/>
        <v>#REF!</v>
      </c>
      <c r="Z181" s="50"/>
    </row>
    <row r="182" spans="1:26" s="48" customFormat="1" ht="12.75">
      <c r="A182" s="116"/>
      <c r="B182" s="98"/>
      <c r="C182" s="121"/>
      <c r="D182" s="98"/>
      <c r="E182" s="98"/>
      <c r="F182" s="98"/>
      <c r="G182" s="121" t="s">
        <v>62</v>
      </c>
      <c r="H182" s="98">
        <v>2</v>
      </c>
      <c r="I182" s="98">
        <v>1</v>
      </c>
      <c r="J182" s="98" t="s">
        <v>261</v>
      </c>
      <c r="K182" s="98">
        <f>+RI_FTS_LLS</f>
        <v>5</v>
      </c>
      <c r="L182" s="98"/>
      <c r="M182" s="98"/>
      <c r="N182" s="98">
        <f>+FTS_MAXI_LLS</f>
        <v>0.001</v>
      </c>
      <c r="O182" s="98">
        <v>0</v>
      </c>
      <c r="P182" s="98">
        <v>0</v>
      </c>
      <c r="Q182" s="98">
        <v>0</v>
      </c>
      <c r="R182" s="98">
        <v>0</v>
      </c>
      <c r="S182" s="98">
        <v>0</v>
      </c>
      <c r="T182" s="99">
        <v>0</v>
      </c>
      <c r="U182" s="99">
        <v>0</v>
      </c>
      <c r="V182" s="99">
        <f t="shared" si="45"/>
        <v>0</v>
      </c>
      <c r="W182" s="77">
        <f t="shared" si="44"/>
        <v>9.999999999999999E-06</v>
      </c>
      <c r="X182" s="77">
        <f t="shared" si="42"/>
        <v>0</v>
      </c>
      <c r="Y182" s="78" t="e">
        <f t="shared" si="46"/>
        <v>#REF!</v>
      </c>
      <c r="Z182" s="50"/>
    </row>
    <row r="183" spans="1:26" s="48" customFormat="1" ht="12.75">
      <c r="A183" s="116"/>
      <c r="B183" s="98"/>
      <c r="C183" s="121"/>
      <c r="D183" s="98"/>
      <c r="E183" s="98"/>
      <c r="F183" s="98"/>
      <c r="G183" s="121" t="s">
        <v>63</v>
      </c>
      <c r="H183" s="98">
        <v>4</v>
      </c>
      <c r="I183" s="98">
        <v>2</v>
      </c>
      <c r="J183" s="98" t="s">
        <v>261</v>
      </c>
      <c r="K183" s="98">
        <f>+RI_FTS_LLP</f>
        <v>5</v>
      </c>
      <c r="L183" s="98"/>
      <c r="M183" s="98"/>
      <c r="N183" s="98">
        <f>+FT_MAXI_LLP</f>
        <v>0.4</v>
      </c>
      <c r="O183" s="98">
        <v>0</v>
      </c>
      <c r="P183" s="98">
        <v>0</v>
      </c>
      <c r="Q183" s="98">
        <v>0</v>
      </c>
      <c r="R183" s="98">
        <v>0</v>
      </c>
      <c r="S183" s="98">
        <v>0</v>
      </c>
      <c r="T183" s="99">
        <v>0</v>
      </c>
      <c r="U183" s="99">
        <v>0</v>
      </c>
      <c r="V183" s="99">
        <f t="shared" si="45"/>
        <v>0</v>
      </c>
      <c r="W183" s="77">
        <f t="shared" si="44"/>
        <v>3.2000000000000006</v>
      </c>
      <c r="X183" s="77">
        <f t="shared" si="42"/>
        <v>0</v>
      </c>
      <c r="Y183" s="78" t="e">
        <f t="shared" si="46"/>
        <v>#REF!</v>
      </c>
      <c r="Z183" s="50"/>
    </row>
    <row r="184" spans="1:26" s="48" customFormat="1" ht="12.75">
      <c r="A184" s="116"/>
      <c r="B184" s="122"/>
      <c r="C184" s="123"/>
      <c r="D184" s="122"/>
      <c r="E184" s="122"/>
      <c r="F184" s="122"/>
      <c r="G184" s="123" t="s">
        <v>64</v>
      </c>
      <c r="H184" s="122">
        <v>2</v>
      </c>
      <c r="I184" s="122">
        <v>1</v>
      </c>
      <c r="J184" s="122" t="s">
        <v>261</v>
      </c>
      <c r="K184" s="122">
        <f>+RI_FTS_LLS</f>
        <v>5</v>
      </c>
      <c r="L184" s="122"/>
      <c r="M184" s="122"/>
      <c r="N184" s="122">
        <f>+FTS_MAXI_LLS</f>
        <v>0.001</v>
      </c>
      <c r="O184" s="122">
        <v>0</v>
      </c>
      <c r="P184" s="122">
        <v>0</v>
      </c>
      <c r="Q184" s="122">
        <v>0</v>
      </c>
      <c r="R184" s="122">
        <v>0</v>
      </c>
      <c r="S184" s="122">
        <v>0</v>
      </c>
      <c r="T184" s="68">
        <v>0</v>
      </c>
      <c r="U184" s="68">
        <v>0</v>
      </c>
      <c r="V184" s="68">
        <f t="shared" si="45"/>
        <v>0</v>
      </c>
      <c r="W184" s="70">
        <f t="shared" si="44"/>
        <v>9.999999999999999E-06</v>
      </c>
      <c r="X184" s="70">
        <f t="shared" si="42"/>
        <v>0</v>
      </c>
      <c r="Y184" s="71" t="e">
        <f t="shared" si="46"/>
        <v>#REF!</v>
      </c>
      <c r="Z184" s="50"/>
    </row>
    <row r="185" spans="1:26" s="48" customFormat="1" ht="12.75">
      <c r="A185" s="116"/>
      <c r="B185" s="98"/>
      <c r="C185" s="73" t="s">
        <v>13</v>
      </c>
      <c r="D185" s="98" t="s">
        <v>479</v>
      </c>
      <c r="E185" s="98" t="s">
        <v>536</v>
      </c>
      <c r="F185" s="98" t="s">
        <v>478</v>
      </c>
      <c r="G185" s="121" t="s">
        <v>164</v>
      </c>
      <c r="H185" s="98">
        <v>2</v>
      </c>
      <c r="I185" s="98">
        <v>1</v>
      </c>
      <c r="J185" s="98" t="s">
        <v>261</v>
      </c>
      <c r="K185" s="98">
        <f>+RI_FTS_DRV</f>
        <v>5</v>
      </c>
      <c r="L185" s="98"/>
      <c r="M185" s="98"/>
      <c r="N185" s="98">
        <f>+FTS_I_DRVM</f>
        <v>0.1</v>
      </c>
      <c r="O185" s="98">
        <v>0</v>
      </c>
      <c r="P185" s="98">
        <v>0</v>
      </c>
      <c r="Q185" s="98">
        <v>0</v>
      </c>
      <c r="R185" s="98">
        <v>0</v>
      </c>
      <c r="S185" s="98">
        <v>0</v>
      </c>
      <c r="T185" s="99">
        <v>0.5</v>
      </c>
      <c r="U185" s="99">
        <v>0.33</v>
      </c>
      <c r="V185" s="99">
        <f t="shared" si="45"/>
        <v>0.165</v>
      </c>
      <c r="W185" s="77">
        <f t="shared" si="44"/>
        <v>0.10000000000000002</v>
      </c>
      <c r="X185" s="77">
        <f t="shared" si="42"/>
        <v>0</v>
      </c>
      <c r="Y185" s="78" t="e">
        <f t="shared" si="46"/>
        <v>#REF!</v>
      </c>
      <c r="Z185" s="50"/>
    </row>
    <row r="186" spans="1:26" s="48" customFormat="1" ht="12.75">
      <c r="A186" s="116"/>
      <c r="B186" s="98"/>
      <c r="C186" s="73"/>
      <c r="D186" s="98"/>
      <c r="E186" s="98"/>
      <c r="F186" s="98"/>
      <c r="G186" s="121" t="s">
        <v>679</v>
      </c>
      <c r="H186" s="98">
        <v>2</v>
      </c>
      <c r="I186" s="98">
        <v>1</v>
      </c>
      <c r="J186" s="98" t="s">
        <v>261</v>
      </c>
      <c r="K186" s="98">
        <f>+RI_FTS_DRV</f>
        <v>5</v>
      </c>
      <c r="L186" s="98"/>
      <c r="M186" s="98"/>
      <c r="N186" s="98">
        <f>+FTS_I_DRVM</f>
        <v>0.1</v>
      </c>
      <c r="O186" s="98">
        <v>0</v>
      </c>
      <c r="P186" s="98">
        <v>0</v>
      </c>
      <c r="Q186" s="98">
        <v>0</v>
      </c>
      <c r="R186" s="98">
        <v>0</v>
      </c>
      <c r="S186" s="98">
        <v>0</v>
      </c>
      <c r="T186" s="99">
        <v>0.5</v>
      </c>
      <c r="U186" s="99">
        <v>0.33</v>
      </c>
      <c r="V186" s="99">
        <f>+U186*T186</f>
        <v>0.165</v>
      </c>
      <c r="W186" s="77">
        <f t="shared" si="44"/>
        <v>0.10000000000000002</v>
      </c>
      <c r="X186" s="77">
        <f t="shared" si="42"/>
        <v>0</v>
      </c>
      <c r="Y186" s="78" t="e">
        <f t="shared" si="46"/>
        <v>#REF!</v>
      </c>
      <c r="Z186" s="50"/>
    </row>
    <row r="187" spans="1:26" s="48" customFormat="1" ht="12.75">
      <c r="A187" s="116"/>
      <c r="B187" s="98"/>
      <c r="C187" s="121"/>
      <c r="D187" s="98"/>
      <c r="E187" s="98"/>
      <c r="F187" s="98"/>
      <c r="G187" s="121" t="s">
        <v>249</v>
      </c>
      <c r="H187" s="98">
        <v>2</v>
      </c>
      <c r="I187" s="98">
        <v>1</v>
      </c>
      <c r="J187" s="98" t="s">
        <v>261</v>
      </c>
      <c r="K187" s="98">
        <f>+RI_FTS_DRV_SNS</f>
        <v>500</v>
      </c>
      <c r="L187" s="98"/>
      <c r="M187" s="98"/>
      <c r="N187" s="98">
        <f>+FTS_I_DRV_SNS</f>
        <v>1E-05</v>
      </c>
      <c r="O187" s="98">
        <v>0</v>
      </c>
      <c r="P187" s="98">
        <v>0</v>
      </c>
      <c r="Q187" s="98">
        <v>0</v>
      </c>
      <c r="R187" s="98">
        <v>0</v>
      </c>
      <c r="S187" s="98"/>
      <c r="T187" s="99">
        <v>0</v>
      </c>
      <c r="U187" s="99">
        <v>0.33</v>
      </c>
      <c r="V187" s="99">
        <f>+U187*T187</f>
        <v>0</v>
      </c>
      <c r="W187" s="77">
        <f t="shared" si="44"/>
        <v>1.0000000000000002E-07</v>
      </c>
      <c r="X187" s="77">
        <f t="shared" si="42"/>
        <v>0</v>
      </c>
      <c r="Y187" s="78" t="e">
        <f t="shared" si="46"/>
        <v>#REF!</v>
      </c>
      <c r="Z187" s="50"/>
    </row>
    <row r="188" spans="1:26" s="48" customFormat="1" ht="12.75">
      <c r="A188" s="116"/>
      <c r="B188" s="98"/>
      <c r="C188" s="121"/>
      <c r="D188" s="98"/>
      <c r="E188" s="98"/>
      <c r="F188" s="98"/>
      <c r="G188" s="121" t="s">
        <v>67</v>
      </c>
      <c r="H188" s="98">
        <v>4</v>
      </c>
      <c r="I188" s="98">
        <v>2</v>
      </c>
      <c r="J188" s="98" t="s">
        <v>261</v>
      </c>
      <c r="K188" s="98">
        <f>+RI_FTS_PS_PWR</f>
        <v>100</v>
      </c>
      <c r="L188" s="98"/>
      <c r="M188" s="98"/>
      <c r="N188" s="98">
        <f>+FTS_PSP_I</f>
        <v>0.001</v>
      </c>
      <c r="O188" s="98">
        <v>0</v>
      </c>
      <c r="P188" s="98">
        <v>0</v>
      </c>
      <c r="Q188" s="98">
        <v>0</v>
      </c>
      <c r="R188" s="98">
        <v>0</v>
      </c>
      <c r="S188" s="98"/>
      <c r="T188" s="99">
        <v>0.5</v>
      </c>
      <c r="U188" s="99">
        <v>0.33</v>
      </c>
      <c r="V188" s="99">
        <f>+U188*T188</f>
        <v>0.165</v>
      </c>
      <c r="W188" s="77">
        <f t="shared" si="44"/>
        <v>0.00039999999999999996</v>
      </c>
      <c r="X188" s="77">
        <f t="shared" si="42"/>
        <v>0</v>
      </c>
      <c r="Y188" s="78" t="e">
        <f t="shared" si="46"/>
        <v>#REF!</v>
      </c>
      <c r="Z188" s="50"/>
    </row>
    <row r="189" spans="1:26" s="48" customFormat="1" ht="12.75">
      <c r="A189" s="116"/>
      <c r="B189" s="98"/>
      <c r="C189" s="121"/>
      <c r="D189" s="98"/>
      <c r="E189" s="98"/>
      <c r="F189" s="98"/>
      <c r="G189" s="121" t="s">
        <v>240</v>
      </c>
      <c r="H189" s="98">
        <v>6</v>
      </c>
      <c r="I189" s="98">
        <v>3</v>
      </c>
      <c r="J189" s="98" t="s">
        <v>261</v>
      </c>
      <c r="K189" s="98">
        <f>+RI_FTS_PS_PHOT</f>
        <v>1000</v>
      </c>
      <c r="L189" s="98"/>
      <c r="M189" s="98"/>
      <c r="N189" s="98">
        <f>+FTS_PS_PHOT_I</f>
        <v>2E-05</v>
      </c>
      <c r="O189" s="98">
        <v>0</v>
      </c>
      <c r="P189" s="98">
        <v>0</v>
      </c>
      <c r="Q189" s="98">
        <v>0</v>
      </c>
      <c r="R189" s="98">
        <v>0</v>
      </c>
      <c r="S189" s="98"/>
      <c r="T189" s="99">
        <v>0.5</v>
      </c>
      <c r="U189" s="99">
        <v>0.33</v>
      </c>
      <c r="V189" s="99">
        <f>+U189*T189</f>
        <v>0.165</v>
      </c>
      <c r="W189" s="77">
        <f t="shared" si="44"/>
        <v>2.4000000000000007E-06</v>
      </c>
      <c r="X189" s="77">
        <f t="shared" si="42"/>
        <v>0</v>
      </c>
      <c r="Y189" s="78" t="e">
        <f t="shared" si="46"/>
        <v>#REF!</v>
      </c>
      <c r="Z189" s="50"/>
    </row>
    <row r="190" spans="1:26" s="48" customFormat="1" ht="12.75">
      <c r="A190" s="116"/>
      <c r="B190" s="98"/>
      <c r="C190" s="121"/>
      <c r="D190" s="98"/>
      <c r="E190" s="98"/>
      <c r="F190" s="98"/>
      <c r="G190" s="121" t="s">
        <v>241</v>
      </c>
      <c r="H190" s="98">
        <v>6</v>
      </c>
      <c r="I190" s="98">
        <v>3</v>
      </c>
      <c r="J190" s="98" t="s">
        <v>261</v>
      </c>
      <c r="K190" s="98">
        <f>+RI_FTS_PS_FB</f>
        <v>1000</v>
      </c>
      <c r="L190" s="98"/>
      <c r="M190" s="98"/>
      <c r="N190" s="98">
        <f>+FTS_PS_FB_I</f>
        <v>1E-05</v>
      </c>
      <c r="O190" s="98">
        <v>0</v>
      </c>
      <c r="P190" s="98">
        <v>0</v>
      </c>
      <c r="Q190" s="98">
        <v>0</v>
      </c>
      <c r="R190" s="98">
        <v>0</v>
      </c>
      <c r="S190" s="98"/>
      <c r="T190" s="99">
        <v>0.5</v>
      </c>
      <c r="U190" s="99">
        <v>0.33</v>
      </c>
      <c r="V190" s="99">
        <f>+U190*T190</f>
        <v>0.165</v>
      </c>
      <c r="W190" s="77">
        <f t="shared" si="44"/>
        <v>6.000000000000002E-07</v>
      </c>
      <c r="X190" s="77"/>
      <c r="Y190" s="78" t="e">
        <f t="shared" si="46"/>
        <v>#REF!</v>
      </c>
      <c r="Z190" s="50"/>
    </row>
    <row r="191" spans="1:26" s="48" customFormat="1" ht="13.5" thickBot="1">
      <c r="A191" s="116"/>
      <c r="B191" s="65"/>
      <c r="C191" s="66"/>
      <c r="D191" s="65"/>
      <c r="E191" s="65"/>
      <c r="F191" s="65"/>
      <c r="G191" s="66" t="s">
        <v>305</v>
      </c>
      <c r="H191" s="65">
        <v>1</v>
      </c>
      <c r="I191" s="65">
        <v>0</v>
      </c>
      <c r="J191" s="86" t="s">
        <v>196</v>
      </c>
      <c r="K191" s="65">
        <f>+RI_GND</f>
        <v>50</v>
      </c>
      <c r="L191" s="65" t="str">
        <f>+CI_GND</f>
        <v>1500pF</v>
      </c>
      <c r="M191" s="65" t="str">
        <f>+LI_GND</f>
        <v>0.08uH</v>
      </c>
      <c r="N191" s="65">
        <v>0</v>
      </c>
      <c r="O191" s="65">
        <v>0</v>
      </c>
      <c r="P191" s="65">
        <v>0</v>
      </c>
      <c r="Q191" s="65">
        <v>0</v>
      </c>
      <c r="R191" s="65">
        <v>0</v>
      </c>
      <c r="S191" s="65">
        <f>+'C - FPU to CVV'!S183</f>
        <v>15</v>
      </c>
      <c r="T191" s="69">
        <f>+DC_PHOT</f>
        <v>0.5</v>
      </c>
      <c r="U191" s="69">
        <f>+'C - FPU to CVV'!U183</f>
        <v>0.33</v>
      </c>
      <c r="V191" s="69">
        <f>+'C - FPU to CVV'!V183</f>
        <v>0.165</v>
      </c>
      <c r="W191" s="70">
        <f t="shared" si="44"/>
        <v>0</v>
      </c>
      <c r="X191" s="70">
        <f>+O191^2*K191*V191*H191</f>
        <v>0</v>
      </c>
      <c r="Y191" s="71" t="e">
        <f t="shared" si="46"/>
        <v>#REF!</v>
      </c>
      <c r="Z191" s="50"/>
    </row>
    <row r="192" spans="1:26" s="48" customFormat="1" ht="13.5" thickTop="1">
      <c r="A192" s="116"/>
      <c r="B192" s="65"/>
      <c r="C192" s="66" t="s">
        <v>512</v>
      </c>
      <c r="D192" s="125" t="s">
        <v>511</v>
      </c>
      <c r="E192" s="206" t="s">
        <v>717</v>
      </c>
      <c r="F192" s="207"/>
      <c r="G192" s="66" t="s">
        <v>477</v>
      </c>
      <c r="H192" s="65">
        <v>6</v>
      </c>
      <c r="I192" s="65">
        <v>3</v>
      </c>
      <c r="J192" s="86" t="s">
        <v>261</v>
      </c>
      <c r="K192" s="65">
        <v>1000</v>
      </c>
      <c r="L192" s="65"/>
      <c r="M192" s="65"/>
      <c r="N192" s="65">
        <v>0</v>
      </c>
      <c r="O192" s="65">
        <v>0</v>
      </c>
      <c r="P192" s="65">
        <v>0</v>
      </c>
      <c r="Q192" s="65">
        <v>0</v>
      </c>
      <c r="R192" s="65">
        <v>0</v>
      </c>
      <c r="S192" s="65"/>
      <c r="T192" s="69">
        <v>0</v>
      </c>
      <c r="U192" s="69">
        <v>0</v>
      </c>
      <c r="V192" s="69">
        <v>0</v>
      </c>
      <c r="W192" s="70"/>
      <c r="X192" s="70"/>
      <c r="Y192" s="71"/>
      <c r="Z192" s="50"/>
    </row>
    <row r="193" spans="1:26" s="48" customFormat="1" ht="12.75">
      <c r="A193" s="116"/>
      <c r="B193" s="119"/>
      <c r="C193" s="119" t="s">
        <v>167</v>
      </c>
      <c r="D193" s="118" t="s">
        <v>517</v>
      </c>
      <c r="E193" s="118" t="s">
        <v>518</v>
      </c>
      <c r="F193" s="118" t="s">
        <v>466</v>
      </c>
      <c r="G193" s="119" t="s">
        <v>467</v>
      </c>
      <c r="H193" s="118">
        <v>4</v>
      </c>
      <c r="I193" s="118">
        <v>2</v>
      </c>
      <c r="J193" s="118" t="s">
        <v>261</v>
      </c>
      <c r="K193" s="118">
        <f>+RI_PCAL</f>
        <v>10</v>
      </c>
      <c r="L193" s="118"/>
      <c r="M193" s="118"/>
      <c r="N193" s="118">
        <f>+PCAL_MAXI</f>
        <v>0.007</v>
      </c>
      <c r="O193" s="118">
        <v>0</v>
      </c>
      <c r="P193" s="118">
        <v>0</v>
      </c>
      <c r="Q193" s="118">
        <v>0</v>
      </c>
      <c r="R193" s="118">
        <v>0</v>
      </c>
      <c r="S193" s="118"/>
      <c r="T193" s="120">
        <f>+PCAL_DC</f>
        <v>0.05</v>
      </c>
      <c r="U193" s="120">
        <v>0.33</v>
      </c>
      <c r="V193" s="120">
        <f>+U193*T193</f>
        <v>0.0165</v>
      </c>
      <c r="W193" s="105">
        <f>+N193^2*K193*H193</f>
        <v>0.0019600000000000004</v>
      </c>
      <c r="X193" s="105">
        <f>+O193^2*K193*V193*H193</f>
        <v>0</v>
      </c>
      <c r="Y193" s="108" t="e">
        <f t="shared" si="46"/>
        <v>#REF!</v>
      </c>
      <c r="Z193" s="50"/>
    </row>
    <row r="194" spans="1:25" s="140" customFormat="1" ht="13.5" thickBot="1">
      <c r="A194" s="130"/>
      <c r="B194" s="90"/>
      <c r="C194" s="90" t="s">
        <v>714</v>
      </c>
      <c r="D194" s="89"/>
      <c r="E194" s="89"/>
      <c r="F194" s="89"/>
      <c r="G194" s="90" t="s">
        <v>715</v>
      </c>
      <c r="H194" s="89"/>
      <c r="I194" s="89"/>
      <c r="J194" s="91" t="s">
        <v>716</v>
      </c>
      <c r="K194" s="89"/>
      <c r="L194" s="89"/>
      <c r="M194" s="89" t="s">
        <v>712</v>
      </c>
      <c r="N194" s="89"/>
      <c r="O194" s="89"/>
      <c r="P194" s="92"/>
      <c r="Q194" s="92"/>
      <c r="R194" s="92"/>
      <c r="S194" s="89"/>
      <c r="T194" s="93"/>
      <c r="U194" s="93"/>
      <c r="V194" s="93"/>
      <c r="W194" s="94"/>
      <c r="X194" s="94">
        <v>0</v>
      </c>
      <c r="Y194" s="95" t="e">
        <v>#REF!</v>
      </c>
    </row>
    <row r="195" spans="1:26" ht="13.5" thickTop="1">
      <c r="A195" s="126"/>
      <c r="B195" s="72"/>
      <c r="C195" s="127"/>
      <c r="D195" s="81"/>
      <c r="E195" s="81"/>
      <c r="F195" s="81"/>
      <c r="G195" s="127"/>
      <c r="H195" s="81"/>
      <c r="I195" s="81"/>
      <c r="J195" s="81"/>
      <c r="K195" s="81"/>
      <c r="L195" s="81"/>
      <c r="M195" s="81"/>
      <c r="N195" s="81"/>
      <c r="O195" s="81"/>
      <c r="P195" s="82"/>
      <c r="Q195" s="82"/>
      <c r="R195" s="82"/>
      <c r="S195" s="81"/>
      <c r="T195" s="128"/>
      <c r="U195" s="128"/>
      <c r="V195" s="128"/>
      <c r="W195" s="98"/>
      <c r="X195" s="98"/>
      <c r="Y195" s="58"/>
      <c r="Z195" s="54"/>
    </row>
    <row r="196" spans="1:26" ht="12.75">
      <c r="A196" s="126"/>
      <c r="B196" s="81"/>
      <c r="C196" s="127"/>
      <c r="D196" s="81"/>
      <c r="E196" s="81"/>
      <c r="F196" s="81"/>
      <c r="G196" s="127"/>
      <c r="H196" s="81"/>
      <c r="I196" s="81"/>
      <c r="J196" s="81"/>
      <c r="K196" s="81"/>
      <c r="L196" s="81"/>
      <c r="M196" s="81"/>
      <c r="N196" s="81"/>
      <c r="O196" s="81"/>
      <c r="P196" s="82"/>
      <c r="Q196" s="82"/>
      <c r="R196" s="82"/>
      <c r="S196" s="81"/>
      <c r="T196" s="128"/>
      <c r="U196" s="128"/>
      <c r="V196" s="128"/>
      <c r="W196" s="77" t="e">
        <f>SUM(W3:W194)</f>
        <v>#REF!</v>
      </c>
      <c r="X196" s="77" t="e">
        <f>SUM(X3:X194)</f>
        <v>#REF!</v>
      </c>
      <c r="Y196" s="58"/>
      <c r="Z196" s="54"/>
    </row>
    <row r="197" spans="1:26" ht="12.75">
      <c r="A197" s="126"/>
      <c r="B197" s="81"/>
      <c r="C197" s="127"/>
      <c r="D197" s="81"/>
      <c r="E197" s="81"/>
      <c r="F197" s="81"/>
      <c r="G197" s="127"/>
      <c r="H197" s="81"/>
      <c r="I197" s="81"/>
      <c r="J197" s="81"/>
      <c r="K197" s="81"/>
      <c r="L197" s="81"/>
      <c r="M197" s="81"/>
      <c r="N197" s="81"/>
      <c r="O197" s="81"/>
      <c r="P197" s="82"/>
      <c r="Q197" s="82"/>
      <c r="R197" s="82"/>
      <c r="S197" s="81"/>
      <c r="T197" s="128"/>
      <c r="U197" s="128"/>
      <c r="V197" s="128"/>
      <c r="W197" s="129" t="e">
        <f>+W196*1000</f>
        <v>#REF!</v>
      </c>
      <c r="X197" s="129" t="e">
        <f>+X196*1000</f>
        <v>#REF!</v>
      </c>
      <c r="Y197" s="58"/>
      <c r="Z197" s="54"/>
    </row>
    <row r="198" spans="1:26" ht="12.75">
      <c r="A198" s="126"/>
      <c r="B198" s="81"/>
      <c r="C198" s="127"/>
      <c r="D198" s="81"/>
      <c r="E198" s="81"/>
      <c r="F198" s="81"/>
      <c r="G198" s="127"/>
      <c r="H198" s="81"/>
      <c r="I198" s="81"/>
      <c r="J198" s="81"/>
      <c r="K198" s="81"/>
      <c r="L198" s="81"/>
      <c r="M198" s="81"/>
      <c r="N198" s="81"/>
      <c r="O198" s="81"/>
      <c r="P198" s="82"/>
      <c r="Q198" s="82"/>
      <c r="R198" s="82"/>
      <c r="S198" s="81"/>
      <c r="T198" s="128"/>
      <c r="U198" s="128"/>
      <c r="V198" s="128"/>
      <c r="W198" s="98"/>
      <c r="X198" s="98"/>
      <c r="Y198" s="58"/>
      <c r="Z198" s="54"/>
    </row>
    <row r="199" spans="1:26" ht="12.75">
      <c r="A199" s="126"/>
      <c r="B199" s="81"/>
      <c r="C199" s="127"/>
      <c r="D199" s="81"/>
      <c r="E199" s="81"/>
      <c r="F199" s="81"/>
      <c r="G199" s="127"/>
      <c r="H199" s="81"/>
      <c r="I199" s="81"/>
      <c r="J199" s="81"/>
      <c r="K199" s="81"/>
      <c r="L199" s="81"/>
      <c r="M199" s="81"/>
      <c r="N199" s="81"/>
      <c r="O199" s="81"/>
      <c r="P199" s="82"/>
      <c r="Q199" s="82"/>
      <c r="R199" s="82"/>
      <c r="S199" s="81"/>
      <c r="T199" s="128"/>
      <c r="U199" s="128"/>
      <c r="V199" s="128"/>
      <c r="W199" s="98"/>
      <c r="X199" s="98"/>
      <c r="Y199" s="58"/>
      <c r="Z199" s="54"/>
    </row>
    <row r="200" spans="2:26" ht="12.75">
      <c r="B200" s="54"/>
      <c r="Z200" s="54"/>
    </row>
  </sheetData>
  <mergeCells count="18">
    <mergeCell ref="E160:F160"/>
    <mergeCell ref="E192:F192"/>
    <mergeCell ref="N1:N2"/>
    <mergeCell ref="S1:S2"/>
    <mergeCell ref="K1:M1"/>
    <mergeCell ref="H1:H2"/>
    <mergeCell ref="I1:I2"/>
    <mergeCell ref="T1:V1"/>
    <mergeCell ref="O1:O2"/>
    <mergeCell ref="P1:R1"/>
    <mergeCell ref="J1:J2"/>
    <mergeCell ref="A1:A2"/>
    <mergeCell ref="B1:B2"/>
    <mergeCell ref="C1:C2"/>
    <mergeCell ref="G1:G2"/>
    <mergeCell ref="D1:D2"/>
    <mergeCell ref="E1:E2"/>
    <mergeCell ref="F1:F2"/>
  </mergeCells>
  <printOptions gridLines="1" horizontalCentered="1" verticalCentered="1"/>
  <pageMargins left="0.3937007874015748" right="0.35433070866141736" top="0.54" bottom="0.64" header="0.1968503937007874" footer="0.36"/>
  <pageSetup fitToHeight="3" fitToWidth="1" horizontalDpi="600" verticalDpi="600" orientation="landscape" paperSize="9" scale="60"/>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110"/>
  <sheetViews>
    <sheetView workbookViewId="0" topLeftCell="A1">
      <selection activeCell="E9" sqref="E9"/>
    </sheetView>
  </sheetViews>
  <sheetFormatPr defaultColWidth="9.140625" defaultRowHeight="12.75"/>
  <cols>
    <col min="1" max="1" width="40.7109375" style="0" customWidth="1"/>
    <col min="2" max="8" width="8.8515625" style="0" customWidth="1"/>
    <col min="9" max="9" width="17.7109375" style="0" customWidth="1"/>
    <col min="10" max="10" width="17.140625" style="0" customWidth="1"/>
    <col min="11" max="11" width="14.00390625" style="0" bestFit="1" customWidth="1"/>
    <col min="12" max="16384" width="8.8515625" style="0" customWidth="1"/>
  </cols>
  <sheetData>
    <row r="1" spans="2:7" ht="12.75">
      <c r="B1" s="208" t="s">
        <v>188</v>
      </c>
      <c r="C1" s="208"/>
      <c r="D1" s="208"/>
      <c r="E1" s="208" t="s">
        <v>189</v>
      </c>
      <c r="F1" s="208"/>
      <c r="G1" s="208"/>
    </row>
    <row r="2" spans="1:7" ht="12.75">
      <c r="A2" s="6"/>
      <c r="B2" s="5" t="s">
        <v>190</v>
      </c>
      <c r="C2" s="5" t="s">
        <v>192</v>
      </c>
      <c r="D2" s="5" t="s">
        <v>191</v>
      </c>
      <c r="E2" s="5" t="s">
        <v>190</v>
      </c>
      <c r="F2" s="5" t="s">
        <v>192</v>
      </c>
      <c r="G2" s="5" t="s">
        <v>191</v>
      </c>
    </row>
    <row r="3" spans="1:11" ht="12.75">
      <c r="A3" s="6" t="s">
        <v>165</v>
      </c>
      <c r="B3" s="5">
        <v>50</v>
      </c>
      <c r="C3" s="17" t="s">
        <v>199</v>
      </c>
      <c r="D3" s="5" t="s">
        <v>303</v>
      </c>
      <c r="E3" s="5">
        <v>50</v>
      </c>
      <c r="F3" s="5" t="s">
        <v>304</v>
      </c>
      <c r="G3" s="5" t="s">
        <v>303</v>
      </c>
      <c r="I3" t="s">
        <v>437</v>
      </c>
      <c r="J3" t="s">
        <v>438</v>
      </c>
      <c r="K3" t="s">
        <v>439</v>
      </c>
    </row>
    <row r="4" spans="1:11" ht="12.75">
      <c r="A4" s="6" t="s">
        <v>194</v>
      </c>
      <c r="B4" s="5">
        <v>200</v>
      </c>
      <c r="C4" s="17" t="s">
        <v>199</v>
      </c>
      <c r="D4" s="5" t="s">
        <v>303</v>
      </c>
      <c r="E4" s="5">
        <v>100</v>
      </c>
      <c r="F4" s="17" t="s">
        <v>304</v>
      </c>
      <c r="G4" s="5" t="s">
        <v>303</v>
      </c>
      <c r="I4" t="s">
        <v>441</v>
      </c>
      <c r="J4" t="s">
        <v>442</v>
      </c>
      <c r="K4" t="s">
        <v>443</v>
      </c>
    </row>
    <row r="5" spans="1:11" ht="12.75">
      <c r="A5" s="6" t="s">
        <v>195</v>
      </c>
      <c r="B5" s="5">
        <v>200</v>
      </c>
      <c r="C5" s="17" t="s">
        <v>199</v>
      </c>
      <c r="D5" s="5" t="s">
        <v>303</v>
      </c>
      <c r="E5" s="5">
        <v>100</v>
      </c>
      <c r="F5" s="17" t="s">
        <v>304</v>
      </c>
      <c r="G5" s="5" t="s">
        <v>303</v>
      </c>
      <c r="I5" t="s">
        <v>302</v>
      </c>
      <c r="J5" t="s">
        <v>302</v>
      </c>
      <c r="K5" t="s">
        <v>302</v>
      </c>
    </row>
    <row r="6" spans="1:7" ht="12.75">
      <c r="A6" s="6" t="s">
        <v>197</v>
      </c>
      <c r="B6" s="5">
        <v>500</v>
      </c>
      <c r="C6" s="17" t="s">
        <v>199</v>
      </c>
      <c r="D6" s="5" t="s">
        <v>303</v>
      </c>
      <c r="E6" s="5">
        <v>500</v>
      </c>
      <c r="F6" s="17" t="s">
        <v>304</v>
      </c>
      <c r="G6" s="5" t="s">
        <v>303</v>
      </c>
    </row>
    <row r="7" spans="1:11" ht="12.75">
      <c r="A7" s="6" t="s">
        <v>198</v>
      </c>
      <c r="B7" s="5">
        <v>100</v>
      </c>
      <c r="C7" s="17" t="s">
        <v>199</v>
      </c>
      <c r="D7" s="5" t="s">
        <v>303</v>
      </c>
      <c r="E7" s="57">
        <v>100</v>
      </c>
      <c r="F7" s="17" t="s">
        <v>304</v>
      </c>
      <c r="G7" s="5" t="s">
        <v>303</v>
      </c>
      <c r="I7" t="s">
        <v>433</v>
      </c>
      <c r="J7" t="s">
        <v>435</v>
      </c>
      <c r="K7" t="s">
        <v>434</v>
      </c>
    </row>
    <row r="8" spans="1:11" ht="12.75">
      <c r="A8" s="6" t="s">
        <v>222</v>
      </c>
      <c r="B8" s="5">
        <v>200</v>
      </c>
      <c r="C8" s="17" t="s">
        <v>199</v>
      </c>
      <c r="D8" s="5" t="s">
        <v>303</v>
      </c>
      <c r="E8" s="5">
        <v>200</v>
      </c>
      <c r="F8" s="17" t="s">
        <v>304</v>
      </c>
      <c r="G8" s="5" t="s">
        <v>303</v>
      </c>
      <c r="I8" t="s">
        <v>445</v>
      </c>
      <c r="J8" t="s">
        <v>446</v>
      </c>
      <c r="K8" t="s">
        <v>447</v>
      </c>
    </row>
    <row r="9" spans="1:9" ht="12.75">
      <c r="A9" s="6" t="s">
        <v>550</v>
      </c>
      <c r="B9" s="5">
        <v>10</v>
      </c>
      <c r="C9" s="17" t="s">
        <v>199</v>
      </c>
      <c r="D9" s="5" t="s">
        <v>303</v>
      </c>
      <c r="E9" s="5">
        <v>10</v>
      </c>
      <c r="F9" s="17" t="s">
        <v>199</v>
      </c>
      <c r="G9" s="5" t="s">
        <v>303</v>
      </c>
      <c r="I9" t="s">
        <v>554</v>
      </c>
    </row>
    <row r="10" spans="1:9" ht="12.75">
      <c r="A10" s="6" t="s">
        <v>551</v>
      </c>
      <c r="B10" s="5">
        <v>10</v>
      </c>
      <c r="C10" s="17" t="s">
        <v>199</v>
      </c>
      <c r="D10" s="5" t="s">
        <v>303</v>
      </c>
      <c r="E10" s="5">
        <v>10</v>
      </c>
      <c r="F10" s="17" t="s">
        <v>199</v>
      </c>
      <c r="G10" s="5" t="s">
        <v>303</v>
      </c>
      <c r="I10" t="s">
        <v>555</v>
      </c>
    </row>
    <row r="11" spans="1:9" ht="12.75">
      <c r="A11" s="6" t="s">
        <v>552</v>
      </c>
      <c r="B11" s="5">
        <v>1000</v>
      </c>
      <c r="C11" s="17" t="s">
        <v>199</v>
      </c>
      <c r="D11" s="5" t="s">
        <v>303</v>
      </c>
      <c r="E11" s="5">
        <v>1000</v>
      </c>
      <c r="F11" s="17" t="s">
        <v>199</v>
      </c>
      <c r="G11" s="5" t="s">
        <v>303</v>
      </c>
      <c r="I11" t="s">
        <v>557</v>
      </c>
    </row>
    <row r="12" spans="1:9" ht="12.75">
      <c r="A12" s="6" t="s">
        <v>553</v>
      </c>
      <c r="B12" s="5">
        <v>1000</v>
      </c>
      <c r="C12" s="17" t="s">
        <v>199</v>
      </c>
      <c r="D12" s="5" t="s">
        <v>303</v>
      </c>
      <c r="E12" s="5">
        <v>1000</v>
      </c>
      <c r="F12" s="17" t="s">
        <v>199</v>
      </c>
      <c r="G12" s="5" t="s">
        <v>303</v>
      </c>
      <c r="I12" t="s">
        <v>556</v>
      </c>
    </row>
    <row r="13" spans="1:9" ht="12.75">
      <c r="A13" s="6" t="s">
        <v>559</v>
      </c>
      <c r="B13" s="5">
        <v>10</v>
      </c>
      <c r="C13" s="17" t="s">
        <v>304</v>
      </c>
      <c r="D13" s="5"/>
      <c r="E13" s="5">
        <v>10</v>
      </c>
      <c r="F13" s="5"/>
      <c r="G13" s="5" t="s">
        <v>669</v>
      </c>
      <c r="I13" t="s">
        <v>560</v>
      </c>
    </row>
    <row r="14" spans="1:9" ht="12.75">
      <c r="A14" s="6" t="s">
        <v>561</v>
      </c>
      <c r="B14" s="5">
        <v>50</v>
      </c>
      <c r="C14" s="17"/>
      <c r="D14" s="5"/>
      <c r="E14" s="5">
        <v>50</v>
      </c>
      <c r="F14" s="5"/>
      <c r="G14" s="5" t="s">
        <v>669</v>
      </c>
      <c r="I14" t="s">
        <v>562</v>
      </c>
    </row>
    <row r="15" spans="1:9" ht="12.75">
      <c r="A15" s="6" t="s">
        <v>360</v>
      </c>
      <c r="B15" s="5">
        <v>1000</v>
      </c>
      <c r="C15" s="17"/>
      <c r="D15" s="5"/>
      <c r="E15" s="5">
        <v>1000</v>
      </c>
      <c r="F15" s="5"/>
      <c r="G15" s="5" t="s">
        <v>669</v>
      </c>
      <c r="I15" t="s">
        <v>361</v>
      </c>
    </row>
    <row r="16" spans="1:9" ht="12.75">
      <c r="A16" s="6" t="s">
        <v>374</v>
      </c>
      <c r="B16" s="5">
        <v>30</v>
      </c>
      <c r="C16" s="17"/>
      <c r="D16" s="5"/>
      <c r="E16" s="5">
        <v>30</v>
      </c>
      <c r="F16" s="5"/>
      <c r="G16" s="5" t="s">
        <v>669</v>
      </c>
      <c r="I16" t="s">
        <v>376</v>
      </c>
    </row>
    <row r="17" spans="1:9" ht="12.75">
      <c r="A17" s="6" t="s">
        <v>375</v>
      </c>
      <c r="B17" s="5">
        <v>30</v>
      </c>
      <c r="C17" s="17"/>
      <c r="D17" s="5"/>
      <c r="E17" s="5">
        <v>30</v>
      </c>
      <c r="F17" s="5"/>
      <c r="G17" s="5" t="s">
        <v>669</v>
      </c>
      <c r="I17" t="s">
        <v>377</v>
      </c>
    </row>
    <row r="18" spans="1:9" ht="12.75">
      <c r="A18" s="6" t="s">
        <v>382</v>
      </c>
      <c r="B18" s="5">
        <v>30</v>
      </c>
      <c r="C18" s="17"/>
      <c r="D18" s="5"/>
      <c r="E18" s="5">
        <v>100</v>
      </c>
      <c r="F18" s="5"/>
      <c r="G18" s="5" t="s">
        <v>669</v>
      </c>
      <c r="I18" t="s">
        <v>383</v>
      </c>
    </row>
    <row r="19" spans="1:9" ht="12.75">
      <c r="A19" s="6" t="s">
        <v>388</v>
      </c>
      <c r="B19" s="5">
        <v>1000</v>
      </c>
      <c r="C19" s="17"/>
      <c r="D19" s="22"/>
      <c r="E19" s="5">
        <v>1000</v>
      </c>
      <c r="F19" s="5"/>
      <c r="G19" s="5" t="s">
        <v>669</v>
      </c>
      <c r="I19" t="s">
        <v>389</v>
      </c>
    </row>
    <row r="20" spans="1:9" ht="12.75">
      <c r="A20" s="6" t="s">
        <v>622</v>
      </c>
      <c r="B20" s="5">
        <v>10</v>
      </c>
      <c r="C20" s="5"/>
      <c r="D20" s="5"/>
      <c r="E20" s="5">
        <v>10</v>
      </c>
      <c r="F20" s="5"/>
      <c r="G20" s="5" t="s">
        <v>669</v>
      </c>
      <c r="I20" t="s">
        <v>623</v>
      </c>
    </row>
    <row r="21" spans="1:9" ht="12.75">
      <c r="A21" s="6" t="s">
        <v>397</v>
      </c>
      <c r="B21" s="5">
        <v>10</v>
      </c>
      <c r="C21" s="5"/>
      <c r="D21" s="5"/>
      <c r="E21" s="5">
        <v>10</v>
      </c>
      <c r="F21" s="5"/>
      <c r="G21" s="5" t="s">
        <v>669</v>
      </c>
      <c r="I21" t="s">
        <v>398</v>
      </c>
    </row>
    <row r="22" spans="1:9" ht="12.75">
      <c r="A22" s="6" t="s">
        <v>386</v>
      </c>
      <c r="B22" s="5">
        <v>10</v>
      </c>
      <c r="C22" s="5"/>
      <c r="D22" s="5"/>
      <c r="E22" s="5">
        <v>10</v>
      </c>
      <c r="F22" s="5"/>
      <c r="G22" s="5"/>
      <c r="I22" t="s">
        <v>463</v>
      </c>
    </row>
    <row r="23" spans="1:9" ht="12.75">
      <c r="A23" s="6" t="s">
        <v>462</v>
      </c>
      <c r="B23" s="5">
        <v>1000</v>
      </c>
      <c r="C23" s="5"/>
      <c r="D23" s="5"/>
      <c r="E23" s="5">
        <v>1000</v>
      </c>
      <c r="F23" s="5"/>
      <c r="G23" s="5"/>
      <c r="I23" t="s">
        <v>464</v>
      </c>
    </row>
    <row r="24" spans="1:9" ht="12.75">
      <c r="A24" s="6" t="s">
        <v>408</v>
      </c>
      <c r="B24" s="5">
        <v>5</v>
      </c>
      <c r="C24" s="5"/>
      <c r="D24" s="5"/>
      <c r="E24" s="5">
        <v>5</v>
      </c>
      <c r="F24" s="5"/>
      <c r="G24" s="5" t="s">
        <v>669</v>
      </c>
      <c r="I24" t="s">
        <v>411</v>
      </c>
    </row>
    <row r="25" spans="1:9" ht="12.75">
      <c r="A25" s="6" t="s">
        <v>405</v>
      </c>
      <c r="B25" s="5">
        <v>5</v>
      </c>
      <c r="C25" s="5"/>
      <c r="D25" s="5"/>
      <c r="E25" s="5">
        <v>5</v>
      </c>
      <c r="F25" s="5"/>
      <c r="G25" s="5" t="s">
        <v>669</v>
      </c>
      <c r="I25" t="s">
        <v>412</v>
      </c>
    </row>
    <row r="26" spans="1:9" ht="12.75">
      <c r="A26" s="6" t="s">
        <v>65</v>
      </c>
      <c r="B26" s="5">
        <v>5</v>
      </c>
      <c r="C26" s="5"/>
      <c r="D26" s="5"/>
      <c r="E26" s="5">
        <v>5</v>
      </c>
      <c r="F26" s="5"/>
      <c r="G26" s="5" t="s">
        <v>669</v>
      </c>
      <c r="I26" t="s">
        <v>413</v>
      </c>
    </row>
    <row r="27" spans="1:9" ht="12.75">
      <c r="A27" s="6" t="s">
        <v>66</v>
      </c>
      <c r="B27" s="5">
        <v>5</v>
      </c>
      <c r="C27" s="5"/>
      <c r="D27" s="5"/>
      <c r="E27" s="5">
        <v>5</v>
      </c>
      <c r="F27" s="5"/>
      <c r="G27" s="5" t="s">
        <v>669</v>
      </c>
      <c r="I27" t="s">
        <v>414</v>
      </c>
    </row>
    <row r="28" spans="1:9" ht="12.75">
      <c r="A28" s="6" t="s">
        <v>680</v>
      </c>
      <c r="B28" s="5">
        <v>100</v>
      </c>
      <c r="C28" s="5"/>
      <c r="D28" s="5"/>
      <c r="E28" s="5">
        <v>100</v>
      </c>
      <c r="F28" s="5"/>
      <c r="G28" s="5"/>
      <c r="I28" t="s">
        <v>681</v>
      </c>
    </row>
    <row r="29" spans="1:9" ht="12.75">
      <c r="A29" s="6" t="s">
        <v>164</v>
      </c>
      <c r="B29" s="5">
        <v>5</v>
      </c>
      <c r="C29" s="5"/>
      <c r="D29" s="5"/>
      <c r="E29" s="5">
        <v>5</v>
      </c>
      <c r="F29" s="5"/>
      <c r="G29" s="5"/>
      <c r="I29" t="s">
        <v>670</v>
      </c>
    </row>
    <row r="30" spans="1:9" ht="12.75">
      <c r="A30" s="6" t="s">
        <v>671</v>
      </c>
      <c r="B30" s="5">
        <v>500</v>
      </c>
      <c r="C30" s="5"/>
      <c r="D30" s="5"/>
      <c r="E30" s="5">
        <v>500</v>
      </c>
      <c r="F30" s="5"/>
      <c r="G30" s="5"/>
      <c r="I30" t="s">
        <v>672</v>
      </c>
    </row>
    <row r="31" spans="1:9" ht="12.75">
      <c r="A31" s="6" t="s">
        <v>688</v>
      </c>
      <c r="B31" s="5">
        <v>100</v>
      </c>
      <c r="C31" s="5"/>
      <c r="D31" s="5"/>
      <c r="E31" s="5">
        <v>100</v>
      </c>
      <c r="F31" s="5"/>
      <c r="G31" s="5"/>
      <c r="I31" t="s">
        <v>455</v>
      </c>
    </row>
    <row r="32" spans="1:9" ht="12.75">
      <c r="A32" s="6" t="s">
        <v>690</v>
      </c>
      <c r="B32" s="5">
        <v>1000</v>
      </c>
      <c r="C32" s="5"/>
      <c r="D32" s="5"/>
      <c r="E32" s="5">
        <v>1000</v>
      </c>
      <c r="F32" s="5"/>
      <c r="G32" s="5"/>
      <c r="I32" t="s">
        <v>692</v>
      </c>
    </row>
    <row r="33" spans="1:9" ht="12.75">
      <c r="A33" s="6" t="s">
        <v>691</v>
      </c>
      <c r="B33" s="5">
        <v>1000</v>
      </c>
      <c r="C33" s="5"/>
      <c r="D33" s="5"/>
      <c r="E33" s="5">
        <v>1000</v>
      </c>
      <c r="F33" s="5"/>
      <c r="G33" s="5"/>
      <c r="I33" t="s">
        <v>456</v>
      </c>
    </row>
    <row r="34" spans="1:7" ht="12.75">
      <c r="A34" s="6"/>
      <c r="B34" s="5"/>
      <c r="C34" s="5"/>
      <c r="D34" s="5"/>
      <c r="E34" s="5"/>
      <c r="F34" s="5"/>
      <c r="G34" s="5"/>
    </row>
    <row r="35" spans="1:7" ht="12.75">
      <c r="A35" s="6"/>
      <c r="B35" s="5"/>
      <c r="C35" s="5"/>
      <c r="D35" s="5"/>
      <c r="E35" s="5"/>
      <c r="F35" s="5"/>
      <c r="G35" s="5"/>
    </row>
    <row r="36" spans="1:7" ht="12.75">
      <c r="A36" s="6"/>
      <c r="B36" s="5"/>
      <c r="C36" s="5"/>
      <c r="D36" s="5"/>
      <c r="E36" s="5"/>
      <c r="F36" s="5"/>
      <c r="G36" s="5"/>
    </row>
    <row r="37" spans="1:7" ht="12.75">
      <c r="A37" s="6"/>
      <c r="B37" s="5"/>
      <c r="C37" s="5"/>
      <c r="D37" s="5"/>
      <c r="E37" s="5"/>
      <c r="F37" s="5"/>
      <c r="G37" s="5"/>
    </row>
    <row r="38" spans="1:7" ht="12.75">
      <c r="A38" s="6"/>
      <c r="B38" s="5"/>
      <c r="C38" s="5"/>
      <c r="D38" s="5"/>
      <c r="E38" s="5"/>
      <c r="F38" s="5"/>
      <c r="G38" s="5"/>
    </row>
    <row r="39" spans="1:7" ht="12.75">
      <c r="A39" s="6"/>
      <c r="B39" s="5"/>
      <c r="C39" s="5"/>
      <c r="D39" s="5"/>
      <c r="E39" s="5"/>
      <c r="F39" s="5"/>
      <c r="G39" s="5"/>
    </row>
    <row r="40" spans="1:7" ht="12.75">
      <c r="A40" s="6"/>
      <c r="B40" s="5"/>
      <c r="C40" s="5"/>
      <c r="D40" s="5"/>
      <c r="E40" s="5"/>
      <c r="F40" s="5"/>
      <c r="G40" s="5"/>
    </row>
    <row r="41" spans="1:7" ht="12.75">
      <c r="A41" s="6"/>
      <c r="B41" s="5"/>
      <c r="C41" s="5"/>
      <c r="D41" s="5"/>
      <c r="E41" s="5"/>
      <c r="F41" s="5"/>
      <c r="G41" s="5"/>
    </row>
    <row r="42" spans="1:7" ht="12.75">
      <c r="A42" s="6"/>
      <c r="B42" s="5"/>
      <c r="C42" s="5"/>
      <c r="D42" s="5"/>
      <c r="E42" s="5"/>
      <c r="F42" s="5"/>
      <c r="G42" s="5"/>
    </row>
    <row r="43" spans="1:7" ht="12.75">
      <c r="A43" s="6"/>
      <c r="B43" s="5"/>
      <c r="C43" s="5"/>
      <c r="D43" s="5"/>
      <c r="E43" s="5"/>
      <c r="F43" s="5"/>
      <c r="G43" s="5"/>
    </row>
    <row r="44" spans="1:7" ht="12.75">
      <c r="A44" s="6"/>
      <c r="B44" s="5"/>
      <c r="C44" s="5"/>
      <c r="D44" s="5"/>
      <c r="E44" s="5"/>
      <c r="F44" s="5"/>
      <c r="G44" s="5"/>
    </row>
    <row r="45" spans="1:7" ht="12.75">
      <c r="A45" s="6"/>
      <c r="B45" s="5"/>
      <c r="C45" s="5"/>
      <c r="D45" s="5"/>
      <c r="E45" s="5"/>
      <c r="F45" s="5"/>
      <c r="G45" s="5"/>
    </row>
    <row r="46" spans="1:7" ht="12.75">
      <c r="A46" s="6"/>
      <c r="B46" s="5"/>
      <c r="C46" s="5"/>
      <c r="D46" s="5"/>
      <c r="E46" s="5"/>
      <c r="F46" s="5"/>
      <c r="G46" s="5"/>
    </row>
    <row r="47" spans="1:7" ht="12.75">
      <c r="A47" s="6"/>
      <c r="B47" s="5"/>
      <c r="C47" s="5"/>
      <c r="D47" s="5"/>
      <c r="E47" s="5"/>
      <c r="F47" s="5"/>
      <c r="G47" s="5"/>
    </row>
    <row r="48" spans="1:7" ht="12.75">
      <c r="A48" s="6"/>
      <c r="B48" s="5"/>
      <c r="C48" s="5"/>
      <c r="D48" s="5"/>
      <c r="E48" s="5"/>
      <c r="F48" s="5"/>
      <c r="G48" s="5"/>
    </row>
    <row r="49" spans="1:7" ht="12.75">
      <c r="A49" s="6"/>
      <c r="B49" s="5"/>
      <c r="C49" s="5"/>
      <c r="D49" s="5"/>
      <c r="E49" s="5"/>
      <c r="F49" s="5"/>
      <c r="G49" s="5"/>
    </row>
    <row r="50" spans="1:7" ht="12.75">
      <c r="A50" s="6"/>
      <c r="B50" s="5"/>
      <c r="C50" s="5"/>
      <c r="D50" s="5"/>
      <c r="E50" s="5"/>
      <c r="F50" s="5"/>
      <c r="G50" s="5"/>
    </row>
    <row r="51" spans="1:7" ht="12.75">
      <c r="A51" s="6"/>
      <c r="B51" s="5"/>
      <c r="C51" s="5"/>
      <c r="D51" s="5"/>
      <c r="E51" s="5"/>
      <c r="F51" s="5"/>
      <c r="G51" s="5"/>
    </row>
    <row r="52" spans="1:7" ht="12.75">
      <c r="A52" s="6"/>
      <c r="B52" s="5"/>
      <c r="C52" s="5"/>
      <c r="D52" s="5"/>
      <c r="E52" s="5"/>
      <c r="F52" s="5"/>
      <c r="G52" s="5"/>
    </row>
    <row r="53" spans="1:7" ht="12.75">
      <c r="A53" s="6"/>
      <c r="B53" s="5"/>
      <c r="C53" s="5"/>
      <c r="D53" s="5"/>
      <c r="E53" s="5"/>
      <c r="F53" s="5"/>
      <c r="G53" s="5"/>
    </row>
    <row r="54" spans="1:7" ht="12.75">
      <c r="A54" s="6"/>
      <c r="B54" s="5"/>
      <c r="C54" s="5"/>
      <c r="D54" s="5"/>
      <c r="E54" s="5"/>
      <c r="F54" s="5"/>
      <c r="G54" s="5"/>
    </row>
    <row r="55" spans="1:7" ht="12.75">
      <c r="A55" s="6"/>
      <c r="B55" s="5"/>
      <c r="C55" s="5"/>
      <c r="D55" s="5"/>
      <c r="E55" s="5"/>
      <c r="F55" s="5"/>
      <c r="G55" s="5"/>
    </row>
    <row r="56" spans="1:7" ht="12.75">
      <c r="A56" s="6"/>
      <c r="B56" s="5"/>
      <c r="C56" s="5"/>
      <c r="D56" s="5"/>
      <c r="E56" s="5"/>
      <c r="F56" s="5"/>
      <c r="G56" s="5"/>
    </row>
    <row r="57" spans="1:7" ht="12.75">
      <c r="A57" s="6"/>
      <c r="B57" s="5"/>
      <c r="C57" s="5"/>
      <c r="D57" s="5"/>
      <c r="E57" s="5"/>
      <c r="F57" s="5"/>
      <c r="G57" s="5"/>
    </row>
    <row r="58" spans="1:7" ht="12.75">
      <c r="A58" s="6"/>
      <c r="B58" s="5"/>
      <c r="C58" s="5"/>
      <c r="D58" s="5"/>
      <c r="E58" s="5"/>
      <c r="F58" s="5"/>
      <c r="G58" s="5"/>
    </row>
    <row r="59" spans="1:7" ht="12.75">
      <c r="A59" s="6"/>
      <c r="B59" s="5"/>
      <c r="C59" s="5"/>
      <c r="D59" s="5"/>
      <c r="E59" s="5"/>
      <c r="F59" s="5"/>
      <c r="G59" s="5"/>
    </row>
    <row r="60" spans="1:7" ht="12.75">
      <c r="A60" s="6"/>
      <c r="B60" s="5"/>
      <c r="C60" s="5"/>
      <c r="D60" s="5"/>
      <c r="E60" s="5"/>
      <c r="F60" s="5"/>
      <c r="G60" s="5"/>
    </row>
    <row r="61" spans="1:7" ht="12.75">
      <c r="A61" s="6"/>
      <c r="B61" s="5"/>
      <c r="C61" s="5"/>
      <c r="D61" s="5"/>
      <c r="E61" s="5"/>
      <c r="F61" s="5"/>
      <c r="G61" s="5"/>
    </row>
    <row r="62" spans="1:7" ht="12.75">
      <c r="A62" s="6"/>
      <c r="B62" s="5"/>
      <c r="C62" s="5"/>
      <c r="D62" s="5"/>
      <c r="E62" s="5"/>
      <c r="F62" s="5"/>
      <c r="G62" s="5"/>
    </row>
    <row r="63" spans="1:7" ht="12.75">
      <c r="A63" s="6"/>
      <c r="B63" s="5"/>
      <c r="C63" s="5"/>
      <c r="D63" s="5"/>
      <c r="E63" s="5"/>
      <c r="F63" s="5"/>
      <c r="G63" s="5"/>
    </row>
    <row r="64" spans="1:7" ht="12.75">
      <c r="A64" s="6"/>
      <c r="B64" s="5"/>
      <c r="C64" s="5"/>
      <c r="D64" s="5"/>
      <c r="E64" s="5"/>
      <c r="F64" s="5"/>
      <c r="G64" s="5"/>
    </row>
    <row r="65" spans="1:7" ht="12.75">
      <c r="A65" s="6"/>
      <c r="B65" s="5"/>
      <c r="C65" s="5"/>
      <c r="D65" s="5"/>
      <c r="E65" s="5"/>
      <c r="F65" s="5"/>
      <c r="G65" s="5"/>
    </row>
    <row r="66" spans="1:7" ht="12.75">
      <c r="A66" s="6"/>
      <c r="B66" s="5"/>
      <c r="C66" s="5"/>
      <c r="D66" s="5"/>
      <c r="E66" s="5"/>
      <c r="F66" s="5"/>
      <c r="G66" s="5"/>
    </row>
    <row r="67" spans="1:7" ht="12.75">
      <c r="A67" s="6"/>
      <c r="B67" s="5"/>
      <c r="C67" s="5"/>
      <c r="D67" s="5"/>
      <c r="E67" s="5"/>
      <c r="F67" s="5"/>
      <c r="G67" s="5"/>
    </row>
    <row r="68" spans="1:7" ht="12.75">
      <c r="A68" s="6"/>
      <c r="B68" s="5"/>
      <c r="C68" s="5"/>
      <c r="D68" s="5"/>
      <c r="E68" s="5"/>
      <c r="F68" s="5"/>
      <c r="G68" s="5"/>
    </row>
    <row r="69" spans="1:7" ht="12.75">
      <c r="A69" s="6"/>
      <c r="B69" s="5"/>
      <c r="C69" s="5"/>
      <c r="D69" s="5"/>
      <c r="E69" s="5"/>
      <c r="F69" s="5"/>
      <c r="G69" s="5"/>
    </row>
    <row r="70" spans="1:7" ht="12.75">
      <c r="A70" s="6"/>
      <c r="B70" s="5"/>
      <c r="C70" s="5"/>
      <c r="D70" s="5"/>
      <c r="E70" s="5"/>
      <c r="F70" s="5"/>
      <c r="G70" s="5"/>
    </row>
    <row r="71" spans="1:7" ht="12.75">
      <c r="A71" s="6"/>
      <c r="B71" s="5"/>
      <c r="C71" s="5"/>
      <c r="D71" s="5"/>
      <c r="E71" s="5"/>
      <c r="F71" s="5"/>
      <c r="G71" s="5"/>
    </row>
    <row r="72" spans="1:7" ht="12.75">
      <c r="A72" s="6"/>
      <c r="B72" s="5"/>
      <c r="C72" s="5"/>
      <c r="D72" s="5"/>
      <c r="E72" s="5"/>
      <c r="F72" s="5"/>
      <c r="G72" s="5"/>
    </row>
    <row r="73" spans="1:7" ht="12.75">
      <c r="A73" s="6"/>
      <c r="B73" s="5"/>
      <c r="C73" s="5"/>
      <c r="D73" s="5"/>
      <c r="E73" s="5"/>
      <c r="F73" s="5"/>
      <c r="G73" s="5"/>
    </row>
    <row r="74" spans="1:7" ht="12.75">
      <c r="A74" s="6"/>
      <c r="B74" s="5"/>
      <c r="C74" s="5"/>
      <c r="D74" s="5"/>
      <c r="E74" s="5"/>
      <c r="F74" s="5"/>
      <c r="G74" s="5"/>
    </row>
    <row r="75" spans="1:7" ht="12.75">
      <c r="A75" s="6"/>
      <c r="B75" s="5"/>
      <c r="C75" s="5"/>
      <c r="D75" s="5"/>
      <c r="E75" s="5"/>
      <c r="F75" s="5"/>
      <c r="G75" s="5"/>
    </row>
    <row r="76" spans="1:7" ht="12.75">
      <c r="A76" s="6"/>
      <c r="B76" s="5"/>
      <c r="C76" s="5"/>
      <c r="D76" s="5"/>
      <c r="E76" s="5"/>
      <c r="F76" s="5"/>
      <c r="G76" s="5"/>
    </row>
    <row r="77" spans="1:7" ht="12.75">
      <c r="A77" s="6"/>
      <c r="B77" s="5"/>
      <c r="C77" s="5"/>
      <c r="D77" s="5"/>
      <c r="E77" s="5"/>
      <c r="F77" s="5"/>
      <c r="G77" s="5"/>
    </row>
    <row r="78" spans="1:7" ht="12.75">
      <c r="A78" s="6"/>
      <c r="B78" s="5"/>
      <c r="C78" s="5"/>
      <c r="D78" s="5"/>
      <c r="E78" s="5"/>
      <c r="F78" s="5"/>
      <c r="G78" s="5"/>
    </row>
    <row r="79" ht="12.75">
      <c r="A79" s="6"/>
    </row>
    <row r="80" ht="12.75">
      <c r="A80" s="6"/>
    </row>
    <row r="81" ht="12.75">
      <c r="A81" s="6"/>
    </row>
    <row r="82" ht="12.75">
      <c r="A82" s="6"/>
    </row>
    <row r="83" ht="12.75">
      <c r="A83" s="6"/>
    </row>
    <row r="84" ht="12.75">
      <c r="A84" s="6"/>
    </row>
    <row r="85" ht="12.75">
      <c r="A85" s="6"/>
    </row>
    <row r="86" ht="12.75">
      <c r="A86" s="6"/>
    </row>
    <row r="87" ht="12.75">
      <c r="A87" s="6"/>
    </row>
    <row r="88" ht="12.75">
      <c r="A88" s="6"/>
    </row>
    <row r="89" ht="12.75">
      <c r="A89" s="6"/>
    </row>
    <row r="90" ht="12.75">
      <c r="A90" s="6"/>
    </row>
    <row r="91" ht="12.75">
      <c r="A91" s="6"/>
    </row>
    <row r="92" ht="12.75">
      <c r="A92" s="6"/>
    </row>
    <row r="93" ht="12.75">
      <c r="A93" s="6"/>
    </row>
    <row r="94" ht="12.75">
      <c r="A94" s="6"/>
    </row>
    <row r="95" ht="12.75">
      <c r="A95" s="6"/>
    </row>
    <row r="96" ht="12.75">
      <c r="A96" s="6"/>
    </row>
    <row r="97" ht="12.75">
      <c r="A97" s="6"/>
    </row>
    <row r="98" ht="12.75">
      <c r="A98" s="6"/>
    </row>
    <row r="99" ht="12.75">
      <c r="A99" s="6"/>
    </row>
    <row r="100" ht="12.75">
      <c r="A100" s="6"/>
    </row>
    <row r="101" ht="12.75">
      <c r="A101" s="6"/>
    </row>
    <row r="102" ht="12.75">
      <c r="A102" s="6"/>
    </row>
    <row r="103" ht="12.75">
      <c r="A103" s="6"/>
    </row>
    <row r="104" ht="12.75">
      <c r="A104" s="6"/>
    </row>
    <row r="105" ht="12.75">
      <c r="A105" s="6"/>
    </row>
    <row r="106" ht="12.75">
      <c r="A106" s="6"/>
    </row>
    <row r="107" ht="12.75">
      <c r="A107" s="6"/>
    </row>
    <row r="108" ht="12.75">
      <c r="A108" s="6"/>
    </row>
    <row r="109" ht="12.75">
      <c r="A109" s="6"/>
    </row>
    <row r="110" ht="12.75">
      <c r="A110" s="6"/>
    </row>
  </sheetData>
  <mergeCells count="2">
    <mergeCell ref="B1:D1"/>
    <mergeCell ref="E1:G1"/>
  </mergeCells>
  <printOptions/>
  <pageMargins left="0.75" right="0.75" top="1" bottom="1" header="0.5" footer="0.5"/>
  <pageSetup fitToHeight="1" fitToWidth="1" horizontalDpi="600" verticalDpi="600" orientation="landscape" paperSize="9" scale="86"/>
</worksheet>
</file>

<file path=xl/worksheets/sheet7.xml><?xml version="1.0" encoding="utf-8"?>
<worksheet xmlns="http://schemas.openxmlformats.org/spreadsheetml/2006/main" xmlns:r="http://schemas.openxmlformats.org/officeDocument/2006/relationships">
  <sheetPr>
    <pageSetUpPr fitToPage="1"/>
  </sheetPr>
  <dimension ref="A1:N224"/>
  <sheetViews>
    <sheetView zoomScale="80" zoomScaleNormal="80" workbookViewId="0" topLeftCell="A167">
      <selection activeCell="D201" sqref="D201"/>
    </sheetView>
  </sheetViews>
  <sheetFormatPr defaultColWidth="9.140625" defaultRowHeight="12.75"/>
  <cols>
    <col min="1" max="1" width="22.421875" style="0" customWidth="1"/>
    <col min="2" max="2" width="20.28125" style="0" customWidth="1"/>
    <col min="3" max="3" width="35.00390625" style="0" customWidth="1"/>
    <col min="4" max="4" width="13.7109375" style="0" bestFit="1" customWidth="1"/>
    <col min="5" max="5" width="12.00390625" style="0" bestFit="1" customWidth="1"/>
    <col min="6" max="6" width="22.140625" style="0" customWidth="1"/>
    <col min="7" max="7" width="8.8515625" style="0" customWidth="1"/>
    <col min="8" max="8" width="11.8515625" style="0" bestFit="1" customWidth="1"/>
    <col min="9" max="13" width="11.421875" style="0" customWidth="1"/>
    <col min="14" max="16384" width="8.8515625" style="0" customWidth="1"/>
  </cols>
  <sheetData>
    <row r="1" spans="1:6" ht="12.75">
      <c r="A1" t="s">
        <v>322</v>
      </c>
      <c r="C1" t="s">
        <v>333</v>
      </c>
      <c r="D1" s="24">
        <v>1E-09</v>
      </c>
      <c r="E1" s="37">
        <f>D1*1000000000</f>
        <v>1</v>
      </c>
      <c r="F1" t="s">
        <v>203</v>
      </c>
    </row>
    <row r="2" spans="3:6" ht="13.5" thickBot="1">
      <c r="C2" t="s">
        <v>223</v>
      </c>
      <c r="D2" s="24">
        <f>+D1/2</f>
        <v>5E-10</v>
      </c>
      <c r="E2" s="37">
        <f>D2*1000000000</f>
        <v>0.5</v>
      </c>
      <c r="F2" t="s">
        <v>202</v>
      </c>
    </row>
    <row r="3" spans="1:4" ht="13.5" thickTop="1">
      <c r="A3" s="29" t="s">
        <v>341</v>
      </c>
      <c r="B3" s="29"/>
      <c r="C3" s="29" t="s">
        <v>324</v>
      </c>
      <c r="D3" s="30">
        <v>0.2</v>
      </c>
    </row>
    <row r="4" spans="3:4" ht="12.75">
      <c r="C4" t="s">
        <v>325</v>
      </c>
      <c r="D4" s="26">
        <v>5000000</v>
      </c>
    </row>
    <row r="5" spans="3:14" ht="12.75">
      <c r="C5" t="s">
        <v>326</v>
      </c>
      <c r="D5" s="26">
        <v>20000000</v>
      </c>
      <c r="G5" s="5"/>
      <c r="H5" s="5" t="s">
        <v>328</v>
      </c>
      <c r="I5" s="5" t="s">
        <v>334</v>
      </c>
      <c r="J5" s="5" t="s">
        <v>337</v>
      </c>
      <c r="K5" s="5" t="s">
        <v>338</v>
      </c>
      <c r="L5" s="5" t="s">
        <v>339</v>
      </c>
      <c r="M5" s="5" t="s">
        <v>340</v>
      </c>
      <c r="N5" s="5"/>
    </row>
    <row r="6" spans="3:14" ht="12.75">
      <c r="C6" t="s">
        <v>323</v>
      </c>
      <c r="D6" s="24">
        <f>+D3/(D4+D5)</f>
        <v>8E-09</v>
      </c>
      <c r="E6" s="37">
        <f>D6*1000000000</f>
        <v>8</v>
      </c>
      <c r="G6" s="5" t="s">
        <v>349</v>
      </c>
      <c r="H6" s="32">
        <f>+D15*1000000000</f>
        <v>96.00000000000001</v>
      </c>
      <c r="I6" s="32">
        <f>+D22*1000000000</f>
        <v>192.00000000000003</v>
      </c>
      <c r="J6" s="32">
        <f>+D37*1000000000</f>
        <v>384.00000000000006</v>
      </c>
      <c r="K6" s="32">
        <f>+D44*1000000000</f>
        <v>192.00000000000003</v>
      </c>
      <c r="L6" s="32">
        <f>+D51*1000000000</f>
        <v>384.00000000000006</v>
      </c>
      <c r="M6" s="32">
        <f>+D66*1000000000</f>
        <v>32</v>
      </c>
      <c r="N6" s="32"/>
    </row>
    <row r="7" spans="3:14" ht="12.75">
      <c r="C7" t="s">
        <v>348</v>
      </c>
      <c r="D7" s="28">
        <v>0.5</v>
      </c>
      <c r="G7" s="5" t="s">
        <v>350</v>
      </c>
      <c r="H7" s="32">
        <f>+D16*1000000000</f>
        <v>24.000000000000004</v>
      </c>
      <c r="I7" s="32">
        <f>+D23*1000000000</f>
        <v>48.00000000000001</v>
      </c>
      <c r="J7" s="32">
        <f>+D38*1000000000</f>
        <v>96.00000000000001</v>
      </c>
      <c r="K7" s="32">
        <f>+D45*1000000000</f>
        <v>48.00000000000001</v>
      </c>
      <c r="L7" s="32">
        <f>+D52*1000000000</f>
        <v>96.00000000000001</v>
      </c>
      <c r="M7" s="32">
        <f>+D67*1000000000</f>
        <v>8</v>
      </c>
      <c r="N7" s="32"/>
    </row>
    <row r="8" spans="3:14" ht="12.75">
      <c r="C8" t="s">
        <v>335</v>
      </c>
      <c r="D8" s="25">
        <f>+D7*D3</f>
        <v>0.1</v>
      </c>
      <c r="H8" s="31"/>
      <c r="I8" s="31"/>
      <c r="J8" s="31"/>
      <c r="K8" s="31"/>
      <c r="L8" s="31"/>
      <c r="M8" s="31"/>
      <c r="N8" s="31"/>
    </row>
    <row r="9" spans="3:5" ht="12.75">
      <c r="C9" t="s">
        <v>327</v>
      </c>
      <c r="D9" s="24">
        <f>+D8/(D4+D5)</f>
        <v>4E-09</v>
      </c>
      <c r="E9" s="37">
        <f>D9*1000000000</f>
        <v>4</v>
      </c>
    </row>
    <row r="10" spans="2:4" ht="12.75">
      <c r="B10" t="s">
        <v>328</v>
      </c>
      <c r="C10" t="s">
        <v>329</v>
      </c>
      <c r="D10" s="27">
        <v>1</v>
      </c>
    </row>
    <row r="11" spans="3:4" ht="12.75">
      <c r="C11" t="s">
        <v>347</v>
      </c>
      <c r="D11" s="27">
        <v>24</v>
      </c>
    </row>
    <row r="12" spans="3:4" ht="12.75">
      <c r="C12" t="s">
        <v>332</v>
      </c>
      <c r="D12" s="27">
        <f>+D11*D10</f>
        <v>24</v>
      </c>
    </row>
    <row r="13" spans="3:4" ht="12.75">
      <c r="C13" t="s">
        <v>330</v>
      </c>
      <c r="D13" s="27">
        <v>2</v>
      </c>
    </row>
    <row r="14" spans="3:4" ht="12.75">
      <c r="C14" t="s">
        <v>331</v>
      </c>
      <c r="D14" s="27">
        <v>2</v>
      </c>
    </row>
    <row r="15" spans="3:6" ht="12.75">
      <c r="C15" t="s">
        <v>333</v>
      </c>
      <c r="D15" s="24">
        <f>+$D$6*D12/D13</f>
        <v>9.600000000000001E-08</v>
      </c>
      <c r="E15" s="37">
        <f>D15*1000000000</f>
        <v>96.00000000000001</v>
      </c>
      <c r="F15" t="s">
        <v>204</v>
      </c>
    </row>
    <row r="16" spans="3:6" ht="12.75">
      <c r="C16" t="s">
        <v>336</v>
      </c>
      <c r="D16" s="24">
        <f>+D12*$D$9/(D13+D14)</f>
        <v>2.4000000000000003E-08</v>
      </c>
      <c r="E16" s="37">
        <f>D16*1000000000</f>
        <v>24.000000000000004</v>
      </c>
      <c r="F16" t="s">
        <v>205</v>
      </c>
    </row>
    <row r="17" spans="2:4" ht="12.75">
      <c r="B17" t="s">
        <v>334</v>
      </c>
      <c r="C17" t="s">
        <v>329</v>
      </c>
      <c r="D17" s="27">
        <v>2</v>
      </c>
    </row>
    <row r="18" spans="3:4" ht="12.75">
      <c r="C18" t="s">
        <v>347</v>
      </c>
      <c r="D18" s="27">
        <v>24</v>
      </c>
    </row>
    <row r="19" spans="3:4" ht="12.75">
      <c r="C19" t="s">
        <v>332</v>
      </c>
      <c r="D19" s="27">
        <f>+D18*D17</f>
        <v>48</v>
      </c>
    </row>
    <row r="20" spans="3:4" ht="12.75">
      <c r="C20" t="s">
        <v>330</v>
      </c>
      <c r="D20" s="27">
        <v>2</v>
      </c>
    </row>
    <row r="21" spans="3:4" ht="12.75">
      <c r="C21" t="s">
        <v>331</v>
      </c>
      <c r="D21" s="27">
        <v>2</v>
      </c>
    </row>
    <row r="22" spans="3:6" ht="12.75">
      <c r="C22" t="s">
        <v>333</v>
      </c>
      <c r="D22" s="24">
        <f>+$D$6*D19/D20</f>
        <v>1.9200000000000003E-07</v>
      </c>
      <c r="E22" s="37">
        <f>D22*1000000000</f>
        <v>192.00000000000003</v>
      </c>
      <c r="F22" t="s">
        <v>206</v>
      </c>
    </row>
    <row r="23" spans="3:6" ht="12.75">
      <c r="C23" t="s">
        <v>336</v>
      </c>
      <c r="D23" s="24">
        <f>+D19*$D$9/(D20+D21)</f>
        <v>4.8000000000000006E-08</v>
      </c>
      <c r="E23" s="37">
        <f>D23*1000000000</f>
        <v>48.00000000000001</v>
      </c>
      <c r="F23" t="s">
        <v>38</v>
      </c>
    </row>
    <row r="24" spans="3:6" ht="13.5" thickBot="1">
      <c r="C24" t="s">
        <v>263</v>
      </c>
      <c r="D24" s="34">
        <v>0.5</v>
      </c>
      <c r="E24" s="37"/>
      <c r="F24" t="s">
        <v>212</v>
      </c>
    </row>
    <row r="25" spans="1:4" ht="13.5" thickTop="1">
      <c r="A25" s="29" t="s">
        <v>342</v>
      </c>
      <c r="B25" s="29"/>
      <c r="C25" s="29" t="s">
        <v>324</v>
      </c>
      <c r="D25" s="30">
        <v>0.2</v>
      </c>
    </row>
    <row r="26" spans="3:4" ht="12.75">
      <c r="C26" t="s">
        <v>325</v>
      </c>
      <c r="D26" s="26">
        <v>5000000</v>
      </c>
    </row>
    <row r="27" spans="3:4" ht="12.75">
      <c r="C27" t="s">
        <v>326</v>
      </c>
      <c r="D27" s="26">
        <v>20000000</v>
      </c>
    </row>
    <row r="28" spans="3:5" ht="12.75">
      <c r="C28" t="s">
        <v>323</v>
      </c>
      <c r="D28" s="24">
        <f>+D25/(D26+D27)</f>
        <v>8E-09</v>
      </c>
      <c r="E28" s="37">
        <f>D28*1000000000</f>
        <v>8</v>
      </c>
    </row>
    <row r="29" spans="3:4" ht="12.75">
      <c r="C29" t="s">
        <v>344</v>
      </c>
      <c r="D29" s="28">
        <v>0.5</v>
      </c>
    </row>
    <row r="30" spans="3:4" ht="12.75">
      <c r="C30" t="s">
        <v>335</v>
      </c>
      <c r="D30" s="25">
        <f>+D29*D25</f>
        <v>0.1</v>
      </c>
    </row>
    <row r="31" spans="3:5" ht="12.75">
      <c r="C31" t="s">
        <v>327</v>
      </c>
      <c r="D31" s="24">
        <f>+D30/(D26+D27)</f>
        <v>4E-09</v>
      </c>
      <c r="E31" s="37">
        <f>D31*1000000000</f>
        <v>4</v>
      </c>
    </row>
    <row r="32" spans="2:4" ht="12.75">
      <c r="B32" t="s">
        <v>337</v>
      </c>
      <c r="C32" t="s">
        <v>329</v>
      </c>
      <c r="D32" s="27">
        <v>4</v>
      </c>
    </row>
    <row r="33" spans="3:4" ht="12.75">
      <c r="C33" t="s">
        <v>347</v>
      </c>
      <c r="D33" s="27">
        <v>24</v>
      </c>
    </row>
    <row r="34" spans="3:4" ht="12.75">
      <c r="C34" t="s">
        <v>332</v>
      </c>
      <c r="D34" s="27">
        <f>+D33*D32</f>
        <v>96</v>
      </c>
    </row>
    <row r="35" spans="3:4" ht="12.75">
      <c r="C35" t="s">
        <v>330</v>
      </c>
      <c r="D35" s="27">
        <v>2</v>
      </c>
    </row>
    <row r="36" spans="3:4" ht="12.75">
      <c r="C36" t="s">
        <v>331</v>
      </c>
      <c r="D36" s="27">
        <v>2</v>
      </c>
    </row>
    <row r="37" spans="3:6" ht="12.75">
      <c r="C37" t="s">
        <v>333</v>
      </c>
      <c r="D37" s="24">
        <f>+$D$6*D34/D35</f>
        <v>3.8400000000000005E-07</v>
      </c>
      <c r="E37" s="37">
        <f>D37*1000000000</f>
        <v>384.00000000000006</v>
      </c>
      <c r="F37" t="s">
        <v>39</v>
      </c>
    </row>
    <row r="38" spans="3:6" ht="12.75">
      <c r="C38" t="s">
        <v>336</v>
      </c>
      <c r="D38" s="24">
        <f>+D34*$D$9/(D35+D36)</f>
        <v>9.600000000000001E-08</v>
      </c>
      <c r="E38" s="37">
        <f>D38*1000000000</f>
        <v>96.00000000000001</v>
      </c>
      <c r="F38" t="s">
        <v>390</v>
      </c>
    </row>
    <row r="39" spans="2:4" ht="12.75">
      <c r="B39" t="s">
        <v>338</v>
      </c>
      <c r="C39" t="s">
        <v>329</v>
      </c>
      <c r="D39" s="27">
        <v>2</v>
      </c>
    </row>
    <row r="40" spans="3:4" ht="12.75">
      <c r="C40" t="s">
        <v>347</v>
      </c>
      <c r="D40" s="27">
        <v>24</v>
      </c>
    </row>
    <row r="41" spans="3:4" ht="12.75">
      <c r="C41" t="s">
        <v>332</v>
      </c>
      <c r="D41" s="27">
        <f>+D40*D39</f>
        <v>48</v>
      </c>
    </row>
    <row r="42" spans="3:4" ht="12.75">
      <c r="C42" t="s">
        <v>330</v>
      </c>
      <c r="D42" s="27">
        <v>2</v>
      </c>
    </row>
    <row r="43" spans="3:4" ht="12.75">
      <c r="C43" t="s">
        <v>331</v>
      </c>
      <c r="D43" s="27">
        <v>2</v>
      </c>
    </row>
    <row r="44" spans="3:6" ht="12.75">
      <c r="C44" t="s">
        <v>333</v>
      </c>
      <c r="D44" s="24">
        <f>+$D$6*D41/D42</f>
        <v>1.9200000000000003E-07</v>
      </c>
      <c r="E44" s="37">
        <f>D44*1000000000</f>
        <v>192.00000000000003</v>
      </c>
      <c r="F44" t="s">
        <v>391</v>
      </c>
    </row>
    <row r="45" spans="3:6" ht="12.75">
      <c r="C45" t="s">
        <v>336</v>
      </c>
      <c r="D45" s="24">
        <f>+D41*$D$9/(D42+D43)</f>
        <v>4.8000000000000006E-08</v>
      </c>
      <c r="E45" s="37">
        <f>D45*1000000000</f>
        <v>48.00000000000001</v>
      </c>
      <c r="F45" t="s">
        <v>392</v>
      </c>
    </row>
    <row r="46" spans="2:4" ht="12.75">
      <c r="B46" t="s">
        <v>339</v>
      </c>
      <c r="C46" t="s">
        <v>329</v>
      </c>
      <c r="D46" s="27">
        <v>6</v>
      </c>
    </row>
    <row r="47" spans="3:4" ht="12.75">
      <c r="C47" t="s">
        <v>347</v>
      </c>
      <c r="D47" s="27">
        <v>24</v>
      </c>
    </row>
    <row r="48" spans="3:4" ht="12.75">
      <c r="C48" t="s">
        <v>332</v>
      </c>
      <c r="D48" s="27">
        <f>+D47*D46</f>
        <v>144</v>
      </c>
    </row>
    <row r="49" spans="3:4" ht="12.75">
      <c r="C49" t="s">
        <v>330</v>
      </c>
      <c r="D49" s="27">
        <v>3</v>
      </c>
    </row>
    <row r="50" spans="3:4" ht="12.75">
      <c r="C50" t="s">
        <v>331</v>
      </c>
      <c r="D50" s="27">
        <v>3</v>
      </c>
    </row>
    <row r="51" spans="3:6" ht="12.75">
      <c r="C51" t="s">
        <v>333</v>
      </c>
      <c r="D51" s="24">
        <f>+$D$6*D48/D49</f>
        <v>3.8400000000000005E-07</v>
      </c>
      <c r="E51" s="37">
        <f>D51*1000000000</f>
        <v>384.00000000000006</v>
      </c>
      <c r="F51" t="s">
        <v>393</v>
      </c>
    </row>
    <row r="52" spans="3:6" ht="12.75">
      <c r="C52" t="s">
        <v>336</v>
      </c>
      <c r="D52" s="24">
        <f>+D48*$D$9/(D49+D50)</f>
        <v>9.600000000000001E-08</v>
      </c>
      <c r="E52" s="37">
        <f>D52*1000000000</f>
        <v>96.00000000000001</v>
      </c>
      <c r="F52" t="s">
        <v>394</v>
      </c>
    </row>
    <row r="53" spans="3:6" ht="13.5" thickBot="1">
      <c r="C53" t="s">
        <v>263</v>
      </c>
      <c r="D53" s="34">
        <v>0.5</v>
      </c>
      <c r="E53" s="37"/>
      <c r="F53" t="s">
        <v>213</v>
      </c>
    </row>
    <row r="54" spans="1:4" ht="13.5" thickTop="1">
      <c r="A54" s="29" t="s">
        <v>343</v>
      </c>
      <c r="B54" s="29"/>
      <c r="C54" s="29" t="s">
        <v>324</v>
      </c>
      <c r="D54" s="30">
        <v>0.5</v>
      </c>
    </row>
    <row r="55" spans="3:4" ht="12.75">
      <c r="C55" t="s">
        <v>345</v>
      </c>
      <c r="D55" s="26">
        <v>5000000</v>
      </c>
    </row>
    <row r="56" spans="3:4" ht="12.75">
      <c r="C56" t="s">
        <v>326</v>
      </c>
      <c r="D56" s="26">
        <v>20000000</v>
      </c>
    </row>
    <row r="57" spans="3:5" ht="12.75">
      <c r="C57" t="s">
        <v>346</v>
      </c>
      <c r="D57" s="24">
        <f>+D54/(D55+D56)</f>
        <v>2E-08</v>
      </c>
      <c r="E57" s="37">
        <f>D57*1000000000</f>
        <v>20</v>
      </c>
    </row>
    <row r="58" spans="3:4" ht="12.75">
      <c r="C58" t="s">
        <v>344</v>
      </c>
      <c r="D58" s="28">
        <v>0.5</v>
      </c>
    </row>
    <row r="59" spans="3:4" ht="12.75">
      <c r="C59" t="s">
        <v>335</v>
      </c>
      <c r="D59" s="25">
        <f>+D58*D54</f>
        <v>0.25</v>
      </c>
    </row>
    <row r="60" spans="3:5" ht="12.75">
      <c r="C60" t="s">
        <v>327</v>
      </c>
      <c r="D60" s="24">
        <f>+D59/(D55+D56)</f>
        <v>1E-08</v>
      </c>
      <c r="E60" s="37">
        <f>D60*1000000000</f>
        <v>10</v>
      </c>
    </row>
    <row r="61" spans="2:4" ht="12.75">
      <c r="B61" t="s">
        <v>340</v>
      </c>
      <c r="C61" t="s">
        <v>329</v>
      </c>
      <c r="D61" s="27">
        <v>1</v>
      </c>
    </row>
    <row r="62" spans="3:4" ht="12.75">
      <c r="C62" t="s">
        <v>347</v>
      </c>
      <c r="D62" s="27">
        <v>4</v>
      </c>
    </row>
    <row r="63" spans="3:4" ht="12.75">
      <c r="C63" t="s">
        <v>332</v>
      </c>
      <c r="D63" s="27">
        <f>+D61*D62</f>
        <v>4</v>
      </c>
    </row>
    <row r="64" spans="3:4" ht="12.75">
      <c r="C64" t="s">
        <v>330</v>
      </c>
      <c r="D64" s="27">
        <v>1</v>
      </c>
    </row>
    <row r="65" spans="3:4" ht="12.75">
      <c r="C65" t="s">
        <v>331</v>
      </c>
      <c r="D65" s="27">
        <v>1</v>
      </c>
    </row>
    <row r="66" spans="3:6" ht="12.75">
      <c r="C66" t="s">
        <v>333</v>
      </c>
      <c r="D66" s="24">
        <f>+$D$6*D63/D64</f>
        <v>3.2E-08</v>
      </c>
      <c r="E66" s="37">
        <f>D66*1000000000</f>
        <v>32</v>
      </c>
      <c r="F66" t="s">
        <v>201</v>
      </c>
    </row>
    <row r="67" spans="3:6" ht="13.5" thickBot="1">
      <c r="C67" t="s">
        <v>336</v>
      </c>
      <c r="D67" s="24">
        <f>+D63*$D$9/(D64+D65)</f>
        <v>8E-09</v>
      </c>
      <c r="E67" s="37">
        <f>D67*1000000000</f>
        <v>8</v>
      </c>
      <c r="F67" t="s">
        <v>200</v>
      </c>
    </row>
    <row r="68" spans="1:5" ht="13.5" thickTop="1">
      <c r="A68" s="29" t="s">
        <v>171</v>
      </c>
      <c r="B68" s="29"/>
      <c r="C68" s="29" t="s">
        <v>172</v>
      </c>
      <c r="D68" s="35">
        <v>0.01</v>
      </c>
      <c r="E68" s="36">
        <f>D68*1000</f>
        <v>10</v>
      </c>
    </row>
    <row r="69" spans="1:6" ht="12.75">
      <c r="A69" s="23"/>
      <c r="B69" s="23"/>
      <c r="C69" t="s">
        <v>263</v>
      </c>
      <c r="D69" s="19">
        <f>5/(48*60)</f>
        <v>0.001736111111111111</v>
      </c>
      <c r="F69" t="s">
        <v>214</v>
      </c>
    </row>
    <row r="70" spans="3:4" ht="12.75">
      <c r="C70" t="s">
        <v>175</v>
      </c>
      <c r="D70" s="34">
        <v>0.5</v>
      </c>
    </row>
    <row r="71" spans="3:5" ht="12.75">
      <c r="C71" t="s">
        <v>176</v>
      </c>
      <c r="D71" s="24">
        <f>+D70*D68</f>
        <v>0.005</v>
      </c>
      <c r="E71" s="46">
        <f>D71*1000</f>
        <v>5</v>
      </c>
    </row>
    <row r="72" spans="3:5" ht="12.75">
      <c r="C72" t="s">
        <v>173</v>
      </c>
      <c r="D72" s="27">
        <v>3</v>
      </c>
      <c r="E72" s="46"/>
    </row>
    <row r="73" spans="2:5" ht="12.75">
      <c r="B73" t="s">
        <v>334</v>
      </c>
      <c r="C73" t="s">
        <v>174</v>
      </c>
      <c r="D73" s="27">
        <v>2</v>
      </c>
      <c r="E73" s="46"/>
    </row>
    <row r="74" spans="3:5" ht="12.75">
      <c r="C74" t="s">
        <v>330</v>
      </c>
      <c r="D74" s="27">
        <v>1</v>
      </c>
      <c r="E74" s="46"/>
    </row>
    <row r="75" spans="3:5" ht="12.75">
      <c r="C75" t="s">
        <v>331</v>
      </c>
      <c r="D75" s="27">
        <v>1</v>
      </c>
      <c r="E75" s="46"/>
    </row>
    <row r="76" spans="3:6" ht="12.75">
      <c r="C76" t="s">
        <v>333</v>
      </c>
      <c r="D76" s="24">
        <f>+$D$68*D73/$D$72/D74</f>
        <v>0.006666666666666667</v>
      </c>
      <c r="E76" s="46">
        <f>D76*1000</f>
        <v>6.666666666666667</v>
      </c>
      <c r="F76" t="s">
        <v>224</v>
      </c>
    </row>
    <row r="77" spans="3:6" ht="12.75">
      <c r="C77" t="s">
        <v>336</v>
      </c>
      <c r="D77" s="24">
        <f>+$D$71*D73/$D$72/(D75+D74)</f>
        <v>0.0016666666666666668</v>
      </c>
      <c r="E77" s="46">
        <f>D77*1000</f>
        <v>1.6666666666666667</v>
      </c>
      <c r="F77" t="s">
        <v>225</v>
      </c>
    </row>
    <row r="78" spans="3:5" ht="12.75">
      <c r="C78" t="s">
        <v>263</v>
      </c>
      <c r="D78" s="19">
        <f>5/(48*60)</f>
        <v>0.001736111111111111</v>
      </c>
      <c r="E78" s="46"/>
    </row>
    <row r="79" spans="2:5" ht="12.75">
      <c r="B79" t="s">
        <v>328</v>
      </c>
      <c r="C79" t="s">
        <v>177</v>
      </c>
      <c r="D79" s="27">
        <v>1</v>
      </c>
      <c r="E79" s="46"/>
    </row>
    <row r="80" spans="3:5" ht="12.75">
      <c r="C80" t="s">
        <v>330</v>
      </c>
      <c r="D80" s="27">
        <v>1</v>
      </c>
      <c r="E80" s="46"/>
    </row>
    <row r="81" spans="3:5" ht="12.75">
      <c r="C81" t="s">
        <v>331</v>
      </c>
      <c r="D81" s="27">
        <v>1</v>
      </c>
      <c r="E81" s="46"/>
    </row>
    <row r="82" spans="3:6" ht="12.75">
      <c r="C82" t="s">
        <v>333</v>
      </c>
      <c r="D82" s="24">
        <f>+$D$68*D79/$D$72/D80</f>
        <v>0.0033333333333333335</v>
      </c>
      <c r="E82" s="46">
        <f>D82*1000</f>
        <v>3.3333333333333335</v>
      </c>
      <c r="F82" t="s">
        <v>226</v>
      </c>
    </row>
    <row r="83" spans="3:6" ht="13.5" thickBot="1">
      <c r="C83" t="s">
        <v>336</v>
      </c>
      <c r="D83" s="24">
        <f>+$D$71*D79/$D$72/(D81+D80)</f>
        <v>0.0008333333333333334</v>
      </c>
      <c r="E83" s="46">
        <f>D83*1000</f>
        <v>0.8333333333333334</v>
      </c>
      <c r="F83" t="s">
        <v>227</v>
      </c>
    </row>
    <row r="84" spans="1:5" ht="13.5" thickTop="1">
      <c r="A84" s="29" t="s">
        <v>170</v>
      </c>
      <c r="B84" s="29"/>
      <c r="C84" s="29" t="s">
        <v>172</v>
      </c>
      <c r="D84" s="35">
        <v>0.025</v>
      </c>
      <c r="E84" s="46">
        <f>D84*1000</f>
        <v>25</v>
      </c>
    </row>
    <row r="85" spans="1:6" ht="12.75">
      <c r="A85" s="23"/>
      <c r="B85" s="23"/>
      <c r="C85" t="s">
        <v>263</v>
      </c>
      <c r="D85" s="19">
        <f>5/(48*60)</f>
        <v>0.001736111111111111</v>
      </c>
      <c r="E85" s="46"/>
      <c r="F85" t="s">
        <v>215</v>
      </c>
    </row>
    <row r="86" spans="3:5" ht="12.75">
      <c r="C86" t="s">
        <v>175</v>
      </c>
      <c r="D86" s="34">
        <v>0.5</v>
      </c>
      <c r="E86" s="46"/>
    </row>
    <row r="87" spans="3:5" ht="12.75">
      <c r="C87" t="s">
        <v>176</v>
      </c>
      <c r="D87" s="24">
        <f>+D86*D84</f>
        <v>0.0125</v>
      </c>
      <c r="E87" s="46">
        <f>D87*1000</f>
        <v>12.5</v>
      </c>
    </row>
    <row r="88" spans="3:5" ht="12.75">
      <c r="C88" t="s">
        <v>173</v>
      </c>
      <c r="D88" s="27">
        <v>13</v>
      </c>
      <c r="E88" s="46"/>
    </row>
    <row r="89" spans="2:5" ht="12.75">
      <c r="B89" t="s">
        <v>337</v>
      </c>
      <c r="C89" t="s">
        <v>178</v>
      </c>
      <c r="D89" s="27">
        <v>4</v>
      </c>
      <c r="E89" s="46"/>
    </row>
    <row r="90" spans="3:5" ht="12.75">
      <c r="C90" t="s">
        <v>330</v>
      </c>
      <c r="D90" s="27">
        <v>2</v>
      </c>
      <c r="E90" s="46"/>
    </row>
    <row r="91" spans="3:5" ht="12.75">
      <c r="C91" t="s">
        <v>331</v>
      </c>
      <c r="D91" s="27">
        <v>2</v>
      </c>
      <c r="E91" s="46"/>
    </row>
    <row r="92" spans="3:6" ht="12.75">
      <c r="C92" t="s">
        <v>333</v>
      </c>
      <c r="D92" s="24">
        <f>+$D$84*D89/$D$88/D90</f>
        <v>0.0038461538461538464</v>
      </c>
      <c r="E92" s="46">
        <f>D92*1000</f>
        <v>3.8461538461538463</v>
      </c>
      <c r="F92" t="s">
        <v>228</v>
      </c>
    </row>
    <row r="93" spans="3:6" ht="12.75">
      <c r="C93" t="s">
        <v>336</v>
      </c>
      <c r="D93" s="24">
        <f>+$D$87*D89/$D$88/(D91+D90)</f>
        <v>0.0009615384615384616</v>
      </c>
      <c r="E93" s="46">
        <f>D93*1000</f>
        <v>0.9615384615384616</v>
      </c>
      <c r="F93" t="s">
        <v>229</v>
      </c>
    </row>
    <row r="94" spans="2:5" ht="12.75">
      <c r="B94" t="s">
        <v>338</v>
      </c>
      <c r="C94" t="s">
        <v>179</v>
      </c>
      <c r="D94" s="27">
        <v>4</v>
      </c>
      <c r="E94" s="46"/>
    </row>
    <row r="95" spans="3:5" ht="12.75">
      <c r="C95" t="s">
        <v>330</v>
      </c>
      <c r="D95" s="27">
        <v>2</v>
      </c>
      <c r="E95" s="46"/>
    </row>
    <row r="96" spans="3:5" ht="12.75">
      <c r="C96" t="s">
        <v>331</v>
      </c>
      <c r="D96" s="27">
        <v>2</v>
      </c>
      <c r="E96" s="46"/>
    </row>
    <row r="97" spans="3:6" ht="12.75">
      <c r="C97" t="s">
        <v>333</v>
      </c>
      <c r="D97" s="24">
        <f>+$D$84*D94/$D$88/D95</f>
        <v>0.0038461538461538464</v>
      </c>
      <c r="E97" s="46">
        <f>D97*1000</f>
        <v>3.8461538461538463</v>
      </c>
      <c r="F97" t="s">
        <v>230</v>
      </c>
    </row>
    <row r="98" spans="3:6" ht="12.75">
      <c r="C98" t="s">
        <v>336</v>
      </c>
      <c r="D98" s="24">
        <f>+$D$87*D94/$D$88/(D96+D95)</f>
        <v>0.0009615384615384616</v>
      </c>
      <c r="E98" s="46">
        <f>D98*1000</f>
        <v>0.9615384615384616</v>
      </c>
      <c r="F98" t="s">
        <v>231</v>
      </c>
    </row>
    <row r="99" spans="2:5" ht="12.75">
      <c r="B99" t="s">
        <v>339</v>
      </c>
      <c r="C99" t="s">
        <v>180</v>
      </c>
      <c r="D99" s="27">
        <v>6</v>
      </c>
      <c r="E99" s="46"/>
    </row>
    <row r="100" spans="3:5" ht="12.75">
      <c r="C100" t="s">
        <v>330</v>
      </c>
      <c r="D100" s="27">
        <v>3</v>
      </c>
      <c r="E100" s="46"/>
    </row>
    <row r="101" spans="3:5" ht="12.75">
      <c r="C101" t="s">
        <v>331</v>
      </c>
      <c r="D101" s="27">
        <v>3</v>
      </c>
      <c r="E101" s="46"/>
    </row>
    <row r="102" spans="3:6" ht="12.75">
      <c r="C102" t="s">
        <v>333</v>
      </c>
      <c r="D102" s="24">
        <f>+$D$84*D99/$D$88/D100</f>
        <v>0.003846153846153847</v>
      </c>
      <c r="E102" s="46">
        <f>D102*1000</f>
        <v>3.8461538461538467</v>
      </c>
      <c r="F102" t="s">
        <v>238</v>
      </c>
    </row>
    <row r="103" spans="3:6" ht="12.75">
      <c r="C103" t="s">
        <v>336</v>
      </c>
      <c r="D103" s="24">
        <f>+$D$87*D99/$D$88/(D101+D100)</f>
        <v>0.0009615384615384617</v>
      </c>
      <c r="E103" s="46">
        <f>D103*1000</f>
        <v>0.9615384615384617</v>
      </c>
      <c r="F103" t="s">
        <v>232</v>
      </c>
    </row>
    <row r="104" spans="3:5" ht="12.75">
      <c r="C104" t="s">
        <v>263</v>
      </c>
      <c r="D104" s="19">
        <f>5/(48*60)</f>
        <v>0.001736111111111111</v>
      </c>
      <c r="E104" s="46"/>
    </row>
    <row r="105" spans="2:5" ht="12.75">
      <c r="B105" t="s">
        <v>340</v>
      </c>
      <c r="C105" t="s">
        <v>181</v>
      </c>
      <c r="D105" s="27">
        <v>1</v>
      </c>
      <c r="E105" s="46"/>
    </row>
    <row r="106" spans="3:5" ht="12.75">
      <c r="C106" t="s">
        <v>330</v>
      </c>
      <c r="D106" s="27">
        <v>1</v>
      </c>
      <c r="E106" s="46"/>
    </row>
    <row r="107" spans="3:5" ht="12.75">
      <c r="C107" t="s">
        <v>331</v>
      </c>
      <c r="D107" s="27">
        <v>1</v>
      </c>
      <c r="E107" s="46"/>
    </row>
    <row r="108" spans="3:6" ht="12.75">
      <c r="C108" t="s">
        <v>333</v>
      </c>
      <c r="D108" s="24">
        <f>+$D$84*D105/$D$88/D106</f>
        <v>0.0019230769230769232</v>
      </c>
      <c r="E108" s="46">
        <f>D108*1000</f>
        <v>1.9230769230769231</v>
      </c>
      <c r="F108" t="s">
        <v>233</v>
      </c>
    </row>
    <row r="109" spans="3:6" ht="13.5" thickBot="1">
      <c r="C109" t="s">
        <v>336</v>
      </c>
      <c r="D109" s="24">
        <f>+$D$87*D105/$D$88/(D107+D106)</f>
        <v>0.0004807692307692308</v>
      </c>
      <c r="E109" s="46">
        <f>D109*1000</f>
        <v>0.4807692307692308</v>
      </c>
      <c r="F109" t="s">
        <v>234</v>
      </c>
    </row>
    <row r="110" spans="1:5" ht="13.5" thickTop="1">
      <c r="A110" s="29" t="s">
        <v>427</v>
      </c>
      <c r="B110" s="29"/>
      <c r="C110" s="29" t="s">
        <v>235</v>
      </c>
      <c r="D110" s="35">
        <v>0.005</v>
      </c>
      <c r="E110" s="46">
        <f>D110*1000</f>
        <v>5</v>
      </c>
    </row>
    <row r="111" spans="1:6" ht="12.75">
      <c r="A111" s="23"/>
      <c r="B111" s="23"/>
      <c r="C111" t="s">
        <v>263</v>
      </c>
      <c r="D111" s="38">
        <f>+DC_SPECT</f>
        <v>0.5</v>
      </c>
      <c r="E111" s="46"/>
      <c r="F111" t="s">
        <v>212</v>
      </c>
    </row>
    <row r="112" spans="3:6" ht="12.75">
      <c r="C112" t="s">
        <v>236</v>
      </c>
      <c r="D112" s="24">
        <v>0.0001</v>
      </c>
      <c r="E112" s="46">
        <f>D112*1000</f>
        <v>0.1</v>
      </c>
      <c r="F112" t="s">
        <v>237</v>
      </c>
    </row>
    <row r="113" spans="2:5" ht="12.75">
      <c r="B113" t="s">
        <v>334</v>
      </c>
      <c r="C113" t="s">
        <v>174</v>
      </c>
      <c r="D113" s="27">
        <v>2</v>
      </c>
      <c r="E113" s="46"/>
    </row>
    <row r="114" spans="3:5" ht="12.75">
      <c r="C114" t="s">
        <v>347</v>
      </c>
      <c r="D114" s="27">
        <v>24</v>
      </c>
      <c r="E114" s="46"/>
    </row>
    <row r="115" spans="3:5" ht="12.75">
      <c r="C115" t="s">
        <v>330</v>
      </c>
      <c r="D115" s="27">
        <v>2</v>
      </c>
      <c r="E115" s="46"/>
    </row>
    <row r="116" spans="3:5" ht="12.75">
      <c r="C116" t="s">
        <v>331</v>
      </c>
      <c r="D116" s="27">
        <v>2</v>
      </c>
      <c r="E116" s="46"/>
    </row>
    <row r="117" spans="3:6" ht="12.75">
      <c r="C117" t="s">
        <v>333</v>
      </c>
      <c r="D117" s="24">
        <f>+$D$110*D113/D115</f>
        <v>0.005</v>
      </c>
      <c r="E117" s="46">
        <f>D117*1000</f>
        <v>5</v>
      </c>
      <c r="F117" t="s">
        <v>207</v>
      </c>
    </row>
    <row r="118" spans="3:6" ht="12.75">
      <c r="C118" t="s">
        <v>336</v>
      </c>
      <c r="D118" s="24">
        <f>+$D$112*D113*D114/(D116+D115)</f>
        <v>0.0012000000000000001</v>
      </c>
      <c r="E118" s="46">
        <f>D118*1000</f>
        <v>1.2000000000000002</v>
      </c>
      <c r="F118" t="s">
        <v>395</v>
      </c>
    </row>
    <row r="119" spans="3:5" ht="12.75">
      <c r="C119" t="s">
        <v>263</v>
      </c>
      <c r="D119" s="38">
        <v>0.5</v>
      </c>
      <c r="E119" s="46"/>
    </row>
    <row r="120" spans="2:5" ht="12.75">
      <c r="B120" t="s">
        <v>328</v>
      </c>
      <c r="C120" t="s">
        <v>177</v>
      </c>
      <c r="D120" s="27">
        <v>1</v>
      </c>
      <c r="E120" s="46"/>
    </row>
    <row r="121" spans="3:5" ht="12.75">
      <c r="C121" t="s">
        <v>347</v>
      </c>
      <c r="D121" s="27">
        <v>24</v>
      </c>
      <c r="E121" s="46"/>
    </row>
    <row r="122" spans="3:5" ht="12.75">
      <c r="C122" t="s">
        <v>330</v>
      </c>
      <c r="D122" s="27">
        <v>2</v>
      </c>
      <c r="E122" s="46"/>
    </row>
    <row r="123" spans="3:5" ht="12.75">
      <c r="C123" t="s">
        <v>331</v>
      </c>
      <c r="D123" s="27">
        <v>2</v>
      </c>
      <c r="E123" s="46"/>
    </row>
    <row r="124" spans="3:6" ht="12.75">
      <c r="C124" t="s">
        <v>333</v>
      </c>
      <c r="D124" s="24">
        <f>+$D$110*D120/D122</f>
        <v>0.0025</v>
      </c>
      <c r="E124" s="46">
        <f>D124*1000</f>
        <v>2.5</v>
      </c>
      <c r="F124" t="s">
        <v>208</v>
      </c>
    </row>
    <row r="125" spans="3:6" ht="13.5" thickBot="1">
      <c r="C125" t="s">
        <v>336</v>
      </c>
      <c r="D125" s="24">
        <f>+$D$112*D120*D121/(D123+D122)</f>
        <v>0.0006000000000000001</v>
      </c>
      <c r="E125" s="46">
        <f>D125*1000</f>
        <v>0.6000000000000001</v>
      </c>
      <c r="F125" t="s">
        <v>209</v>
      </c>
    </row>
    <row r="126" spans="1:5" ht="13.5" thickTop="1">
      <c r="A126" s="29" t="s">
        <v>428</v>
      </c>
      <c r="B126" s="29"/>
      <c r="C126" s="29" t="s">
        <v>172</v>
      </c>
      <c r="D126" s="35">
        <v>0.005</v>
      </c>
      <c r="E126" s="46">
        <f>D126*1000</f>
        <v>5</v>
      </c>
    </row>
    <row r="127" spans="1:6" ht="12.75">
      <c r="A127" s="23"/>
      <c r="B127" s="23"/>
      <c r="C127" t="s">
        <v>263</v>
      </c>
      <c r="D127" s="38">
        <f>+DC_PHOT</f>
        <v>0.5</v>
      </c>
      <c r="E127" s="46"/>
      <c r="F127" t="s">
        <v>213</v>
      </c>
    </row>
    <row r="128" spans="3:5" ht="12.75">
      <c r="C128" t="s">
        <v>176</v>
      </c>
      <c r="D128" s="24">
        <v>0.0001</v>
      </c>
      <c r="E128" s="46">
        <f>D128*1000</f>
        <v>0.1</v>
      </c>
    </row>
    <row r="129" spans="2:5" ht="12.75">
      <c r="B129" t="s">
        <v>337</v>
      </c>
      <c r="C129" t="s">
        <v>178</v>
      </c>
      <c r="D129" s="27">
        <v>4</v>
      </c>
      <c r="E129" s="46"/>
    </row>
    <row r="130" spans="3:5" ht="12.75">
      <c r="C130" t="s">
        <v>347</v>
      </c>
      <c r="D130" s="27">
        <v>24</v>
      </c>
      <c r="E130" s="46"/>
    </row>
    <row r="131" spans="3:5" ht="12.75">
      <c r="C131" t="s">
        <v>330</v>
      </c>
      <c r="D131" s="27">
        <v>4</v>
      </c>
      <c r="E131" s="46"/>
    </row>
    <row r="132" spans="3:5" ht="12.75">
      <c r="C132" t="s">
        <v>331</v>
      </c>
      <c r="D132" s="27">
        <v>4</v>
      </c>
      <c r="E132" s="46"/>
    </row>
    <row r="133" spans="3:6" ht="12.75">
      <c r="C133" t="s">
        <v>333</v>
      </c>
      <c r="D133" s="24">
        <f>+$D$126*D129/D131</f>
        <v>0.005</v>
      </c>
      <c r="E133" s="46">
        <f>D133*1000</f>
        <v>5</v>
      </c>
      <c r="F133" t="s">
        <v>210</v>
      </c>
    </row>
    <row r="134" spans="3:6" ht="12.75">
      <c r="C134" t="s">
        <v>336</v>
      </c>
      <c r="D134" s="24">
        <f>+$D$128*D129*D130/(D132+D131)</f>
        <v>0.0012000000000000001</v>
      </c>
      <c r="E134" s="46">
        <f>D134*1000</f>
        <v>1.2000000000000002</v>
      </c>
      <c r="F134" t="s">
        <v>211</v>
      </c>
    </row>
    <row r="135" spans="2:5" ht="12.75">
      <c r="B135" t="s">
        <v>338</v>
      </c>
      <c r="C135" t="s">
        <v>179</v>
      </c>
      <c r="D135" s="27">
        <v>2</v>
      </c>
      <c r="E135" s="46"/>
    </row>
    <row r="136" spans="3:5" ht="12.75">
      <c r="C136" t="s">
        <v>347</v>
      </c>
      <c r="D136" s="27">
        <v>24</v>
      </c>
      <c r="E136" s="46"/>
    </row>
    <row r="137" spans="3:5" ht="12.75">
      <c r="C137" t="s">
        <v>330</v>
      </c>
      <c r="D137" s="27">
        <v>2</v>
      </c>
      <c r="E137" s="46"/>
    </row>
    <row r="138" spans="3:5" ht="12.75">
      <c r="C138" t="s">
        <v>331</v>
      </c>
      <c r="D138" s="27">
        <v>2</v>
      </c>
      <c r="E138" s="46"/>
    </row>
    <row r="139" spans="3:6" ht="12.75">
      <c r="C139" t="s">
        <v>333</v>
      </c>
      <c r="D139" s="24">
        <f>+$D$126*D135/D137</f>
        <v>0.005</v>
      </c>
      <c r="E139" s="46">
        <f>D139*1000</f>
        <v>5</v>
      </c>
      <c r="F139" t="s">
        <v>216</v>
      </c>
    </row>
    <row r="140" spans="3:6" ht="12.75">
      <c r="C140" t="s">
        <v>336</v>
      </c>
      <c r="D140" s="24">
        <f>+$D$128*D135*D136/(D138+D137)</f>
        <v>0.0012000000000000001</v>
      </c>
      <c r="E140" s="46">
        <f>D140*1000</f>
        <v>1.2000000000000002</v>
      </c>
      <c r="F140" t="s">
        <v>217</v>
      </c>
    </row>
    <row r="141" spans="2:5" ht="12.75">
      <c r="B141" t="s">
        <v>339</v>
      </c>
      <c r="C141" t="s">
        <v>180</v>
      </c>
      <c r="D141" s="27">
        <v>6</v>
      </c>
      <c r="E141" s="46"/>
    </row>
    <row r="142" spans="3:5" ht="12.75">
      <c r="C142" t="s">
        <v>347</v>
      </c>
      <c r="D142" s="27">
        <v>24</v>
      </c>
      <c r="E142" s="46"/>
    </row>
    <row r="143" spans="3:5" ht="12.75">
      <c r="C143" t="s">
        <v>330</v>
      </c>
      <c r="D143" s="27">
        <v>6</v>
      </c>
      <c r="E143" s="46"/>
    </row>
    <row r="144" spans="3:5" ht="12.75">
      <c r="C144" t="s">
        <v>331</v>
      </c>
      <c r="D144" s="27">
        <v>6</v>
      </c>
      <c r="E144" s="46"/>
    </row>
    <row r="145" spans="3:6" ht="12.75">
      <c r="C145" t="s">
        <v>333</v>
      </c>
      <c r="D145" s="24">
        <f>+$D$126*D141/D143</f>
        <v>0.005</v>
      </c>
      <c r="E145" s="46">
        <f>D145*1000</f>
        <v>5</v>
      </c>
      <c r="F145" t="s">
        <v>239</v>
      </c>
    </row>
    <row r="146" spans="3:6" ht="12.75">
      <c r="C146" t="s">
        <v>336</v>
      </c>
      <c r="D146" s="24">
        <f>+$D$128*D141*D142/(D144+D143)</f>
        <v>0.0012000000000000001</v>
      </c>
      <c r="E146" s="46">
        <f>D146*1000</f>
        <v>1.2000000000000002</v>
      </c>
      <c r="F146" t="s">
        <v>218</v>
      </c>
    </row>
    <row r="147" spans="3:5" ht="12.75">
      <c r="C147" t="s">
        <v>263</v>
      </c>
      <c r="D147" s="19">
        <f>5/(48*60)</f>
        <v>0.001736111111111111</v>
      </c>
      <c r="E147" s="46"/>
    </row>
    <row r="148" spans="2:5" ht="12.75">
      <c r="B148" t="s">
        <v>340</v>
      </c>
      <c r="C148" t="s">
        <v>181</v>
      </c>
      <c r="D148" s="27">
        <v>1</v>
      </c>
      <c r="E148" s="46"/>
    </row>
    <row r="149" spans="3:5" ht="12.75">
      <c r="C149" t="s">
        <v>347</v>
      </c>
      <c r="D149" s="27">
        <v>4</v>
      </c>
      <c r="E149" s="46"/>
    </row>
    <row r="150" spans="3:5" ht="12.75">
      <c r="C150" t="s">
        <v>330</v>
      </c>
      <c r="D150" s="27">
        <v>1</v>
      </c>
      <c r="E150" s="46"/>
    </row>
    <row r="151" spans="3:5" ht="12.75">
      <c r="C151" t="s">
        <v>331</v>
      </c>
      <c r="D151" s="27">
        <v>1</v>
      </c>
      <c r="E151" s="46"/>
    </row>
    <row r="152" spans="3:6" ht="12.75">
      <c r="C152" t="s">
        <v>333</v>
      </c>
      <c r="D152" s="24">
        <f>+$D$126*D148/D150</f>
        <v>0.005</v>
      </c>
      <c r="E152" s="46">
        <f>D152*1000</f>
        <v>5</v>
      </c>
      <c r="F152" t="s">
        <v>219</v>
      </c>
    </row>
    <row r="153" spans="3:6" ht="13.5" thickBot="1">
      <c r="C153" t="s">
        <v>336</v>
      </c>
      <c r="D153" s="24">
        <f>+$D$128*D148*D149/(D151+D150)</f>
        <v>0.0002</v>
      </c>
      <c r="E153" s="46">
        <f>D153*1000</f>
        <v>0.2</v>
      </c>
      <c r="F153" t="s">
        <v>220</v>
      </c>
    </row>
    <row r="154" spans="1:6" ht="13.5" thickTop="1">
      <c r="A154" s="29" t="s">
        <v>139</v>
      </c>
      <c r="B154" s="29"/>
      <c r="C154" s="18" t="s">
        <v>384</v>
      </c>
      <c r="D154" s="39">
        <v>1E-06</v>
      </c>
      <c r="E154" s="47">
        <f>D154*1000000</f>
        <v>1</v>
      </c>
      <c r="F154" t="s">
        <v>385</v>
      </c>
    </row>
    <row r="155" spans="1:6" ht="12.75">
      <c r="A155" s="23"/>
      <c r="B155" s="23"/>
      <c r="C155" s="8" t="s">
        <v>386</v>
      </c>
      <c r="D155" s="23">
        <v>0.035</v>
      </c>
      <c r="E155" s="46">
        <f>D155*1000</f>
        <v>35</v>
      </c>
      <c r="F155" t="s">
        <v>387</v>
      </c>
    </row>
    <row r="156" spans="1:6" ht="12.75">
      <c r="A156" s="23"/>
      <c r="B156" s="23"/>
      <c r="C156" s="8" t="s">
        <v>624</v>
      </c>
      <c r="D156" s="44">
        <v>0.4</v>
      </c>
      <c r="E156" s="46"/>
      <c r="F156" t="s">
        <v>625</v>
      </c>
    </row>
    <row r="157" spans="1:6" ht="12.75">
      <c r="A157" s="23"/>
      <c r="B157" s="23"/>
      <c r="C157" s="8" t="s">
        <v>626</v>
      </c>
      <c r="D157" s="42">
        <v>0.001</v>
      </c>
      <c r="E157" s="46">
        <f>D157*1000</f>
        <v>1</v>
      </c>
      <c r="F157" t="s">
        <v>396</v>
      </c>
    </row>
    <row r="158" spans="1:6" ht="12.75">
      <c r="A158" s="23"/>
      <c r="B158" s="23"/>
      <c r="C158" s="8" t="s">
        <v>461</v>
      </c>
      <c r="D158" s="23">
        <v>0.04</v>
      </c>
      <c r="E158" s="46">
        <f>D158*1000</f>
        <v>40</v>
      </c>
      <c r="F158" t="s">
        <v>399</v>
      </c>
    </row>
    <row r="159" spans="1:5" ht="12.75">
      <c r="A159" s="23"/>
      <c r="B159" s="23"/>
      <c r="C159" s="8" t="s">
        <v>401</v>
      </c>
      <c r="D159" s="44">
        <v>0.5</v>
      </c>
      <c r="E159" s="46"/>
    </row>
    <row r="160" spans="1:6" ht="12.75">
      <c r="A160" s="23"/>
      <c r="B160" s="23"/>
      <c r="C160" s="8" t="s">
        <v>402</v>
      </c>
      <c r="D160" s="23">
        <f>+D159*D158</f>
        <v>0.02</v>
      </c>
      <c r="E160" s="46">
        <f>D160*1000</f>
        <v>20</v>
      </c>
      <c r="F160" t="s">
        <v>400</v>
      </c>
    </row>
    <row r="161" spans="1:5" ht="12.75">
      <c r="A161" s="23"/>
      <c r="B161" s="23"/>
      <c r="C161" s="8" t="s">
        <v>403</v>
      </c>
      <c r="D161" s="44">
        <v>0.25</v>
      </c>
      <c r="E161" s="46"/>
    </row>
    <row r="162" spans="1:6" ht="12.75">
      <c r="A162" s="23"/>
      <c r="B162" s="23"/>
      <c r="C162" s="8" t="s">
        <v>404</v>
      </c>
      <c r="D162" s="23">
        <f>+D161*D160</f>
        <v>0.005</v>
      </c>
      <c r="E162" s="46">
        <f>D162*1000</f>
        <v>5</v>
      </c>
      <c r="F162" t="s">
        <v>400</v>
      </c>
    </row>
    <row r="163" spans="1:5" ht="12.75">
      <c r="A163" s="23"/>
      <c r="B163" s="23"/>
      <c r="C163" s="8"/>
      <c r="D163" s="23"/>
      <c r="E163" s="46"/>
    </row>
    <row r="164" ht="13.5" thickBot="1">
      <c r="E164" s="46"/>
    </row>
    <row r="165" spans="1:6" ht="13.5" thickTop="1">
      <c r="A165" s="29" t="s">
        <v>424</v>
      </c>
      <c r="B165" s="29"/>
      <c r="C165" s="29" t="s">
        <v>542</v>
      </c>
      <c r="D165" s="39">
        <v>0.001</v>
      </c>
      <c r="E165" s="46">
        <f>D165*1000</f>
        <v>1</v>
      </c>
      <c r="F165" t="s">
        <v>543</v>
      </c>
    </row>
    <row r="166" spans="3:6" ht="12.75">
      <c r="C166" s="40" t="s">
        <v>544</v>
      </c>
      <c r="D166" s="41">
        <v>0.1</v>
      </c>
      <c r="E166" s="46">
        <f>D166*1000</f>
        <v>100</v>
      </c>
      <c r="F166" t="s">
        <v>545</v>
      </c>
    </row>
    <row r="167" spans="3:6" ht="12.75">
      <c r="C167" s="40" t="s">
        <v>546</v>
      </c>
      <c r="D167" s="41">
        <v>1E-05</v>
      </c>
      <c r="E167" s="46">
        <f>D167*1000</f>
        <v>0.01</v>
      </c>
      <c r="F167" t="s">
        <v>547</v>
      </c>
    </row>
    <row r="168" spans="3:6" ht="13.5" thickBot="1">
      <c r="C168" s="40" t="s">
        <v>548</v>
      </c>
      <c r="D168" s="41">
        <v>0.15</v>
      </c>
      <c r="E168" s="46">
        <f>D168*1000</f>
        <v>150</v>
      </c>
      <c r="F168" t="s">
        <v>549</v>
      </c>
    </row>
    <row r="169" spans="1:6" ht="13.5" thickTop="1">
      <c r="A169" s="29" t="s">
        <v>558</v>
      </c>
      <c r="B169" s="29"/>
      <c r="C169" s="29" t="s">
        <v>566</v>
      </c>
      <c r="D169" s="29">
        <v>0.025</v>
      </c>
      <c r="E169" s="46">
        <f>D169*1000</f>
        <v>25</v>
      </c>
      <c r="F169" t="s">
        <v>564</v>
      </c>
    </row>
    <row r="170" spans="1:5" ht="12.75">
      <c r="A170" s="23"/>
      <c r="B170" s="23"/>
      <c r="C170" s="40" t="s">
        <v>366</v>
      </c>
      <c r="D170" s="44">
        <v>0.5</v>
      </c>
      <c r="E170" s="46"/>
    </row>
    <row r="171" spans="1:5" ht="12.75">
      <c r="A171" s="23"/>
      <c r="B171" s="23"/>
      <c r="C171" s="40" t="s">
        <v>367</v>
      </c>
      <c r="D171" s="45">
        <v>2</v>
      </c>
      <c r="E171" s="46"/>
    </row>
    <row r="172" spans="1:6" ht="12.75">
      <c r="A172" s="23"/>
      <c r="B172" s="23"/>
      <c r="C172" s="23" t="s">
        <v>354</v>
      </c>
      <c r="D172" s="42">
        <f>+SCO_MAXI_SPH*D170/D171</f>
        <v>0.00625</v>
      </c>
      <c r="E172" s="46">
        <f>D172*1000</f>
        <v>6.25</v>
      </c>
      <c r="F172" t="s">
        <v>356</v>
      </c>
    </row>
    <row r="173" spans="1:6" ht="12.75">
      <c r="A173" s="23"/>
      <c r="B173" s="23"/>
      <c r="C173" s="40" t="s">
        <v>355</v>
      </c>
      <c r="D173" s="43">
        <f>1/48</f>
        <v>0.020833333333333332</v>
      </c>
      <c r="E173" s="46"/>
      <c r="F173" t="s">
        <v>357</v>
      </c>
    </row>
    <row r="174" spans="1:6" ht="12.75">
      <c r="A174" s="23"/>
      <c r="B174" s="23"/>
      <c r="C174" s="40" t="s">
        <v>363</v>
      </c>
      <c r="D174" s="42">
        <v>0.0015</v>
      </c>
      <c r="E174" s="46">
        <f>D174*1000</f>
        <v>1.5</v>
      </c>
      <c r="F174" t="s">
        <v>565</v>
      </c>
    </row>
    <row r="175" spans="1:5" ht="12.75">
      <c r="A175" s="23"/>
      <c r="B175" s="23"/>
      <c r="C175" s="40" t="s">
        <v>366</v>
      </c>
      <c r="D175" s="44">
        <v>0.5</v>
      </c>
      <c r="E175" s="46"/>
    </row>
    <row r="176" spans="1:5" ht="12.75">
      <c r="A176" s="23"/>
      <c r="B176" s="23"/>
      <c r="C176" s="40" t="s">
        <v>367</v>
      </c>
      <c r="D176" s="45">
        <v>2</v>
      </c>
      <c r="E176" s="46"/>
    </row>
    <row r="177" spans="1:6" ht="12.75">
      <c r="A177" s="23"/>
      <c r="B177" s="23"/>
      <c r="C177" s="40" t="s">
        <v>364</v>
      </c>
      <c r="D177" s="42">
        <f>+SCO_MAXI_HSH*D175/2</f>
        <v>0.000375</v>
      </c>
      <c r="E177" s="46">
        <f>D177*1000</f>
        <v>0.375</v>
      </c>
      <c r="F177" t="s">
        <v>365</v>
      </c>
    </row>
    <row r="178" spans="1:6" ht="12.75">
      <c r="A178" s="23"/>
      <c r="B178" s="23"/>
      <c r="C178" s="40" t="s">
        <v>358</v>
      </c>
      <c r="D178" s="43">
        <f>1/48</f>
        <v>0.020833333333333332</v>
      </c>
      <c r="E178" s="46"/>
      <c r="F178" t="s">
        <v>359</v>
      </c>
    </row>
    <row r="179" spans="1:6" ht="12.75">
      <c r="A179" s="23"/>
      <c r="B179" s="23"/>
      <c r="C179" s="40" t="s">
        <v>563</v>
      </c>
      <c r="D179" s="42">
        <v>1E-06</v>
      </c>
      <c r="E179" s="47">
        <f>D179*1000000</f>
        <v>1</v>
      </c>
      <c r="F179" t="s">
        <v>362</v>
      </c>
    </row>
    <row r="180" ht="12.75">
      <c r="E180" s="46"/>
    </row>
    <row r="181" ht="13.5" thickBot="1">
      <c r="E181" s="46"/>
    </row>
    <row r="182" spans="1:6" ht="13.5" thickTop="1">
      <c r="A182" s="29" t="s">
        <v>425</v>
      </c>
      <c r="B182" s="29"/>
      <c r="C182" s="29" t="s">
        <v>617</v>
      </c>
      <c r="D182" s="39">
        <v>0.007</v>
      </c>
      <c r="E182" s="46">
        <f>D182*1000</f>
        <v>7</v>
      </c>
      <c r="F182" t="s">
        <v>619</v>
      </c>
    </row>
    <row r="183" spans="3:5" ht="12.75">
      <c r="C183" s="40" t="s">
        <v>366</v>
      </c>
      <c r="D183" s="44">
        <v>0.5</v>
      </c>
      <c r="E183" s="46"/>
    </row>
    <row r="184" spans="3:5" ht="12.75">
      <c r="C184" s="40" t="s">
        <v>367</v>
      </c>
      <c r="D184" s="45">
        <v>2</v>
      </c>
      <c r="E184" s="46"/>
    </row>
    <row r="185" spans="3:6" ht="12.75">
      <c r="C185" s="23" t="s">
        <v>618</v>
      </c>
      <c r="D185" s="42">
        <f>+$D$182*D183/2</f>
        <v>0.00175</v>
      </c>
      <c r="E185" s="46">
        <f>D185*1000</f>
        <v>1.75</v>
      </c>
      <c r="F185" t="s">
        <v>620</v>
      </c>
    </row>
    <row r="186" spans="3:6" ht="12.75">
      <c r="C186" s="40" t="s">
        <v>355</v>
      </c>
      <c r="D186" s="43">
        <v>0.05</v>
      </c>
      <c r="E186" s="46"/>
      <c r="F186" t="s">
        <v>621</v>
      </c>
    </row>
    <row r="187" ht="12.75">
      <c r="E187" s="46"/>
    </row>
    <row r="188" ht="12.75">
      <c r="E188" s="46"/>
    </row>
    <row r="189" ht="13.5" thickBot="1">
      <c r="E189" s="46"/>
    </row>
    <row r="190" spans="1:6" ht="13.5" thickTop="1">
      <c r="A190" s="29" t="s">
        <v>426</v>
      </c>
      <c r="B190" s="29"/>
      <c r="C190" s="29" t="s">
        <v>368</v>
      </c>
      <c r="D190" s="29">
        <v>0.009</v>
      </c>
      <c r="E190" s="46">
        <f>D190*1000</f>
        <v>9</v>
      </c>
      <c r="F190" t="s">
        <v>369</v>
      </c>
    </row>
    <row r="191" spans="1:5" ht="12.75">
      <c r="A191" s="23"/>
      <c r="B191" s="23"/>
      <c r="C191" s="40" t="s">
        <v>366</v>
      </c>
      <c r="D191" s="44">
        <v>0.5</v>
      </c>
      <c r="E191" s="46"/>
    </row>
    <row r="192" spans="1:5" ht="12.75">
      <c r="A192" s="23"/>
      <c r="B192" s="23"/>
      <c r="C192" s="40" t="s">
        <v>367</v>
      </c>
      <c r="D192" s="45">
        <v>2</v>
      </c>
      <c r="E192" s="46"/>
    </row>
    <row r="193" spans="1:6" ht="12.75">
      <c r="A193" s="23"/>
      <c r="B193" s="23"/>
      <c r="C193" s="23" t="s">
        <v>354</v>
      </c>
      <c r="D193" s="42">
        <f>+$D$190*D191/2</f>
        <v>0.00225</v>
      </c>
      <c r="E193" s="46">
        <f>D193*1000</f>
        <v>2.25</v>
      </c>
      <c r="F193" t="s">
        <v>370</v>
      </c>
    </row>
    <row r="194" spans="1:6" ht="12.75">
      <c r="A194" s="23"/>
      <c r="B194" s="23"/>
      <c r="C194" s="40" t="s">
        <v>355</v>
      </c>
      <c r="D194" s="43">
        <v>0.5</v>
      </c>
      <c r="E194" s="46"/>
      <c r="F194" t="s">
        <v>373</v>
      </c>
    </row>
    <row r="195" spans="1:6" ht="12.75">
      <c r="A195" s="23"/>
      <c r="B195" s="23"/>
      <c r="C195" s="23" t="s">
        <v>368</v>
      </c>
      <c r="D195" s="23">
        <v>0.007</v>
      </c>
      <c r="E195" s="46">
        <f>D195*1000</f>
        <v>7</v>
      </c>
      <c r="F195" t="s">
        <v>371</v>
      </c>
    </row>
    <row r="196" spans="1:5" ht="12.75">
      <c r="A196" s="23"/>
      <c r="B196" s="23"/>
      <c r="C196" s="40" t="s">
        <v>366</v>
      </c>
      <c r="D196" s="44">
        <v>0.5</v>
      </c>
      <c r="E196" s="46"/>
    </row>
    <row r="197" spans="1:5" ht="12.75">
      <c r="A197" s="23"/>
      <c r="B197" s="23"/>
      <c r="C197" s="40" t="s">
        <v>367</v>
      </c>
      <c r="D197" s="45">
        <v>2</v>
      </c>
      <c r="E197" s="46"/>
    </row>
    <row r="198" spans="1:6" ht="12.75">
      <c r="A198" s="23"/>
      <c r="B198" s="23"/>
      <c r="C198" s="23" t="s">
        <v>354</v>
      </c>
      <c r="D198" s="42">
        <f>+$D$195*D196/2</f>
        <v>0.00175</v>
      </c>
      <c r="E198" s="46">
        <f>D198*1000</f>
        <v>1.75</v>
      </c>
      <c r="F198" t="s">
        <v>372</v>
      </c>
    </row>
    <row r="199" spans="1:5" ht="12.75">
      <c r="A199" s="23"/>
      <c r="B199" s="23"/>
      <c r="C199" s="40"/>
      <c r="D199" s="43"/>
      <c r="E199" s="46"/>
    </row>
    <row r="200" spans="1:5" ht="12.75">
      <c r="A200" s="23"/>
      <c r="B200" s="23"/>
      <c r="C200" s="23"/>
      <c r="D200" s="23"/>
      <c r="E200" s="46"/>
    </row>
    <row r="201" ht="12.75">
      <c r="E201" s="46"/>
    </row>
    <row r="202" ht="13.5" thickBot="1">
      <c r="E202" s="46"/>
    </row>
    <row r="203" spans="1:6" ht="13.5" thickTop="1">
      <c r="A203" s="29" t="s">
        <v>378</v>
      </c>
      <c r="B203" s="29"/>
      <c r="C203" s="29" t="s">
        <v>379</v>
      </c>
      <c r="D203" s="29">
        <v>0.002</v>
      </c>
      <c r="E203" s="46">
        <f>D203*1000</f>
        <v>2</v>
      </c>
      <c r="F203" t="s">
        <v>380</v>
      </c>
    </row>
    <row r="204" spans="3:5" ht="12.75">
      <c r="C204" s="40" t="s">
        <v>366</v>
      </c>
      <c r="D204" s="44">
        <v>0.5</v>
      </c>
      <c r="E204" s="46"/>
    </row>
    <row r="205" spans="3:5" ht="12.75">
      <c r="C205" s="40" t="s">
        <v>367</v>
      </c>
      <c r="D205" s="45">
        <v>2</v>
      </c>
      <c r="E205" s="46"/>
    </row>
    <row r="206" spans="3:6" ht="12.75">
      <c r="C206" s="23" t="s">
        <v>354</v>
      </c>
      <c r="D206" s="42">
        <f>+$D$203*D204/2</f>
        <v>0.0005</v>
      </c>
      <c r="E206" s="46">
        <f>D206*1000</f>
        <v>0.5</v>
      </c>
      <c r="F206" t="s">
        <v>381</v>
      </c>
    </row>
    <row r="207" ht="12.75">
      <c r="E207" s="46"/>
    </row>
    <row r="208" ht="12.75">
      <c r="E208" s="46"/>
    </row>
    <row r="209" ht="13.5" thickBot="1">
      <c r="E209" s="46"/>
    </row>
    <row r="210" spans="1:6" ht="13.5" thickTop="1">
      <c r="A210" s="29" t="s">
        <v>138</v>
      </c>
      <c r="B210" s="29"/>
      <c r="C210" s="29" t="s">
        <v>405</v>
      </c>
      <c r="D210" s="39">
        <v>0.001</v>
      </c>
      <c r="E210" s="46">
        <f>D210*1000</f>
        <v>1</v>
      </c>
      <c r="F210" t="s">
        <v>406</v>
      </c>
    </row>
    <row r="211" spans="3:6" ht="12.75">
      <c r="C211" s="40" t="s">
        <v>407</v>
      </c>
      <c r="D211" s="42">
        <v>0.4</v>
      </c>
      <c r="E211" s="46">
        <f>D211*1000</f>
        <v>400</v>
      </c>
      <c r="F211" t="s">
        <v>423</v>
      </c>
    </row>
    <row r="212" spans="3:6" ht="12.75">
      <c r="C212" s="40" t="s">
        <v>675</v>
      </c>
      <c r="D212" s="42">
        <v>0.005</v>
      </c>
      <c r="E212" s="46">
        <f>D212*1000</f>
        <v>5</v>
      </c>
      <c r="F212" t="s">
        <v>415</v>
      </c>
    </row>
    <row r="213" spans="3:5" ht="12.75">
      <c r="C213" s="40" t="s">
        <v>344</v>
      </c>
      <c r="D213" s="44">
        <v>0.5</v>
      </c>
      <c r="E213" s="46"/>
    </row>
    <row r="214" spans="3:6" ht="12.75">
      <c r="C214" s="40" t="s">
        <v>676</v>
      </c>
      <c r="D214" s="42">
        <f>+D212*D213</f>
        <v>0.0025</v>
      </c>
      <c r="E214" s="46">
        <f aca="true" t="shared" si="0" ref="E214:E219">D214*1000</f>
        <v>2.5</v>
      </c>
      <c r="F214" t="s">
        <v>416</v>
      </c>
    </row>
    <row r="215" spans="3:6" ht="12.75">
      <c r="C215" s="40" t="s">
        <v>66</v>
      </c>
      <c r="D215" s="41">
        <v>5E-05</v>
      </c>
      <c r="E215" s="46">
        <f t="shared" si="0"/>
        <v>0.05</v>
      </c>
      <c r="F215" t="s">
        <v>417</v>
      </c>
    </row>
    <row r="216" spans="3:6" ht="12.75">
      <c r="C216" s="40" t="s">
        <v>418</v>
      </c>
      <c r="D216" s="41">
        <v>0.1</v>
      </c>
      <c r="E216" s="46">
        <f t="shared" si="0"/>
        <v>100</v>
      </c>
      <c r="F216" t="s">
        <v>420</v>
      </c>
    </row>
    <row r="217" spans="3:6" ht="12.75">
      <c r="C217" s="40" t="s">
        <v>419</v>
      </c>
      <c r="D217" s="41">
        <v>0.08</v>
      </c>
      <c r="E217" s="46">
        <f t="shared" si="0"/>
        <v>80</v>
      </c>
      <c r="F217" t="s">
        <v>421</v>
      </c>
    </row>
    <row r="218" spans="3:6" ht="12.75">
      <c r="C218" s="40" t="s">
        <v>674</v>
      </c>
      <c r="D218" s="41">
        <v>1E-05</v>
      </c>
      <c r="E218" s="46">
        <f t="shared" si="0"/>
        <v>0.01</v>
      </c>
      <c r="F218" t="s">
        <v>673</v>
      </c>
    </row>
    <row r="219" spans="3:6" ht="12.75">
      <c r="C219" s="40" t="s">
        <v>686</v>
      </c>
      <c r="D219" s="41">
        <v>0.001</v>
      </c>
      <c r="E219" s="46">
        <f t="shared" si="0"/>
        <v>1</v>
      </c>
      <c r="F219" t="s">
        <v>685</v>
      </c>
    </row>
    <row r="220" spans="3:5" ht="12.75">
      <c r="C220" s="40" t="s">
        <v>687</v>
      </c>
      <c r="D220" s="28">
        <v>0.8</v>
      </c>
      <c r="E220" s="46"/>
    </row>
    <row r="221" spans="3:6" ht="12.75">
      <c r="C221" s="40" t="s">
        <v>684</v>
      </c>
      <c r="D221" s="41">
        <f>+D219*D220</f>
        <v>0.0008</v>
      </c>
      <c r="E221" s="46">
        <f>D221*1000</f>
        <v>0.8</v>
      </c>
      <c r="F221" t="s">
        <v>683</v>
      </c>
    </row>
    <row r="222" spans="3:6" ht="12.75">
      <c r="C222" s="40" t="s">
        <v>688</v>
      </c>
      <c r="D222" s="41">
        <v>0.001</v>
      </c>
      <c r="E222" s="46">
        <f>D222*1000</f>
        <v>1</v>
      </c>
      <c r="F222" t="s">
        <v>689</v>
      </c>
    </row>
    <row r="223" spans="3:6" ht="12.75">
      <c r="C223" s="40" t="s">
        <v>457</v>
      </c>
      <c r="D223" s="41">
        <v>2E-05</v>
      </c>
      <c r="E223" s="46">
        <f>D223*1000</f>
        <v>0.02</v>
      </c>
      <c r="F223" t="s">
        <v>459</v>
      </c>
    </row>
    <row r="224" spans="3:6" ht="12.75">
      <c r="C224" s="40" t="s">
        <v>458</v>
      </c>
      <c r="D224" s="41">
        <v>1E-05</v>
      </c>
      <c r="E224" s="46">
        <f>D224*1000</f>
        <v>0.01</v>
      </c>
      <c r="F224" t="s">
        <v>460</v>
      </c>
    </row>
  </sheetData>
  <printOptions/>
  <pageMargins left="0.75" right="0.75" top="1" bottom="1" header="0.5" footer="0.5"/>
  <pageSetup fitToHeight="3" fitToWidth="1" horizontalDpi="600" verticalDpi="600" orientation="portrait" paperSize="9" scale="38"/>
  <headerFooter alignWithMargins="0">
    <oddHeader>&amp;CPrepared by Douglas Griffin &amp;D&amp;RPage &amp;P</oddHead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SPIRE Cryoharness Specification</dc:title>
  <dc:subject/>
  <dc:creator>Douglas Griffin</dc:creator>
  <cp:keywords/>
  <dc:description/>
  <cp:lastModifiedBy>Authorised user</cp:lastModifiedBy>
  <cp:lastPrinted>2002-07-18T13:17:53Z</cp:lastPrinted>
  <dcterms:created xsi:type="dcterms:W3CDTF">2001-08-02T15:20:27Z</dcterms:created>
  <dcterms:modified xsi:type="dcterms:W3CDTF">2002-07-25T16:22:03Z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linkTarget="Isuue">
    <vt:lpwstr>#REF!</vt:lpwstr>
  </property>
  <property fmtid="{D5CDD505-2E9C-101B-9397-08002B2CF9AE}" pid="3" name="Date completed" linkTarget="Date">
    <vt:filetime>2001-08-04T23:00:00Z</vt:filetime>
  </property>
  <property fmtid="{D5CDD505-2E9C-101B-9397-08002B2CF9AE}" pid="4" name="Checked by" linkTarget="Checked__by">
    <vt:lpwstr>John Delderfield</vt:lpwstr>
  </property>
  <property fmtid="{D5CDD505-2E9C-101B-9397-08002B2CF9AE}" pid="5" name="Document number" linkTarget="Document_Number">
    <vt:lpwstr>SPIRE-RAL-COM-001331</vt:lpwstr>
  </property>
  <property fmtid="{D5CDD505-2E9C-101B-9397-08002B2CF9AE}" pid="6" name="Document Name" linkTarget="Document_name">
    <vt:lpwstr>SPIRE Cryoharness Specifications</vt:lpwstr>
  </property>
  <property fmtid="{D5CDD505-2E9C-101B-9397-08002B2CF9AE}" pid="7" name="Author" linkTarget="Prepared_by">
    <vt:lpwstr>Douglas Griffin</vt:lpwstr>
  </property>
</Properties>
</file>