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4830" tabRatio="727" activeTab="0"/>
  </bookViews>
  <sheets>
    <sheet name="Report" sheetId="1" r:id="rId1"/>
    <sheet name="Effect of gravity" sheetId="2" r:id="rId2"/>
    <sheet name="Sensivities" sheetId="3" r:id="rId3"/>
    <sheet name="Formulas" sheetId="4" r:id="rId4"/>
  </sheets>
  <definedNames>
    <definedName name="_xlnm.Print_Area" localSheetId="1">'Effect of gravity'!$A$1:$M$92</definedName>
    <definedName name="_xlnm.Print_Area" localSheetId="0">'Report'!$A$1:$M$205</definedName>
  </definedNames>
  <calcPr fullCalcOnLoad="1"/>
</workbook>
</file>

<file path=xl/sharedStrings.xml><?xml version="1.0" encoding="utf-8"?>
<sst xmlns="http://schemas.openxmlformats.org/spreadsheetml/2006/main" count="339" uniqueCount="246">
  <si>
    <t>Ohm</t>
  </si>
  <si>
    <t>N.m/rad</t>
  </si>
  <si>
    <t>degrees</t>
  </si>
  <si>
    <t>N</t>
  </si>
  <si>
    <t>mW</t>
  </si>
  <si>
    <t>mm</t>
  </si>
  <si>
    <t xml:space="preserve">Copper electrical resistance at 4K / Copper electrical resistance at 300k </t>
  </si>
  <si>
    <t>Copper specific electrical resistance at 300K</t>
  </si>
  <si>
    <t xml:space="preserve">LA-13-30-000A  </t>
  </si>
  <si>
    <t>Pivot</t>
  </si>
  <si>
    <t>TRW 5008-800</t>
  </si>
  <si>
    <t>Estimation</t>
  </si>
  <si>
    <t>Catalogue</t>
  </si>
  <si>
    <t>AD</t>
  </si>
  <si>
    <t>Fx (N)</t>
  </si>
  <si>
    <t>Fy (N)</t>
  </si>
  <si>
    <t>Fz (N)</t>
  </si>
  <si>
    <t>Notches</t>
  </si>
  <si>
    <t>(mm)</t>
  </si>
  <si>
    <t>Charge</t>
  </si>
  <si>
    <t>[1]</t>
  </si>
  <si>
    <t>[2]</t>
  </si>
  <si>
    <t>[3]</t>
  </si>
  <si>
    <t>Source</t>
  </si>
  <si>
    <t>Coefficient</t>
  </si>
  <si>
    <t>Nombre de pivots</t>
  </si>
  <si>
    <t>KIMCO actuator</t>
  </si>
  <si>
    <t>Type</t>
  </si>
  <si>
    <t>300K resistance (Ohm)</t>
  </si>
  <si>
    <t>Force sensitivity (N/A)</t>
  </si>
  <si>
    <t>Corner cubes travel range (m)</t>
  </si>
  <si>
    <t>SMECm total moving mass (kg)</t>
  </si>
  <si>
    <t>Maximum SMEC board output voltage (V)</t>
  </si>
  <si>
    <t>Cryoharness resistance at 300K (Ohm)</t>
  </si>
  <si>
    <t>Cryoharness resistance at 4K (Ohm)</t>
  </si>
  <si>
    <t>Cryoharness allowable max current (A)</t>
  </si>
  <si>
    <t>Wire diameter (mm)</t>
  </si>
  <si>
    <t>Wire length (m)</t>
  </si>
  <si>
    <t>Magnetic field (T)</t>
  </si>
  <si>
    <t xml:space="preserve"> Ohm.m²/m</t>
  </si>
  <si>
    <t>X (g RMS)</t>
  </si>
  <si>
    <t>Y (g RMS)</t>
  </si>
  <si>
    <t>Z (g RMS)</t>
  </si>
  <si>
    <t>AD (*)</t>
  </si>
  <si>
    <t>BE System Celtic</t>
  </si>
  <si>
    <t>Ratio active wire length / total wire length</t>
  </si>
  <si>
    <t>Diameter</t>
  </si>
  <si>
    <t>Blade thickness</t>
  </si>
  <si>
    <t>Dec 2000 spectrum</t>
  </si>
  <si>
    <t>22/06/2001 spectrum</t>
  </si>
  <si>
    <t>On Fx</t>
  </si>
  <si>
    <t>On Fy</t>
  </si>
  <si>
    <t>On Fz</t>
  </si>
  <si>
    <t>CC latch</t>
  </si>
  <si>
    <t>Upper plate</t>
  </si>
  <si>
    <t>latch</t>
  </si>
  <si>
    <t>mandatory</t>
  </si>
  <si>
    <t>No</t>
  </si>
  <si>
    <t>Mandatory</t>
  </si>
  <si>
    <t>Yes</t>
  </si>
  <si>
    <t>Maybe</t>
  </si>
  <si>
    <t>Overtension</t>
  </si>
  <si>
    <t>Arm length (mm)</t>
  </si>
  <si>
    <t>Max rotation angle (°)</t>
  </si>
  <si>
    <t>Maximum</t>
  </si>
  <si>
    <t>charge</t>
  </si>
  <si>
    <t>Reference documents</t>
  </si>
  <si>
    <t>Pivots characteristics</t>
  </si>
  <si>
    <t>Note : The LAM actuator is calculated such as SMECm is able to reach its full displacement range at 300K with the flight MCU.</t>
  </si>
  <si>
    <t>Torsion stiffness (N.m/rad)</t>
  </si>
  <si>
    <t>Infinite life angle (°)</t>
  </si>
  <si>
    <t>Balde thickness (mm)</t>
  </si>
  <si>
    <t>Diameter (mm)</t>
  </si>
  <si>
    <t xml:space="preserve">Conclusion : </t>
  </si>
  <si>
    <t>2. Qualification vibrations</t>
  </si>
  <si>
    <t>Mecanism parameters</t>
  </si>
  <si>
    <t>Copper characteristics</t>
  </si>
  <si>
    <t>3. Power dissipation</t>
  </si>
  <si>
    <t>4. General conclusion</t>
  </si>
  <si>
    <t>The torsion stiffness is proportional to the power 3 of the blade thickness.</t>
  </si>
  <si>
    <t>The Fx maximum charge is proportional to the power 2.79 of the blade thickness and the Fy maximum charge to the power 2.91 of the blade thickness.</t>
  </si>
  <si>
    <t xml:space="preserve"> For other blade thickness, the characteristics are derived by interpolation. </t>
  </si>
  <si>
    <t>(*) Should not be a problem</t>
  </si>
  <si>
    <t>Taking into account</t>
  </si>
  <si>
    <t xml:space="preserve"> - the results of the feasibility study : the dimensioning case is the random spectrum along X</t>
  </si>
  <si>
    <t xml:space="preserve"> - the different values of the random spectrum from MSSL : Dec 2000, 22/06/2001 and 01/10/2001</t>
  </si>
  <si>
    <t xml:space="preserve"> - of a 1.5 coefficient to be applied to the levels, introcuced in the Dec 2000 vibrations specs and suppressed during the 05/07/2001 Cardiff  meeting.</t>
  </si>
  <si>
    <t>here is an estimation of the overtension factor when supposing that the efforts depend only on the mechanism structure.</t>
  </si>
  <si>
    <t>factor</t>
  </si>
  <si>
    <t>01/10/2001 spectrum</t>
  </si>
  <si>
    <t>levels</t>
  </si>
  <si>
    <t>Random</t>
  </si>
  <si>
    <t>Qual.</t>
  </si>
  <si>
    <t>A 0.145 mm blade thickness gives a 10% margin and a 0.15 mm blade thickness gives a 20% margin.</t>
  </si>
  <si>
    <t>The allocated mean power dissipation along the mission is</t>
  </si>
  <si>
    <t>The dissipation sources are :</t>
  </si>
  <si>
    <t>Optical encoder</t>
  </si>
  <si>
    <t>LVDT</t>
  </si>
  <si>
    <t>The power dissipated by the actuator is proportional to the power 2 of the displacement.</t>
  </si>
  <si>
    <t>With respect to the pivots rest position :</t>
  </si>
  <si>
    <t>ZPD position (mm)</t>
  </si>
  <si>
    <t>R=10 displacement range (mm)</t>
  </si>
  <si>
    <t>R=100 displacement range (mm)</t>
  </si>
  <si>
    <t>R=1000 displacement range (mm)</t>
  </si>
  <si>
    <t xml:space="preserve">So, the mean consumption along the mission is </t>
  </si>
  <si>
    <t>The power will be maximum for the 40 mm displacement (R=1000).</t>
  </si>
  <si>
    <t>times less than the R=1000 mean power.</t>
  </si>
  <si>
    <t xml:space="preserve">10% margin on the mean allocated power : </t>
  </si>
  <si>
    <t>With these blade thickness dimensions, only the CC plate launch latch is mandatory.</t>
  </si>
  <si>
    <t xml:space="preserve">As the R=1000 max power is </t>
  </si>
  <si>
    <t xml:space="preserve"> times the R=1000 mean power,</t>
  </si>
  <si>
    <t>the actuator mean consumption along the mission is</t>
  </si>
  <si>
    <t>mW.</t>
  </si>
  <si>
    <t>So, the R=1000 max actuator power must not exceed</t>
  </si>
  <si>
    <t>So, for R=1000, the mechanism will have to consume less than</t>
  </si>
  <si>
    <t>The observations with R=10, R=100 and R=1000 are supposed to be of the same time length, i.e. 1/3 of the mission duration each.</t>
  </si>
  <si>
    <t>Max angle for R=1000 displact (°)</t>
  </si>
  <si>
    <t>The force of the actuator is given by the formula : Number_of_pivots x Pivot_Angular_Stiffness x Angle x tan(Angle) / Travel</t>
  </si>
  <si>
    <t>If the travel is the R=1000 displacement and the angle, the torsion angle to achieve this displacement,</t>
  </si>
  <si>
    <t>the arm length necessary to achieve the displacement for a given angle si given by the formula : R=1000_displacement/(2*sinus(Angle))</t>
  </si>
  <si>
    <t>From the force, one can derive the current intensity by dividing the needed force by the force sensitivity.</t>
  </si>
  <si>
    <t>The max power consumed by the actuator is the power of 2 of the max intensity multiplied by the 300K resistance of the actuator multiplied by the correction factor for the resistivity between 300K and 4K.</t>
  </si>
  <si>
    <t>BE System</t>
  </si>
  <si>
    <t>?</t>
  </si>
  <si>
    <t>The TRW pivots as used on the prototype are unsuitable.</t>
  </si>
  <si>
    <t>With the prototypes' KIMCO actuator</t>
  </si>
  <si>
    <t>1. General assumptions</t>
  </si>
  <si>
    <t>Comment</t>
  </si>
  <si>
    <t>Imposed by the MCU and DRCU</t>
  </si>
  <si>
    <t>Requirement put in the cryoharness definition</t>
  </si>
  <si>
    <t>Due to the fact that the pivots must be at their rest position during the launch.</t>
  </si>
  <si>
    <t>LAM actuator one coil</t>
  </si>
  <si>
    <t>5. Sensitivities</t>
  </si>
  <si>
    <t>In the following table (see next page), the actuator's consumed power is computed for three "types" of actuators.</t>
  </si>
  <si>
    <t>BE System pivots diameter 11 mm / balde thickness &gt;= 0.14 mm are ok with the vibrations.</t>
  </si>
  <si>
    <t>R=1000 max angle (°)</t>
  </si>
  <si>
    <t>mW max, including the optical encoder and the LVDT.</t>
  </si>
  <si>
    <t xml:space="preserve">the mean consumed power is </t>
  </si>
  <si>
    <t>For R=100,</t>
  </si>
  <si>
    <t>the max consumed power is</t>
  </si>
  <si>
    <t>times less than the R=1000 max power.</t>
  </si>
  <si>
    <t>For R=10,</t>
  </si>
  <si>
    <t>For a displacement X, the consumed power is proportional to X^2</t>
  </si>
  <si>
    <t>Mission mean dissipated power (mW)</t>
  </si>
  <si>
    <t>Plus the actuator.</t>
  </si>
  <si>
    <t>Pivot stiffness (N.m/rad)</t>
  </si>
  <si>
    <t>Coil resistance (Ohm)</t>
  </si>
  <si>
    <t>Supposed to change very little with temperature.</t>
  </si>
  <si>
    <t>For a displacement between Xm and XM, the mean consumed power is proportional to 1/3 * (XM^2+XM*Xm+Xm^2)</t>
  </si>
  <si>
    <t>So the allocated mean power dissipation along the mission for the actuator is</t>
  </si>
  <si>
    <t>R=1000</t>
  </si>
  <si>
    <t>R=100</t>
  </si>
  <si>
    <t>R=10</t>
  </si>
  <si>
    <t>Mission</t>
  </si>
  <si>
    <t>4K max dissipated power (mW)</t>
  </si>
  <si>
    <t>4K mean dissipated power (mW)</t>
  </si>
  <si>
    <t>Max current (mA)</t>
  </si>
  <si>
    <t>a 0.115 mm (0.127 mm with insulator) is a gauge 36 wire.</t>
  </si>
  <si>
    <t>Actuator available force (N)</t>
  </si>
  <si>
    <t>Due to the max current limit</t>
  </si>
  <si>
    <t>Due to max SMEC board voltage output</t>
  </si>
  <si>
    <t>mm.</t>
  </si>
  <si>
    <t xml:space="preserve">Torsion stiffness </t>
  </si>
  <si>
    <t>Chosen pivots</t>
  </si>
  <si>
    <t xml:space="preserve">Chosen length of arms: </t>
  </si>
  <si>
    <t xml:space="preserve">BE System Celtic pivots diameter </t>
  </si>
  <si>
    <t>In the tables herafter, the impact on different parameters of 10% and 20% variations of others parameters is computed.</t>
  </si>
  <si>
    <t>Including the corner cubes</t>
  </si>
  <si>
    <t>Max deflection angle</t>
  </si>
  <si>
    <t>There will be no problem for the actuator to move the mass along the full travel.</t>
  </si>
  <si>
    <t>A- on the actuator force when the mechanism is horizontal (X and Z axis horizontal, Y axis vertical)</t>
  </si>
  <si>
    <t xml:space="preserve">B- on the inclination range of the mechanism </t>
  </si>
  <si>
    <t xml:space="preserve">Pivots effect (see formula in paragraph 3). This effect is along the -X axis. </t>
  </si>
  <si>
    <t xml:space="preserve"> The pivots stiffness tends to retain the mass.</t>
  </si>
  <si>
    <t>When the mobile mass is at its extreme travel, its mass tends to aid the actuator by "flattening" the mechanism.</t>
  </si>
  <si>
    <t xml:space="preserve">So, the actuator has to develop a force of </t>
  </si>
  <si>
    <t>N along the +X axis.</t>
  </si>
  <si>
    <t>So the mass to be taken into account is the moving mass less the actuator related mass.</t>
  </si>
  <si>
    <t>"flattening" force = (moving mass - actuator related mass) * sin(max rotation angle) * gravity. This effect is along the +X axis.</t>
  </si>
  <si>
    <t>&gt; the effect of the pivots stiffness along the -X axis : same formula as in paragraph 3 =&gt;</t>
  </si>
  <si>
    <t>&gt; the "flattening" force along the +X axis = (moving mass - actuator related mass) * sin(max rotation angle - inclination angle) * gravity</t>
  </si>
  <si>
    <t xml:space="preserve">With the pivots and mechanism characteristics,  </t>
  </si>
  <si>
    <t>Inclination angle (°)</t>
  </si>
  <si>
    <t>Moving mass - actuator related mass (kg)</t>
  </si>
  <si>
    <t>Actuator related mass (kg)</t>
  </si>
  <si>
    <t>Effect of pivots stiffness (N)</t>
  </si>
  <si>
    <t>Effect of actuator related mass (N)</t>
  </si>
  <si>
    <t>"Flattening" force (N)</t>
  </si>
  <si>
    <t>Sum of the effects (N)</t>
  </si>
  <si>
    <t xml:space="preserve">The mechanism can be inclined from </t>
  </si>
  <si>
    <t>to</t>
  </si>
  <si>
    <t>degrees.</t>
  </si>
  <si>
    <t xml:space="preserve">SMECm actuator related mass (kg) </t>
  </si>
  <si>
    <t>actuator moving mass + corner cubes + corner cubes plate</t>
  </si>
  <si>
    <t>The actuator related mass has no action in this case because the synchronisation device prevents the actuator from moving in a vertical plane</t>
  </si>
  <si>
    <t>Note : if the margin were to be entirely allocated to the actuator,</t>
  </si>
  <si>
    <t>the max actuator power allocation could be increased up to</t>
  </si>
  <si>
    <t>Actuator</t>
  </si>
  <si>
    <t>SMECm</t>
  </si>
  <si>
    <t>Actuator max current (mA)</t>
  </si>
  <si>
    <t>Effect of gravity for ground tests</t>
  </si>
  <si>
    <t xml:space="preserve">Which means that the sum of these effects must not exceed the maximum force of the actuator, i.e. </t>
  </si>
  <si>
    <t>&gt; the effect of the gravity applied to the actuator related mass, along the -X axis = actuator related mass * gravity * sin(-inclination)</t>
  </si>
  <si>
    <t>When the inclination is not zero, the actuator force must nullify</t>
  </si>
  <si>
    <t>LAM/ELE/SPI/011007</t>
  </si>
  <si>
    <t>Reference</t>
  </si>
  <si>
    <t>Title</t>
  </si>
  <si>
    <t>#</t>
  </si>
  <si>
    <t>Caractéristiques des pivots Celtic</t>
  </si>
  <si>
    <t>SMECm Actuator Specifications</t>
  </si>
  <si>
    <t>Etude faisabilité BE System - Complément consécutif à la réunion du 26 juin 2001</t>
  </si>
  <si>
    <t>Rencontre CNES/LAM/BES - orientation faisabilité pivot</t>
  </si>
  <si>
    <t>BESystem CR 01 168</t>
  </si>
  <si>
    <t>Mécanisme FTS - Etude de faisabilité</t>
  </si>
  <si>
    <t>BESystem/DOC/LAM/F01/089</t>
  </si>
  <si>
    <t>noref</t>
  </si>
  <si>
    <t>Actuator Characteristics</t>
  </si>
  <si>
    <t xml:space="preserve">The characteristics of the BE System pivots diameter 11 mm - blade thickness 0.1 and 0.2 mm are given by BE System. </t>
  </si>
  <si>
    <t xml:space="preserve">mm diameter / 1m long copper resistance is </t>
  </si>
  <si>
    <t>At 4K, the above copper wire would have a resistance of</t>
  </si>
  <si>
    <t>Max dissipated power (mW)</t>
  </si>
  <si>
    <t>Mean dissipated power (mW)</t>
  </si>
  <si>
    <t>Max current (MA)</t>
  </si>
  <si>
    <t>Max current (A)</t>
  </si>
  <si>
    <t>Impact on the actuator 4K dissipated power and on the actuator max current</t>
  </si>
  <si>
    <t>degrees w.r.t. to the horizontal plane.</t>
  </si>
  <si>
    <t>There is no identified problem to rotate the mechanism along its X axis.</t>
  </si>
  <si>
    <t>During ground tests, the X,Z plane mechanism can be inclined from</t>
  </si>
  <si>
    <t>SMECm Design calculations</t>
  </si>
  <si>
    <t>Author : D.Pouliquen</t>
  </si>
  <si>
    <t>Date : 15 october 2001</t>
  </si>
  <si>
    <t>The scope of this document is to justify the design choices w.r.t. geometry and pivots.</t>
  </si>
  <si>
    <t>Object of the document</t>
  </si>
  <si>
    <t>Reference : LAM.PJT.SPI.NOT.200114 indice 1</t>
  </si>
  <si>
    <t>An Excel file format has been chosen to easily get the impact of parameters on the design performances.</t>
  </si>
  <si>
    <t>See 'Effect of gravity' form in this file.</t>
  </si>
  <si>
    <t>R=1000 4K max actuator dissipated power (mW)</t>
  </si>
  <si>
    <t xml:space="preserve"> times less than the R=1000 mean power.</t>
  </si>
  <si>
    <t>See RD 5</t>
  </si>
  <si>
    <t>The prototypes TRW 5008-800 pivots behaviour have been included for comparison.</t>
  </si>
  <si>
    <t>SPI.STM.23.RC.01.A</t>
  </si>
  <si>
    <t>Comparative linear FEA of two different Flex Pivots</t>
  </si>
  <si>
    <t>Due to a much sturdier casing, the BE System pivots have a much higher capability than the TRW pivots (the cost is a higher mass). See RD6</t>
  </si>
  <si>
    <t>Needed actuator force (N)</t>
  </si>
  <si>
    <t>With the LAM actuator,</t>
  </si>
  <si>
    <t>The LAM actuator allows the use of a BE System pivot and not the KIMCO actuator which is limited by its maximum force.</t>
  </si>
</sst>
</file>

<file path=xl/styles.xml><?xml version="1.0" encoding="utf-8"?>
<styleSheet xmlns="http://schemas.openxmlformats.org/spreadsheetml/2006/main">
  <numFmts count="1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
    <numFmt numFmtId="165" formatCode="0.0000"/>
    <numFmt numFmtId="166" formatCode="00000"/>
    <numFmt numFmtId="167" formatCode="0.0"/>
    <numFmt numFmtId="168" formatCode="0.00000"/>
    <numFmt numFmtId="169" formatCode="0.00000E+00"/>
    <numFmt numFmtId="170" formatCode="0.0000000000000000"/>
    <numFmt numFmtId="171" formatCode="0.00000000"/>
    <numFmt numFmtId="172" formatCode="0.000000000"/>
    <numFmt numFmtId="173" formatCode="0.000000"/>
  </numFmts>
  <fonts count="12">
    <font>
      <sz val="10"/>
      <name val="Arial"/>
      <family val="0"/>
    </font>
    <font>
      <sz val="12"/>
      <name val="Arial"/>
      <family val="2"/>
    </font>
    <font>
      <b/>
      <sz val="12"/>
      <name val="Arial"/>
      <family val="2"/>
    </font>
    <font>
      <b/>
      <sz val="16"/>
      <name val="Arial"/>
      <family val="2"/>
    </font>
    <font>
      <sz val="16"/>
      <name val="Arial"/>
      <family val="2"/>
    </font>
    <font>
      <b/>
      <sz val="14"/>
      <name val="Arial"/>
      <family val="2"/>
    </font>
    <font>
      <b/>
      <sz val="20"/>
      <name val="Arial"/>
      <family val="2"/>
    </font>
    <font>
      <sz val="20"/>
      <name val="Arial"/>
      <family val="2"/>
    </font>
    <font>
      <sz val="11"/>
      <name val="Arial"/>
      <family val="2"/>
    </font>
    <font>
      <sz val="16.25"/>
      <name val="Arial"/>
      <family val="0"/>
    </font>
    <font>
      <b/>
      <sz val="16.25"/>
      <name val="Arial"/>
      <family val="0"/>
    </font>
    <font>
      <sz val="14"/>
      <name val="Arial"/>
      <family val="2"/>
    </font>
  </fonts>
  <fills count="4">
    <fill>
      <patternFill/>
    </fill>
    <fill>
      <patternFill patternType="gray125"/>
    </fill>
    <fill>
      <patternFill patternType="solid">
        <fgColor indexed="10"/>
        <bgColor indexed="64"/>
      </patternFill>
    </fill>
    <fill>
      <patternFill patternType="solid">
        <fgColor indexed="50"/>
        <bgColor indexed="64"/>
      </patternFill>
    </fill>
  </fills>
  <borders count="55">
    <border>
      <left/>
      <right/>
      <top/>
      <bottom/>
      <diagonal/>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style="double"/>
      <right style="double"/>
      <top style="double"/>
      <bottom>
        <color indexed="63"/>
      </bottom>
    </border>
    <border>
      <left style="thin"/>
      <right>
        <color indexed="63"/>
      </right>
      <top>
        <color indexed="63"/>
      </top>
      <bottom style="thin"/>
    </border>
    <border>
      <left style="double"/>
      <right style="double"/>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style="double"/>
      <right style="double"/>
      <top style="thin"/>
      <bottom>
        <color indexed="63"/>
      </bottom>
    </border>
    <border>
      <left style="double"/>
      <right style="thin"/>
      <top style="thin"/>
      <bottom style="thin"/>
    </border>
    <border>
      <left style="double"/>
      <right style="double"/>
      <top style="thin"/>
      <bottom style="thin"/>
    </border>
    <border>
      <left style="double"/>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double"/>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color indexed="63"/>
      </bottom>
    </border>
    <border>
      <left>
        <color indexed="63"/>
      </left>
      <right style="thin"/>
      <top>
        <color indexed="63"/>
      </top>
      <bottom style="thin"/>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thin"/>
      <right style="thin"/>
      <top>
        <color indexed="63"/>
      </top>
      <bottom style="double"/>
    </border>
    <border>
      <left style="thin"/>
      <right style="double"/>
      <top style="double"/>
      <bottom>
        <color indexed="63"/>
      </bottom>
    </border>
    <border>
      <left style="double"/>
      <right style="thin"/>
      <top>
        <color indexed="63"/>
      </top>
      <bottom style="double"/>
    </border>
    <border>
      <left style="thin"/>
      <right>
        <color indexed="63"/>
      </right>
      <top style="double"/>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color indexed="63"/>
      </top>
      <bottom style="double"/>
    </border>
    <border>
      <left style="double"/>
      <right>
        <color indexed="63"/>
      </right>
      <top style="thin"/>
      <bottom style="thin"/>
    </border>
    <border>
      <left>
        <color indexed="63"/>
      </left>
      <right style="double"/>
      <top>
        <color indexed="63"/>
      </top>
      <bottom style="thin"/>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left" vertical="center" wrapText="1"/>
    </xf>
    <xf numFmtId="1" fontId="1" fillId="0" borderId="6"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67" fontId="1" fillId="2" borderId="21" xfId="0" applyNumberFormat="1" applyFont="1" applyFill="1" applyBorder="1" applyAlignment="1">
      <alignment horizontal="center" vertical="center" wrapText="1"/>
    </xf>
    <xf numFmtId="167" fontId="1" fillId="0" borderId="25" xfId="0" applyNumberFormat="1" applyFont="1" applyBorder="1" applyAlignment="1">
      <alignment horizontal="center" vertical="center" wrapText="1"/>
    </xf>
    <xf numFmtId="167" fontId="1" fillId="0" borderId="3" xfId="0" applyNumberFormat="1" applyFont="1" applyBorder="1" applyAlignment="1">
      <alignment horizontal="center" vertical="center" wrapText="1"/>
    </xf>
    <xf numFmtId="167" fontId="1" fillId="0" borderId="26" xfId="0" applyNumberFormat="1" applyFont="1" applyBorder="1" applyAlignment="1">
      <alignment horizontal="center" vertical="center" wrapText="1"/>
    </xf>
    <xf numFmtId="167" fontId="1" fillId="2" borderId="15" xfId="0" applyNumberFormat="1" applyFont="1" applyFill="1" applyBorder="1" applyAlignment="1">
      <alignment horizontal="center" vertical="center" wrapText="1"/>
    </xf>
    <xf numFmtId="167" fontId="1" fillId="2" borderId="16" xfId="0" applyNumberFormat="1" applyFont="1" applyFill="1" applyBorder="1" applyAlignment="1">
      <alignment horizontal="center" vertical="center" wrapText="1"/>
    </xf>
    <xf numFmtId="167" fontId="1" fillId="0" borderId="0" xfId="0" applyNumberFormat="1" applyFont="1" applyBorder="1" applyAlignment="1">
      <alignment horizontal="center" vertical="center" wrapText="1"/>
    </xf>
    <xf numFmtId="167" fontId="1" fillId="0" borderId="17" xfId="0" applyNumberFormat="1" applyFont="1" applyBorder="1" applyAlignment="1">
      <alignment horizontal="center" vertical="center" wrapText="1"/>
    </xf>
    <xf numFmtId="0" fontId="3" fillId="0" borderId="0" xfId="0" applyFont="1" applyAlignment="1">
      <alignment horizontal="center" vertical="center" wrapText="1"/>
    </xf>
    <xf numFmtId="167" fontId="1" fillId="0" borderId="24"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1" fontId="1" fillId="0" borderId="1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0" fontId="1" fillId="0" borderId="25" xfId="0" applyFont="1" applyBorder="1" applyAlignment="1">
      <alignment horizontal="center" vertical="center" wrapText="1"/>
    </xf>
    <xf numFmtId="2"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1" fillId="0" borderId="31" xfId="0" applyFont="1" applyBorder="1" applyAlignment="1">
      <alignment horizontal="center" vertical="center" wrapText="1"/>
    </xf>
    <xf numFmtId="164" fontId="1" fillId="0" borderId="18"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1" fontId="1" fillId="0" borderId="0" xfId="0" applyNumberFormat="1" applyFont="1" applyBorder="1" applyAlignment="1">
      <alignment horizontal="center" vertical="center" wrapText="1"/>
    </xf>
    <xf numFmtId="167" fontId="1" fillId="0" borderId="18" xfId="0" applyNumberFormat="1" applyFont="1" applyFill="1" applyBorder="1" applyAlignment="1">
      <alignment horizontal="center" vertical="center" wrapText="1"/>
    </xf>
    <xf numFmtId="1" fontId="1" fillId="0" borderId="29" xfId="0" applyNumberFormat="1" applyFont="1" applyBorder="1" applyAlignment="1">
      <alignment horizontal="center" vertical="center" wrapText="1"/>
    </xf>
    <xf numFmtId="2" fontId="1" fillId="0" borderId="17"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67" fontId="2"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 fontId="1" fillId="0" borderId="12" xfId="0" applyNumberFormat="1" applyFont="1" applyBorder="1" applyAlignment="1">
      <alignment horizontal="center" vertical="center" wrapText="1"/>
    </xf>
    <xf numFmtId="167" fontId="1" fillId="0" borderId="12" xfId="0" applyNumberFormat="1" applyFont="1" applyBorder="1" applyAlignment="1">
      <alignment horizontal="center" vertical="center" wrapText="1"/>
    </xf>
    <xf numFmtId="167" fontId="1" fillId="0" borderId="34" xfId="0" applyNumberFormat="1" applyFont="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167" fontId="1" fillId="3" borderId="0" xfId="0" applyNumberFormat="1" applyFont="1" applyFill="1" applyBorder="1" applyAlignment="1">
      <alignment horizontal="center" vertical="center" wrapText="1"/>
    </xf>
    <xf numFmtId="167" fontId="1" fillId="0" borderId="29" xfId="0" applyNumberFormat="1" applyFont="1" applyBorder="1" applyAlignment="1">
      <alignment horizontal="center" vertical="center" wrapText="1"/>
    </xf>
    <xf numFmtId="167" fontId="1" fillId="0" borderId="30" xfId="0" applyNumberFormat="1" applyFont="1" applyBorder="1" applyAlignment="1">
      <alignment horizontal="center" vertical="center" wrapText="1"/>
    </xf>
    <xf numFmtId="1"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1" fillId="0" borderId="0" xfId="0" applyFont="1" applyFill="1" applyAlignment="1">
      <alignment horizontal="left" vertical="center" wrapText="1"/>
    </xf>
    <xf numFmtId="164" fontId="1" fillId="0" borderId="12"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164" fontId="1" fillId="3" borderId="0" xfId="0" applyNumberFormat="1" applyFont="1" applyFill="1" applyBorder="1" applyAlignment="1">
      <alignment horizontal="center" vertical="center" wrapText="1"/>
    </xf>
    <xf numFmtId="164" fontId="1" fillId="0" borderId="29" xfId="0" applyNumberFormat="1" applyFont="1" applyBorder="1" applyAlignment="1">
      <alignment horizontal="center" vertical="center" wrapText="1"/>
    </xf>
    <xf numFmtId="165" fontId="3" fillId="0" borderId="0" xfId="0" applyNumberFormat="1" applyFont="1" applyAlignment="1">
      <alignment horizontal="center" vertical="center" wrapText="1"/>
    </xf>
    <xf numFmtId="0" fontId="1" fillId="0" borderId="0" xfId="0" applyFont="1" applyAlignment="1">
      <alignment vertical="center" wrapText="1"/>
    </xf>
    <xf numFmtId="0" fontId="1" fillId="0" borderId="35" xfId="0" applyFont="1" applyBorder="1" applyAlignment="1">
      <alignment horizontal="center" vertical="center" wrapText="1"/>
    </xf>
    <xf numFmtId="0" fontId="1" fillId="0" borderId="8"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35" xfId="0" applyBorder="1" applyAlignment="1">
      <alignment vertical="center" wrapText="1"/>
    </xf>
    <xf numFmtId="0" fontId="1" fillId="0" borderId="8" xfId="0" applyFont="1" applyBorder="1" applyAlignment="1">
      <alignment horizontal="left" vertical="center" wrapText="1"/>
    </xf>
    <xf numFmtId="2" fontId="1" fillId="0" borderId="0" xfId="0" applyNumberFormat="1" applyFont="1" applyAlignment="1">
      <alignment horizontal="center" vertical="center" wrapText="1"/>
    </xf>
    <xf numFmtId="2" fontId="1" fillId="0" borderId="6" xfId="0" applyNumberFormat="1" applyFont="1" applyBorder="1" applyAlignment="1">
      <alignment horizontal="center" vertical="center" wrapText="1"/>
    </xf>
    <xf numFmtId="167" fontId="1" fillId="0" borderId="4" xfId="0" applyNumberFormat="1" applyFont="1" applyFill="1" applyBorder="1" applyAlignment="1">
      <alignment horizontal="center" vertical="center" wrapText="1"/>
    </xf>
    <xf numFmtId="0" fontId="1" fillId="0" borderId="5" xfId="0" applyFont="1" applyBorder="1" applyAlignment="1">
      <alignment vertical="center" wrapText="1"/>
    </xf>
    <xf numFmtId="167" fontId="1" fillId="0" borderId="8" xfId="0" applyNumberFormat="1" applyFont="1" applyBorder="1" applyAlignment="1">
      <alignment horizontal="center" vertical="center" wrapText="1"/>
    </xf>
    <xf numFmtId="167" fontId="1" fillId="0" borderId="2" xfId="0" applyNumberFormat="1" applyFont="1" applyFill="1" applyBorder="1" applyAlignment="1">
      <alignment horizontal="center" vertical="center" wrapText="1"/>
    </xf>
    <xf numFmtId="0" fontId="1" fillId="0" borderId="7" xfId="0" applyFont="1" applyFill="1" applyBorder="1" applyAlignment="1">
      <alignment horizontal="left" vertical="center" wrapText="1"/>
    </xf>
    <xf numFmtId="2" fontId="1" fillId="0" borderId="14" xfId="0" applyNumberFormat="1" applyFont="1" applyFill="1" applyBorder="1" applyAlignment="1">
      <alignment horizontal="center" vertical="center" wrapText="1"/>
    </xf>
    <xf numFmtId="167" fontId="1"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6" xfId="0" applyFont="1" applyBorder="1" applyAlignment="1">
      <alignment horizontal="center" vertical="center" wrapText="1"/>
    </xf>
    <xf numFmtId="167" fontId="1" fillId="0" borderId="37" xfId="0" applyNumberFormat="1" applyFont="1" applyFill="1" applyBorder="1" applyAlignment="1">
      <alignment horizontal="center" vertical="center" wrapText="1"/>
    </xf>
    <xf numFmtId="167" fontId="1" fillId="0" borderId="37" xfId="0" applyNumberFormat="1" applyFont="1" applyBorder="1" applyAlignment="1">
      <alignment horizontal="center" vertical="center" wrapText="1"/>
    </xf>
    <xf numFmtId="0" fontId="1" fillId="0" borderId="38" xfId="0" applyFont="1" applyBorder="1" applyAlignment="1">
      <alignment horizontal="center" vertical="center" wrapText="1"/>
    </xf>
    <xf numFmtId="167" fontId="1" fillId="0" borderId="10" xfId="0" applyNumberFormat="1" applyFont="1" applyFill="1" applyBorder="1" applyAlignment="1">
      <alignment horizontal="center" vertical="center" wrapText="1"/>
    </xf>
    <xf numFmtId="167" fontId="1" fillId="0" borderId="10" xfId="0" applyNumberFormat="1" applyFont="1" applyBorder="1" applyAlignment="1">
      <alignment horizontal="center" vertical="center" wrapText="1"/>
    </xf>
    <xf numFmtId="167" fontId="1" fillId="0" borderId="39" xfId="0" applyNumberFormat="1" applyFont="1" applyFill="1" applyBorder="1" applyAlignment="1">
      <alignment horizontal="center" vertical="center" wrapText="1"/>
    </xf>
    <xf numFmtId="167" fontId="1" fillId="0" borderId="39"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1" fillId="0" borderId="40" xfId="0" applyFont="1" applyBorder="1" applyAlignment="1">
      <alignment horizontal="center" vertical="center" wrapText="1"/>
    </xf>
    <xf numFmtId="167" fontId="1" fillId="0" borderId="36" xfId="0" applyNumberFormat="1" applyFont="1" applyFill="1" applyBorder="1" applyAlignment="1">
      <alignment horizontal="center" vertical="center" wrapText="1"/>
    </xf>
    <xf numFmtId="167" fontId="1" fillId="0" borderId="38" xfId="0" applyNumberFormat="1" applyFont="1" applyFill="1" applyBorder="1" applyAlignment="1">
      <alignment horizontal="center" vertical="center" wrapText="1"/>
    </xf>
    <xf numFmtId="167" fontId="1" fillId="0" borderId="41" xfId="0" applyNumberFormat="1" applyFont="1" applyFill="1" applyBorder="1" applyAlignment="1">
      <alignment horizontal="center" vertical="center" wrapText="1"/>
    </xf>
    <xf numFmtId="167" fontId="1" fillId="0" borderId="38" xfId="0" applyNumberFormat="1" applyFont="1" applyBorder="1" applyAlignment="1">
      <alignment horizontal="center" vertical="center" wrapText="1"/>
    </xf>
    <xf numFmtId="167" fontId="1" fillId="0" borderId="36" xfId="0" applyNumberFormat="1" applyFont="1" applyBorder="1" applyAlignment="1">
      <alignment horizontal="center" vertical="center" wrapText="1"/>
    </xf>
    <xf numFmtId="167" fontId="1" fillId="0" borderId="41"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Alignment="1">
      <alignment/>
    </xf>
    <xf numFmtId="2"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2" fontId="8" fillId="0" borderId="20" xfId="0" applyNumberFormat="1" applyFont="1" applyBorder="1" applyAlignment="1">
      <alignment horizontal="center" vertical="center" wrapText="1"/>
    </xf>
    <xf numFmtId="0" fontId="1" fillId="0" borderId="42" xfId="0" applyFont="1" applyBorder="1" applyAlignment="1">
      <alignment horizontal="center" vertical="center" wrapText="1"/>
    </xf>
    <xf numFmtId="1" fontId="1" fillId="0" borderId="40" xfId="0" applyNumberFormat="1" applyFont="1" applyFill="1" applyBorder="1" applyAlignment="1">
      <alignment horizontal="center" vertical="center" wrapText="1"/>
    </xf>
    <xf numFmtId="1" fontId="1" fillId="0" borderId="43" xfId="0" applyNumberFormat="1" applyFont="1" applyFill="1" applyBorder="1" applyAlignment="1">
      <alignment horizontal="center" vertical="center" wrapText="1"/>
    </xf>
    <xf numFmtId="1" fontId="1" fillId="0" borderId="44" xfId="0" applyNumberFormat="1" applyFont="1" applyFill="1" applyBorder="1" applyAlignment="1">
      <alignment horizontal="center" vertical="center" wrapText="1"/>
    </xf>
    <xf numFmtId="1" fontId="1" fillId="0" borderId="43" xfId="0" applyNumberFormat="1" applyFont="1" applyBorder="1" applyAlignment="1">
      <alignment horizontal="center" vertical="center" wrapText="1"/>
    </xf>
    <xf numFmtId="1" fontId="1" fillId="0" borderId="34"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1" fontId="1" fillId="0" borderId="30" xfId="0" applyNumberFormat="1" applyFont="1" applyFill="1" applyBorder="1" applyAlignment="1">
      <alignment horizontal="center" vertical="center" wrapText="1"/>
    </xf>
    <xf numFmtId="1" fontId="1" fillId="0" borderId="17" xfId="0" applyNumberFormat="1" applyFont="1" applyBorder="1" applyAlignment="1">
      <alignment horizontal="center" vertical="center" wrapText="1"/>
    </xf>
    <xf numFmtId="1" fontId="1" fillId="0" borderId="42"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1" fontId="1" fillId="0" borderId="45" xfId="0" applyNumberFormat="1" applyFont="1" applyFill="1" applyBorder="1" applyAlignment="1">
      <alignment horizontal="center" vertical="center" wrapText="1"/>
    </xf>
    <xf numFmtId="1" fontId="1" fillId="0" borderId="18" xfId="0" applyNumberFormat="1" applyFont="1" applyBorder="1" applyAlignment="1">
      <alignment horizontal="center" vertical="center" wrapText="1"/>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Font="1" applyBorder="1" applyAlignment="1">
      <alignment vertical="center" wrapText="1"/>
    </xf>
    <xf numFmtId="0" fontId="1" fillId="0" borderId="0" xfId="0" applyFont="1" applyAlignment="1">
      <alignment horizontal="right" vertical="center" wrapText="1"/>
    </xf>
    <xf numFmtId="0" fontId="1" fillId="0" borderId="14" xfId="0" applyFont="1" applyBorder="1" applyAlignment="1">
      <alignment vertical="center" wrapText="1"/>
    </xf>
    <xf numFmtId="0" fontId="1" fillId="0" borderId="46" xfId="0" applyFont="1" applyBorder="1" applyAlignment="1">
      <alignment horizontal="center" vertical="center" wrapText="1"/>
    </xf>
    <xf numFmtId="0" fontId="0" fillId="0" borderId="5" xfId="0"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47" xfId="0"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 fillId="0" borderId="14" xfId="0" applyFont="1" applyBorder="1" applyAlignment="1">
      <alignment horizontal="left" vertical="center" wrapText="1"/>
    </xf>
    <xf numFmtId="0" fontId="0" fillId="0" borderId="20" xfId="0" applyBorder="1" applyAlignment="1">
      <alignment vertical="center" wrapText="1"/>
    </xf>
    <xf numFmtId="0" fontId="0" fillId="0" borderId="35" xfId="0" applyBorder="1" applyAlignment="1">
      <alignment vertical="center" wrapText="1"/>
    </xf>
    <xf numFmtId="2" fontId="1" fillId="0" borderId="35" xfId="0" applyNumberFormat="1" applyFont="1" applyFill="1" applyBorder="1" applyAlignment="1">
      <alignment horizontal="center" vertical="center" wrapText="1"/>
    </xf>
    <xf numFmtId="167" fontId="1" fillId="0" borderId="0" xfId="0" applyNumberFormat="1" applyFont="1" applyFill="1" applyBorder="1" applyAlignment="1">
      <alignment horizontal="left" vertical="center" wrapText="1"/>
    </xf>
    <xf numFmtId="0" fontId="0" fillId="0" borderId="0" xfId="0" applyAlignment="1">
      <alignment vertical="center" wrapText="1"/>
    </xf>
    <xf numFmtId="0" fontId="1" fillId="0" borderId="18" xfId="0" applyFont="1" applyBorder="1" applyAlignment="1">
      <alignment horizontal="left" vertical="center" wrapText="1"/>
    </xf>
    <xf numFmtId="0" fontId="0" fillId="0" borderId="0" xfId="0" applyBorder="1" applyAlignment="1">
      <alignment vertical="center" wrapText="1"/>
    </xf>
    <xf numFmtId="0" fontId="0" fillId="0" borderId="11" xfId="0" applyBorder="1" applyAlignment="1">
      <alignment vertical="center" wrapText="1"/>
    </xf>
    <xf numFmtId="1" fontId="1" fillId="0" borderId="4" xfId="0" applyNumberFormat="1" applyFont="1" applyFill="1" applyBorder="1" applyAlignment="1">
      <alignment horizontal="center" vertical="center" wrapText="1"/>
    </xf>
    <xf numFmtId="0" fontId="1" fillId="0" borderId="8" xfId="0" applyFont="1" applyBorder="1" applyAlignment="1">
      <alignment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50" xfId="0" applyBorder="1" applyAlignment="1">
      <alignment horizontal="center" vertical="center" wrapText="1"/>
    </xf>
    <xf numFmtId="0" fontId="1" fillId="0" borderId="16" xfId="0" applyFont="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 fillId="0" borderId="51" xfId="0" applyFont="1"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1" fontId="1" fillId="0" borderId="16" xfId="0" applyNumberFormat="1" applyFont="1" applyBorder="1"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1" fillId="0" borderId="4" xfId="0" applyFont="1"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3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1" fillId="0" borderId="3" xfId="0" applyFont="1" applyBorder="1" applyAlignment="1">
      <alignment horizontal="center" vertical="center" wrapText="1"/>
    </xf>
    <xf numFmtId="0" fontId="0" fillId="0" borderId="3" xfId="0" applyBorder="1" applyAlignment="1">
      <alignment vertical="center" wrapText="1"/>
    </xf>
    <xf numFmtId="0" fontId="0" fillId="0" borderId="33" xfId="0" applyBorder="1" applyAlignment="1">
      <alignment horizontal="center" vertical="center" wrapText="1"/>
    </xf>
    <xf numFmtId="0" fontId="0" fillId="0" borderId="49" xfId="0" applyBorder="1" applyAlignment="1">
      <alignment horizontal="center"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vertical="center" wrapText="1"/>
    </xf>
    <xf numFmtId="0" fontId="5" fillId="0" borderId="0" xfId="0" applyFont="1" applyAlignment="1">
      <alignment horizontal="left" vertical="center" wrapText="1"/>
    </xf>
    <xf numFmtId="0" fontId="1" fillId="0" borderId="6" xfId="0" applyFont="1" applyBorder="1" applyAlignment="1">
      <alignment horizontal="center" vertical="center" wrapText="1"/>
    </xf>
    <xf numFmtId="167" fontId="1" fillId="0" borderId="0" xfId="0" applyNumberFormat="1" applyFont="1" applyFill="1" applyBorder="1" applyAlignment="1">
      <alignment horizontal="center" vertical="center" wrapText="1"/>
    </xf>
    <xf numFmtId="0" fontId="1" fillId="0" borderId="5" xfId="0" applyFont="1" applyBorder="1" applyAlignment="1">
      <alignment vertical="center" wrapText="1"/>
    </xf>
    <xf numFmtId="167" fontId="1" fillId="0" borderId="4" xfId="0" applyNumberFormat="1" applyFont="1" applyFill="1" applyBorder="1" applyAlignment="1">
      <alignment horizontal="center" vertical="center" wrapText="1"/>
    </xf>
    <xf numFmtId="164" fontId="1" fillId="0"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3" fillId="0" borderId="0" xfId="0" applyFont="1" applyBorder="1" applyAlignment="1">
      <alignment horizontal="center" vertical="center" wrapText="1"/>
    </xf>
    <xf numFmtId="164" fontId="1" fillId="0" borderId="28"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Alignment="1">
      <alignment horizontal="left" vertical="center" wrapText="1"/>
    </xf>
    <xf numFmtId="0" fontId="1" fillId="0" borderId="8" xfId="0" applyFont="1" applyBorder="1" applyAlignment="1">
      <alignment horizontal="center" vertical="center" wrapText="1"/>
    </xf>
    <xf numFmtId="0" fontId="0" fillId="0" borderId="11" xfId="0" applyBorder="1" applyAlignment="1">
      <alignment horizontal="left" vertical="center" wrapText="1"/>
    </xf>
    <xf numFmtId="0" fontId="2" fillId="0" borderId="2" xfId="0" applyFont="1" applyBorder="1" applyAlignment="1">
      <alignment horizontal="center" vertical="center" wrapText="1"/>
    </xf>
    <xf numFmtId="0" fontId="7" fillId="0" borderId="0" xfId="0" applyFont="1" applyAlignment="1">
      <alignment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16" xfId="0" applyBorder="1" applyAlignment="1">
      <alignment vertical="center"/>
    </xf>
    <xf numFmtId="0" fontId="0" fillId="0" borderId="28" xfId="0" applyBorder="1" applyAlignment="1">
      <alignment vertical="center"/>
    </xf>
    <xf numFmtId="164" fontId="1" fillId="2" borderId="18" xfId="0" applyNumberFormat="1" applyFont="1" applyFill="1" applyBorder="1" applyAlignment="1">
      <alignment horizontal="center" vertical="center" wrapText="1"/>
    </xf>
    <xf numFmtId="2" fontId="1" fillId="2" borderId="11" xfId="0" applyNumberFormat="1" applyFont="1" applyFill="1" applyBorder="1" applyAlignment="1">
      <alignment horizontal="center" vertical="center" wrapText="1"/>
    </xf>
    <xf numFmtId="167" fontId="1" fillId="2" borderId="18" xfId="0" applyNumberFormat="1" applyFont="1" applyFill="1" applyBorder="1" applyAlignment="1">
      <alignment horizontal="center" vertical="center" wrapText="1"/>
    </xf>
    <xf numFmtId="2" fontId="1" fillId="2" borderId="17" xfId="0" applyNumberFormat="1" applyFont="1" applyFill="1" applyBorder="1" applyAlignment="1">
      <alignment horizontal="center" vertical="center" wrapText="1"/>
    </xf>
    <xf numFmtId="0" fontId="11" fillId="0" borderId="5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1525"/>
          <c:w val="0.7115"/>
          <c:h val="0.90725"/>
        </c:manualLayout>
      </c:layout>
      <c:scatterChart>
        <c:scatterStyle val="lineMarker"/>
        <c:varyColors val="0"/>
        <c:ser>
          <c:idx val="0"/>
          <c:order val="0"/>
          <c:tx>
            <c:v>Actuator force vs Inclination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'Effect of gravity'!$A$35:$A$45</c:f>
              <c:numCache>
                <c:ptCount val="11"/>
                <c:pt idx="0">
                  <c:v>10</c:v>
                </c:pt>
                <c:pt idx="1">
                  <c:v>9</c:v>
                </c:pt>
                <c:pt idx="2">
                  <c:v>8</c:v>
                </c:pt>
                <c:pt idx="3">
                  <c:v>7</c:v>
                </c:pt>
                <c:pt idx="4">
                  <c:v>6</c:v>
                </c:pt>
                <c:pt idx="5">
                  <c:v>5</c:v>
                </c:pt>
                <c:pt idx="6">
                  <c:v>4</c:v>
                </c:pt>
                <c:pt idx="7">
                  <c:v>3</c:v>
                </c:pt>
                <c:pt idx="8">
                  <c:v>2</c:v>
                </c:pt>
                <c:pt idx="9">
                  <c:v>1</c:v>
                </c:pt>
                <c:pt idx="10">
                  <c:v>0</c:v>
                </c:pt>
              </c:numCache>
            </c:numRef>
          </c:xVal>
          <c:yVal>
            <c:numRef>
              <c:f>'Effect of gravity'!$H$35:$H$45</c:f>
              <c:numCache>
                <c:ptCount val="11"/>
                <c:pt idx="0">
                  <c:v>-2.4190583609995793</c:v>
                </c:pt>
                <c:pt idx="1">
                  <c:v>-2.1789345163260743</c:v>
                </c:pt>
                <c:pt idx="2">
                  <c:v>-1.938590269022462</c:v>
                </c:pt>
                <c:pt idx="3">
                  <c:v>-1.6980988302747386</c:v>
                </c:pt>
                <c:pt idx="4">
                  <c:v>-1.457533456104839</c:v>
                </c:pt>
                <c:pt idx="5">
                  <c:v>-1.2169674250561453</c:v>
                </c:pt>
                <c:pt idx="6">
                  <c:v>-0.9764740158721302</c:v>
                </c:pt>
                <c:pt idx="7">
                  <c:v>-0.7361264851749423</c:v>
                </c:pt>
                <c:pt idx="8">
                  <c:v>-0.495998045150732</c:v>
                </c:pt>
                <c:pt idx="9">
                  <c:v>-0.2561618412485063</c:v>
                </c:pt>
                <c:pt idx="10">
                  <c:v>-0.01669092989931964</c:v>
                </c:pt>
              </c:numCache>
            </c:numRef>
          </c:yVal>
          <c:smooth val="0"/>
        </c:ser>
        <c:ser>
          <c:idx val="1"/>
          <c:order val="1"/>
          <c:tx>
            <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'Effect of gravity'!$A$45:$A$55</c:f>
              <c:numCache>
                <c:ptCount val="11"/>
                <c:pt idx="0">
                  <c:v>0</c:v>
                </c:pt>
                <c:pt idx="1">
                  <c:v>-1</c:v>
                </c:pt>
                <c:pt idx="2">
                  <c:v>-2</c:v>
                </c:pt>
                <c:pt idx="3">
                  <c:v>-3</c:v>
                </c:pt>
                <c:pt idx="4">
                  <c:v>-4</c:v>
                </c:pt>
                <c:pt idx="5">
                  <c:v>-5</c:v>
                </c:pt>
                <c:pt idx="6">
                  <c:v>-6</c:v>
                </c:pt>
                <c:pt idx="7">
                  <c:v>-7</c:v>
                </c:pt>
                <c:pt idx="8">
                  <c:v>-8</c:v>
                </c:pt>
                <c:pt idx="9">
                  <c:v>-9</c:v>
                </c:pt>
                <c:pt idx="10">
                  <c:v>-10</c:v>
                </c:pt>
              </c:numCache>
            </c:numRef>
          </c:xVal>
          <c:yVal>
            <c:numRef>
              <c:f>'Effect of gravity'!$H$45:$H$55</c:f>
              <c:numCache>
                <c:ptCount val="11"/>
                <c:pt idx="0">
                  <c:v>-0.01669092989931964</c:v>
                </c:pt>
                <c:pt idx="1">
                  <c:v>0.22234174373742466</c:v>
                </c:pt>
                <c:pt idx="2">
                  <c:v>0.4608633679937746</c:v>
                </c:pt>
                <c:pt idx="3">
                  <c:v>0.6988012868723719</c:v>
                </c:pt>
                <c:pt idx="4">
                  <c:v>0.9360830221781686</c:v>
                </c:pt>
                <c:pt idx="5">
                  <c:v>1.172636295595992</c:v>
                </c:pt>
                <c:pt idx="6">
                  <c:v>1.4083890507072143</c:v>
                </c:pt>
                <c:pt idx="7">
                  <c:v>1.643269474938842</c:v>
                </c:pt>
                <c:pt idx="8">
                  <c:v>1.8772060214383157</c:v>
                </c:pt>
                <c:pt idx="9">
                  <c:v>2.110127430867377</c:v>
                </c:pt>
                <c:pt idx="10">
                  <c:v>2.341962753108355</c:v>
                </c:pt>
              </c:numCache>
            </c:numRef>
          </c:yVal>
          <c:smooth val="0"/>
        </c:ser>
        <c:ser>
          <c:idx val="2"/>
          <c:order val="2"/>
          <c:tx>
            <c:v>Actuator inclination domain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'Effect of gravity'!$A$26:$A$27</c:f>
              <c:numCache>
                <c:ptCount val="2"/>
                <c:pt idx="0">
                  <c:v>7.7</c:v>
                </c:pt>
                <c:pt idx="1">
                  <c:v>-7.95</c:v>
                </c:pt>
              </c:numCache>
            </c:numRef>
          </c:xVal>
          <c:yVal>
            <c:numRef>
              <c:f>('Effect of gravity'!$I$22,'Effect of gravity'!$I$22)</c:f>
              <c:numCache>
                <c:ptCount val="2"/>
                <c:pt idx="0">
                  <c:v>-1.8721461187214612</c:v>
                </c:pt>
                <c:pt idx="1">
                  <c:v>-1.8721461187214612</c:v>
                </c:pt>
              </c:numCache>
            </c:numRef>
          </c:yVal>
          <c:smooth val="0"/>
        </c:ser>
        <c:ser>
          <c:idx val="3"/>
          <c:order val="3"/>
          <c:tx>
            <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'Effect of gravity'!$A$26:$A$27</c:f>
              <c:numCache>
                <c:ptCount val="2"/>
                <c:pt idx="0">
                  <c:v>7.7</c:v>
                </c:pt>
                <c:pt idx="1">
                  <c:v>-7.95</c:v>
                </c:pt>
              </c:numCache>
            </c:numRef>
          </c:xVal>
          <c:yVal>
            <c:numRef>
              <c:f>('Effect of gravity'!$K$22,'Effect of gravity'!$K$22)</c:f>
              <c:numCache>
                <c:ptCount val="2"/>
                <c:pt idx="0">
                  <c:v>1.8721461187214612</c:v>
                </c:pt>
                <c:pt idx="1">
                  <c:v>1.8721461187214612</c:v>
                </c:pt>
              </c:numCache>
            </c:numRef>
          </c:yVal>
          <c:smooth val="0"/>
        </c:ser>
        <c:ser>
          <c:idx val="4"/>
          <c:order val="4"/>
          <c:tx>
            <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('Effect of gravity'!$E$30,'Effect of gravity'!$E$30)</c:f>
              <c:numCache>
                <c:ptCount val="2"/>
                <c:pt idx="0">
                  <c:v>-7.95</c:v>
                </c:pt>
                <c:pt idx="1">
                  <c:v>-7.95</c:v>
                </c:pt>
              </c:numCache>
            </c:numRef>
          </c:xVal>
          <c:yVal>
            <c:numRef>
              <c:f>('Effect of gravity'!$I$22,'Effect of gravity'!$K$22)</c:f>
              <c:numCache>
                <c:ptCount val="2"/>
                <c:pt idx="0">
                  <c:v>-1.8721461187214612</c:v>
                </c:pt>
                <c:pt idx="1">
                  <c:v>1.8721461187214612</c:v>
                </c:pt>
              </c:numCache>
            </c:numRef>
          </c:yVal>
          <c:smooth val="0"/>
        </c:ser>
        <c:ser>
          <c:idx val="5"/>
          <c:order val="5"/>
          <c:tx>
            <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('Effect of gravity'!$A$26,'Effect of gravity'!$A$26)</c:f>
              <c:numCache>
                <c:ptCount val="2"/>
                <c:pt idx="0">
                  <c:v>7.7</c:v>
                </c:pt>
                <c:pt idx="1">
                  <c:v>7.7</c:v>
                </c:pt>
              </c:numCache>
            </c:numRef>
          </c:xVal>
          <c:yVal>
            <c:numRef>
              <c:f>('Effect of gravity'!$I$22,'Effect of gravity'!$K$22)</c:f>
              <c:numCache>
                <c:ptCount val="2"/>
                <c:pt idx="0">
                  <c:v>-1.8721461187214612</c:v>
                </c:pt>
                <c:pt idx="1">
                  <c:v>1.8721461187214612</c:v>
                </c:pt>
              </c:numCache>
            </c:numRef>
          </c:yVal>
          <c:smooth val="0"/>
        </c:ser>
        <c:axId val="39223806"/>
        <c:axId val="64672175"/>
      </c:scatterChart>
      <c:valAx>
        <c:axId val="39223806"/>
        <c:scaling>
          <c:orientation val="minMax"/>
        </c:scaling>
        <c:axPos val="b"/>
        <c:title>
          <c:tx>
            <c:rich>
              <a:bodyPr vert="horz" rot="0" anchor="ctr"/>
              <a:lstStyle/>
              <a:p>
                <a:pPr algn="ctr">
                  <a:defRPr/>
                </a:pPr>
                <a:r>
                  <a:rPr lang="en-US" cap="none" sz="1625" b="1" i="0" u="none" baseline="0">
                    <a:latin typeface="Arial"/>
                    <a:ea typeface="Arial"/>
                    <a:cs typeface="Arial"/>
                  </a:rPr>
                  <a:t>Inclination (°)</a:t>
                </a:r>
              </a:p>
            </c:rich>
          </c:tx>
          <c:layout/>
          <c:overlay val="0"/>
          <c:spPr>
            <a:noFill/>
            <a:ln>
              <a:noFill/>
            </a:ln>
          </c:spPr>
        </c:title>
        <c:delete val="0"/>
        <c:numFmt formatCode="General" sourceLinked="1"/>
        <c:majorTickMark val="out"/>
        <c:minorTickMark val="none"/>
        <c:tickLblPos val="nextTo"/>
        <c:crossAx val="64672175"/>
        <c:crosses val="autoZero"/>
        <c:crossBetween val="midCat"/>
        <c:dispUnits/>
      </c:valAx>
      <c:valAx>
        <c:axId val="64672175"/>
        <c:scaling>
          <c:orientation val="minMax"/>
        </c:scaling>
        <c:axPos val="l"/>
        <c:title>
          <c:tx>
            <c:rich>
              <a:bodyPr vert="horz" rot="-5400000" anchor="ctr"/>
              <a:lstStyle/>
              <a:p>
                <a:pPr algn="ctr">
                  <a:defRPr/>
                </a:pPr>
                <a:r>
                  <a:rPr lang="en-US" cap="none" sz="1625" b="1" i="0" u="none" baseline="0">
                    <a:latin typeface="Arial"/>
                    <a:ea typeface="Arial"/>
                    <a:cs typeface="Arial"/>
                  </a:rPr>
                  <a:t>Force (N)</a:t>
                </a:r>
              </a:p>
            </c:rich>
          </c:tx>
          <c:layout/>
          <c:overlay val="0"/>
          <c:spPr>
            <a:noFill/>
            <a:ln>
              <a:noFill/>
            </a:ln>
          </c:spPr>
        </c:title>
        <c:majorGridlines/>
        <c:delete val="0"/>
        <c:numFmt formatCode="General" sourceLinked="1"/>
        <c:majorTickMark val="out"/>
        <c:minorTickMark val="none"/>
        <c:tickLblPos val="nextTo"/>
        <c:crossAx val="39223806"/>
        <c:crosses val="autoZero"/>
        <c:crossBetween val="midCat"/>
        <c:dispUnits/>
      </c:valAx>
      <c:spPr>
        <a:solidFill>
          <a:srgbClr val="C0C0C0"/>
        </a:solidFill>
        <a:ln w="12700">
          <a:solidFill>
            <a:srgbClr val="808080"/>
          </a:solidFill>
        </a:ln>
      </c:spPr>
    </c:plotArea>
    <c:legend>
      <c:legendPos val="r"/>
      <c:layout>
        <c:manualLayout>
          <c:xMode val="edge"/>
          <c:yMode val="edge"/>
          <c:x val="0.7525"/>
          <c:y val="0.3585"/>
          <c:w val="0.23975"/>
          <c:h val="0.22"/>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95250</xdr:rowOff>
    </xdr:from>
    <xdr:to>
      <xdr:col>11</xdr:col>
      <xdr:colOff>904875</xdr:colOff>
      <xdr:row>90</xdr:row>
      <xdr:rowOff>133350</xdr:rowOff>
    </xdr:to>
    <xdr:graphicFrame>
      <xdr:nvGraphicFramePr>
        <xdr:cNvPr id="1" name="Chart 1"/>
        <xdr:cNvGraphicFramePr/>
      </xdr:nvGraphicFramePr>
      <xdr:xfrm>
        <a:off x="914400" y="12515850"/>
        <a:ext cx="10048875" cy="5381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6</xdr:row>
      <xdr:rowOff>133350</xdr:rowOff>
    </xdr:from>
    <xdr:to>
      <xdr:col>4</xdr:col>
      <xdr:colOff>323850</xdr:colOff>
      <xdr:row>8</xdr:row>
      <xdr:rowOff>123825</xdr:rowOff>
    </xdr:to>
    <xdr:sp>
      <xdr:nvSpPr>
        <xdr:cNvPr id="1" name="Oval 3"/>
        <xdr:cNvSpPr>
          <a:spLocks/>
        </xdr:cNvSpPr>
      </xdr:nvSpPr>
      <xdr:spPr>
        <a:xfrm>
          <a:off x="3028950" y="1104900"/>
          <a:ext cx="342900"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6</xdr:row>
      <xdr:rowOff>152400</xdr:rowOff>
    </xdr:from>
    <xdr:to>
      <xdr:col>6</xdr:col>
      <xdr:colOff>142875</xdr:colOff>
      <xdr:row>8</xdr:row>
      <xdr:rowOff>142875</xdr:rowOff>
    </xdr:to>
    <xdr:sp>
      <xdr:nvSpPr>
        <xdr:cNvPr id="2" name="Oval 4"/>
        <xdr:cNvSpPr>
          <a:spLocks/>
        </xdr:cNvSpPr>
      </xdr:nvSpPr>
      <xdr:spPr>
        <a:xfrm>
          <a:off x="4371975" y="1123950"/>
          <a:ext cx="342900"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17</xdr:row>
      <xdr:rowOff>0</xdr:rowOff>
    </xdr:from>
    <xdr:to>
      <xdr:col>8</xdr:col>
      <xdr:colOff>161925</xdr:colOff>
      <xdr:row>18</xdr:row>
      <xdr:rowOff>152400</xdr:rowOff>
    </xdr:to>
    <xdr:sp>
      <xdr:nvSpPr>
        <xdr:cNvPr id="3" name="Oval 5"/>
        <xdr:cNvSpPr>
          <a:spLocks/>
        </xdr:cNvSpPr>
      </xdr:nvSpPr>
      <xdr:spPr>
        <a:xfrm>
          <a:off x="5915025" y="2752725"/>
          <a:ext cx="342900"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16</xdr:row>
      <xdr:rowOff>152400</xdr:rowOff>
    </xdr:from>
    <xdr:to>
      <xdr:col>2</xdr:col>
      <xdr:colOff>171450</xdr:colOff>
      <xdr:row>18</xdr:row>
      <xdr:rowOff>142875</xdr:rowOff>
    </xdr:to>
    <xdr:sp>
      <xdr:nvSpPr>
        <xdr:cNvPr id="4" name="Oval 6"/>
        <xdr:cNvSpPr>
          <a:spLocks/>
        </xdr:cNvSpPr>
      </xdr:nvSpPr>
      <xdr:spPr>
        <a:xfrm>
          <a:off x="1352550" y="2743200"/>
          <a:ext cx="342900"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8</xdr:row>
      <xdr:rowOff>57150</xdr:rowOff>
    </xdr:from>
    <xdr:to>
      <xdr:col>4</xdr:col>
      <xdr:colOff>0</xdr:colOff>
      <xdr:row>17</xdr:row>
      <xdr:rowOff>28575</xdr:rowOff>
    </xdr:to>
    <xdr:sp>
      <xdr:nvSpPr>
        <xdr:cNvPr id="5" name="Line 7"/>
        <xdr:cNvSpPr>
          <a:spLocks/>
        </xdr:cNvSpPr>
      </xdr:nvSpPr>
      <xdr:spPr>
        <a:xfrm flipH="1">
          <a:off x="1657350" y="1352550"/>
          <a:ext cx="1390650" cy="14287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8</xdr:row>
      <xdr:rowOff>123825</xdr:rowOff>
    </xdr:from>
    <xdr:to>
      <xdr:col>7</xdr:col>
      <xdr:colOff>628650</xdr:colOff>
      <xdr:row>17</xdr:row>
      <xdr:rowOff>47625</xdr:rowOff>
    </xdr:to>
    <xdr:sp>
      <xdr:nvSpPr>
        <xdr:cNvPr id="6" name="Line 8"/>
        <xdr:cNvSpPr>
          <a:spLocks/>
        </xdr:cNvSpPr>
      </xdr:nvSpPr>
      <xdr:spPr>
        <a:xfrm>
          <a:off x="4667250" y="1419225"/>
          <a:ext cx="1295400" cy="13811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8</xdr:row>
      <xdr:rowOff>0</xdr:rowOff>
    </xdr:from>
    <xdr:to>
      <xdr:col>5</xdr:col>
      <xdr:colOff>552450</xdr:colOff>
      <xdr:row>8</xdr:row>
      <xdr:rowOff>0</xdr:rowOff>
    </xdr:to>
    <xdr:sp>
      <xdr:nvSpPr>
        <xdr:cNvPr id="7" name="Line 9"/>
        <xdr:cNvSpPr>
          <a:spLocks/>
        </xdr:cNvSpPr>
      </xdr:nvSpPr>
      <xdr:spPr>
        <a:xfrm flipH="1">
          <a:off x="3390900" y="1295400"/>
          <a:ext cx="9715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5</xdr:row>
      <xdr:rowOff>38100</xdr:rowOff>
    </xdr:from>
    <xdr:to>
      <xdr:col>5</xdr:col>
      <xdr:colOff>276225</xdr:colOff>
      <xdr:row>6</xdr:row>
      <xdr:rowOff>57150</xdr:rowOff>
    </xdr:to>
    <xdr:sp>
      <xdr:nvSpPr>
        <xdr:cNvPr id="8" name="TextBox 10"/>
        <xdr:cNvSpPr txBox="1">
          <a:spLocks noChangeArrowheads="1"/>
        </xdr:cNvSpPr>
      </xdr:nvSpPr>
      <xdr:spPr>
        <a:xfrm>
          <a:off x="3543300" y="847725"/>
          <a:ext cx="542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Distance</a:t>
          </a:r>
        </a:p>
      </xdr:txBody>
    </xdr:sp>
    <xdr:clientData/>
  </xdr:twoCellAnchor>
  <xdr:twoCellAnchor>
    <xdr:from>
      <xdr:col>4</xdr:col>
      <xdr:colOff>171450</xdr:colOff>
      <xdr:row>17</xdr:row>
      <xdr:rowOff>85725</xdr:rowOff>
    </xdr:from>
    <xdr:to>
      <xdr:col>5</xdr:col>
      <xdr:colOff>581025</xdr:colOff>
      <xdr:row>18</xdr:row>
      <xdr:rowOff>123825</xdr:rowOff>
    </xdr:to>
    <xdr:sp>
      <xdr:nvSpPr>
        <xdr:cNvPr id="9" name="TextBox 11"/>
        <xdr:cNvSpPr txBox="1">
          <a:spLocks noChangeArrowheads="1"/>
        </xdr:cNvSpPr>
      </xdr:nvSpPr>
      <xdr:spPr>
        <a:xfrm>
          <a:off x="3219450" y="2838450"/>
          <a:ext cx="11715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Travel + Distance</a:t>
          </a:r>
        </a:p>
      </xdr:txBody>
    </xdr:sp>
    <xdr:clientData/>
  </xdr:twoCellAnchor>
  <xdr:twoCellAnchor>
    <xdr:from>
      <xdr:col>2</xdr:col>
      <xdr:colOff>0</xdr:colOff>
      <xdr:row>10</xdr:row>
      <xdr:rowOff>0</xdr:rowOff>
    </xdr:from>
    <xdr:to>
      <xdr:col>2</xdr:col>
      <xdr:colOff>0</xdr:colOff>
      <xdr:row>16</xdr:row>
      <xdr:rowOff>152400</xdr:rowOff>
    </xdr:to>
    <xdr:sp>
      <xdr:nvSpPr>
        <xdr:cNvPr id="10" name="Line 12"/>
        <xdr:cNvSpPr>
          <a:spLocks/>
        </xdr:cNvSpPr>
      </xdr:nvSpPr>
      <xdr:spPr>
        <a:xfrm>
          <a:off x="1524000" y="1619250"/>
          <a:ext cx="0"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152400</xdr:rowOff>
    </xdr:from>
    <xdr:to>
      <xdr:col>2</xdr:col>
      <xdr:colOff>476250</xdr:colOff>
      <xdr:row>12</xdr:row>
      <xdr:rowOff>0</xdr:rowOff>
    </xdr:to>
    <xdr:sp>
      <xdr:nvSpPr>
        <xdr:cNvPr id="11" name="TextBox 13"/>
        <xdr:cNvSpPr txBox="1">
          <a:spLocks noChangeArrowheads="1"/>
        </xdr:cNvSpPr>
      </xdr:nvSpPr>
      <xdr:spPr>
        <a:xfrm>
          <a:off x="1609725" y="1771650"/>
          <a:ext cx="3905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Angle</a:t>
          </a:r>
        </a:p>
      </xdr:txBody>
    </xdr:sp>
    <xdr:clientData/>
  </xdr:twoCellAnchor>
  <xdr:twoCellAnchor>
    <xdr:from>
      <xdr:col>2</xdr:col>
      <xdr:colOff>19050</xdr:colOff>
      <xdr:row>14</xdr:row>
      <xdr:rowOff>28575</xdr:rowOff>
    </xdr:from>
    <xdr:to>
      <xdr:col>2</xdr:col>
      <xdr:colOff>381000</xdr:colOff>
      <xdr:row>15</xdr:row>
      <xdr:rowOff>114300</xdr:rowOff>
    </xdr:to>
    <xdr:sp>
      <xdr:nvSpPr>
        <xdr:cNvPr id="12" name="Arc 14"/>
        <xdr:cNvSpPr>
          <a:spLocks/>
        </xdr:cNvSpPr>
      </xdr:nvSpPr>
      <xdr:spPr>
        <a:xfrm flipH="1" flipV="1">
          <a:off x="1543050" y="2295525"/>
          <a:ext cx="361950" cy="247650"/>
        </a:xfrm>
        <a:prstGeom prst="arc">
          <a:avLst>
            <a:gd name="adj1" fmla="val 27254152"/>
            <a:gd name="adj2" fmla="val 54202023"/>
            <a:gd name="adj3" fmla="val 49976"/>
            <a:gd name="adj4" fmla="val -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8</xdr:row>
      <xdr:rowOff>142875</xdr:rowOff>
    </xdr:from>
    <xdr:to>
      <xdr:col>4</xdr:col>
      <xdr:colOff>161925</xdr:colOff>
      <xdr:row>15</xdr:row>
      <xdr:rowOff>133350</xdr:rowOff>
    </xdr:to>
    <xdr:sp>
      <xdr:nvSpPr>
        <xdr:cNvPr id="13" name="Line 15"/>
        <xdr:cNvSpPr>
          <a:spLocks/>
        </xdr:cNvSpPr>
      </xdr:nvSpPr>
      <xdr:spPr>
        <a:xfrm>
          <a:off x="3209925" y="1438275"/>
          <a:ext cx="0"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9</xdr:row>
      <xdr:rowOff>114300</xdr:rowOff>
    </xdr:from>
    <xdr:to>
      <xdr:col>4</xdr:col>
      <xdr:colOff>161925</xdr:colOff>
      <xdr:row>10</xdr:row>
      <xdr:rowOff>152400</xdr:rowOff>
    </xdr:to>
    <xdr:sp>
      <xdr:nvSpPr>
        <xdr:cNvPr id="14" name="Arc 17"/>
        <xdr:cNvSpPr>
          <a:spLocks/>
        </xdr:cNvSpPr>
      </xdr:nvSpPr>
      <xdr:spPr>
        <a:xfrm flipH="1" flipV="1">
          <a:off x="2847975" y="1571625"/>
          <a:ext cx="361950" cy="200025"/>
        </a:xfrm>
        <a:prstGeom prst="arc">
          <a:avLst>
            <a:gd name="adj1" fmla="val -26594208"/>
            <a:gd name="adj2" fmla="val 4990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152400</xdr:rowOff>
    </xdr:from>
    <xdr:to>
      <xdr:col>6</xdr:col>
      <xdr:colOff>0</xdr:colOff>
      <xdr:row>15</xdr:row>
      <xdr:rowOff>142875</xdr:rowOff>
    </xdr:to>
    <xdr:sp>
      <xdr:nvSpPr>
        <xdr:cNvPr id="15" name="Line 18"/>
        <xdr:cNvSpPr>
          <a:spLocks/>
        </xdr:cNvSpPr>
      </xdr:nvSpPr>
      <xdr:spPr>
        <a:xfrm>
          <a:off x="4572000" y="1447800"/>
          <a:ext cx="0"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xdr:rowOff>
    </xdr:from>
    <xdr:to>
      <xdr:col>8</xdr:col>
      <xdr:colOff>0</xdr:colOff>
      <xdr:row>17</xdr:row>
      <xdr:rowOff>9525</xdr:rowOff>
    </xdr:to>
    <xdr:sp>
      <xdr:nvSpPr>
        <xdr:cNvPr id="16" name="Line 19"/>
        <xdr:cNvSpPr>
          <a:spLocks/>
        </xdr:cNvSpPr>
      </xdr:nvSpPr>
      <xdr:spPr>
        <a:xfrm>
          <a:off x="6096000" y="1638300"/>
          <a:ext cx="0"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14</xdr:row>
      <xdr:rowOff>114300</xdr:rowOff>
    </xdr:from>
    <xdr:to>
      <xdr:col>8</xdr:col>
      <xdr:colOff>9525</xdr:colOff>
      <xdr:row>15</xdr:row>
      <xdr:rowOff>133350</xdr:rowOff>
    </xdr:to>
    <xdr:sp>
      <xdr:nvSpPr>
        <xdr:cNvPr id="17" name="Arc 20"/>
        <xdr:cNvSpPr>
          <a:spLocks/>
        </xdr:cNvSpPr>
      </xdr:nvSpPr>
      <xdr:spPr>
        <a:xfrm flipH="1" flipV="1">
          <a:off x="5743575" y="2381250"/>
          <a:ext cx="361950" cy="180975"/>
        </a:xfrm>
        <a:prstGeom prst="arc">
          <a:avLst>
            <a:gd name="adj1" fmla="val -1458763"/>
            <a:gd name="adj2" fmla="val 27254250"/>
            <a:gd name="adj3" fmla="val -4190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10</xdr:row>
      <xdr:rowOff>133350</xdr:rowOff>
    </xdr:from>
    <xdr:to>
      <xdr:col>6</xdr:col>
      <xdr:colOff>381000</xdr:colOff>
      <xdr:row>11</xdr:row>
      <xdr:rowOff>142875</xdr:rowOff>
    </xdr:to>
    <xdr:sp>
      <xdr:nvSpPr>
        <xdr:cNvPr id="18" name="Arc 21"/>
        <xdr:cNvSpPr>
          <a:spLocks/>
        </xdr:cNvSpPr>
      </xdr:nvSpPr>
      <xdr:spPr>
        <a:xfrm flipH="1" flipV="1">
          <a:off x="4581525" y="1752600"/>
          <a:ext cx="371475" cy="171450"/>
        </a:xfrm>
        <a:prstGeom prst="arc">
          <a:avLst>
            <a:gd name="adj1" fmla="val 53592930"/>
            <a:gd name="adj2" fmla="val -28248157"/>
            <a:gd name="adj3" fmla="val 50000"/>
            <a:gd name="adj4" fmla="val 4987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12</xdr:row>
      <xdr:rowOff>19050</xdr:rowOff>
    </xdr:from>
    <xdr:to>
      <xdr:col>3</xdr:col>
      <xdr:colOff>742950</xdr:colOff>
      <xdr:row>13</xdr:row>
      <xdr:rowOff>28575</xdr:rowOff>
    </xdr:to>
    <xdr:sp>
      <xdr:nvSpPr>
        <xdr:cNvPr id="19" name="TextBox 22"/>
        <xdr:cNvSpPr txBox="1">
          <a:spLocks noChangeArrowheads="1"/>
        </xdr:cNvSpPr>
      </xdr:nvSpPr>
      <xdr:spPr>
        <a:xfrm>
          <a:off x="2638425" y="1962150"/>
          <a:ext cx="3905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Angle</a:t>
          </a:r>
        </a:p>
      </xdr:txBody>
    </xdr:sp>
    <xdr:clientData/>
  </xdr:twoCellAnchor>
  <xdr:twoCellAnchor>
    <xdr:from>
      <xdr:col>6</xdr:col>
      <xdr:colOff>104775</xdr:colOff>
      <xdr:row>12</xdr:row>
      <xdr:rowOff>123825</xdr:rowOff>
    </xdr:from>
    <xdr:to>
      <xdr:col>6</xdr:col>
      <xdr:colOff>495300</xdr:colOff>
      <xdr:row>13</xdr:row>
      <xdr:rowOff>133350</xdr:rowOff>
    </xdr:to>
    <xdr:sp>
      <xdr:nvSpPr>
        <xdr:cNvPr id="20" name="TextBox 23"/>
        <xdr:cNvSpPr txBox="1">
          <a:spLocks noChangeArrowheads="1"/>
        </xdr:cNvSpPr>
      </xdr:nvSpPr>
      <xdr:spPr>
        <a:xfrm>
          <a:off x="4676775" y="2066925"/>
          <a:ext cx="3905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Angle</a:t>
          </a:r>
        </a:p>
      </xdr:txBody>
    </xdr:sp>
    <xdr:clientData/>
  </xdr:twoCellAnchor>
  <xdr:twoCellAnchor>
    <xdr:from>
      <xdr:col>7</xdr:col>
      <xdr:colOff>180975</xdr:colOff>
      <xdr:row>12</xdr:row>
      <xdr:rowOff>47625</xdr:rowOff>
    </xdr:from>
    <xdr:to>
      <xdr:col>7</xdr:col>
      <xdr:colOff>571500</xdr:colOff>
      <xdr:row>13</xdr:row>
      <xdr:rowOff>57150</xdr:rowOff>
    </xdr:to>
    <xdr:sp>
      <xdr:nvSpPr>
        <xdr:cNvPr id="21" name="TextBox 24"/>
        <xdr:cNvSpPr txBox="1">
          <a:spLocks noChangeArrowheads="1"/>
        </xdr:cNvSpPr>
      </xdr:nvSpPr>
      <xdr:spPr>
        <a:xfrm>
          <a:off x="5514975" y="1990725"/>
          <a:ext cx="3905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Angle</a:t>
          </a:r>
        </a:p>
      </xdr:txBody>
    </xdr:sp>
    <xdr:clientData/>
  </xdr:twoCellAnchor>
  <xdr:twoCellAnchor>
    <xdr:from>
      <xdr:col>0</xdr:col>
      <xdr:colOff>390525</xdr:colOff>
      <xdr:row>20</xdr:row>
      <xdr:rowOff>152400</xdr:rowOff>
    </xdr:from>
    <xdr:to>
      <xdr:col>10</xdr:col>
      <xdr:colOff>352425</xdr:colOff>
      <xdr:row>27</xdr:row>
      <xdr:rowOff>152400</xdr:rowOff>
    </xdr:to>
    <xdr:sp>
      <xdr:nvSpPr>
        <xdr:cNvPr id="22" name="TextBox 25"/>
        <xdr:cNvSpPr txBox="1">
          <a:spLocks noChangeArrowheads="1"/>
        </xdr:cNvSpPr>
      </xdr:nvSpPr>
      <xdr:spPr>
        <a:xfrm>
          <a:off x="390525" y="3390900"/>
          <a:ext cx="758190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Torque on one pivot = Force x Arm_length x cos(Angle)
Torque on one pivot = Angular_Stiffness x Angle
Arm_lenght=Travel/sin(Angle)
Force to rotate one pivot =Angular_Stiffness x Angle x tan(Angle) / Travel
Force to rotate 16 pivots = Force on one pivot x 16</a:t>
          </a:r>
        </a:p>
      </xdr:txBody>
    </xdr:sp>
    <xdr:clientData/>
  </xdr:twoCellAnchor>
  <xdr:twoCellAnchor>
    <xdr:from>
      <xdr:col>1</xdr:col>
      <xdr:colOff>0</xdr:colOff>
      <xdr:row>0</xdr:row>
      <xdr:rowOff>152400</xdr:rowOff>
    </xdr:from>
    <xdr:to>
      <xdr:col>10</xdr:col>
      <xdr:colOff>180975</xdr:colOff>
      <xdr:row>3</xdr:row>
      <xdr:rowOff>0</xdr:rowOff>
    </xdr:to>
    <xdr:sp>
      <xdr:nvSpPr>
        <xdr:cNvPr id="23" name="TextBox 26"/>
        <xdr:cNvSpPr txBox="1">
          <a:spLocks noChangeArrowheads="1"/>
        </xdr:cNvSpPr>
      </xdr:nvSpPr>
      <xdr:spPr>
        <a:xfrm>
          <a:off x="762000" y="152400"/>
          <a:ext cx="70389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By hypothesis, the pivots are at their rest position when the mechanism is in its launch position.</a:t>
          </a:r>
        </a:p>
      </xdr:txBody>
    </xdr:sp>
    <xdr:clientData/>
  </xdr:twoCellAnchor>
  <xdr:twoCellAnchor>
    <xdr:from>
      <xdr:col>0</xdr:col>
      <xdr:colOff>371475</xdr:colOff>
      <xdr:row>36</xdr:row>
      <xdr:rowOff>0</xdr:rowOff>
    </xdr:from>
    <xdr:to>
      <xdr:col>10</xdr:col>
      <xdr:colOff>371475</xdr:colOff>
      <xdr:row>68</xdr:row>
      <xdr:rowOff>152400</xdr:rowOff>
    </xdr:to>
    <xdr:sp>
      <xdr:nvSpPr>
        <xdr:cNvPr id="24" name="TextBox 27"/>
        <xdr:cNvSpPr txBox="1">
          <a:spLocks noChangeArrowheads="1"/>
        </xdr:cNvSpPr>
      </xdr:nvSpPr>
      <xdr:spPr>
        <a:xfrm>
          <a:off x="371475" y="5829300"/>
          <a:ext cx="7620000" cy="533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F = B x I x L x sin(alpha)
B depends on the magnet, and its distance from the coil wires.
I is the current in the wires.
L is the length of the coil wire.
alpha depends on the coil wiring, but is very near to pi/2, sin(alpha) being very near to 1.
So,
F = k x I x L
P = R x I²
R = ro x L /S  where ro is the resistivity of the wire - example : the copper resistivity is 1.7E-8 Ohm.m, L the wire length, S the wire section
V = L x S x wlf    where wlf is the winding loose factor, which translates the difference between a volume completely filled with copper and the reality where the volume is occupied by the copper plus the insulator plus the void due between the wires. Let us say that wlf is a constant, whatever the diameter of the wires is.
So,
 P = ro x L / S x F² /k² /L² = ro x F² / ( k² x S x L) = (ro x F² / k²) x 1 / (V / wlf)
</a:t>
          </a:r>
          <a:r>
            <a:rPr lang="en-US" cap="none" sz="1200" b="1" i="0" u="none" baseline="0">
              <a:latin typeface="Arial"/>
              <a:ea typeface="Arial"/>
              <a:cs typeface="Arial"/>
            </a:rPr>
            <a:t>For a given force, magnet, actuator geometry,  coil volume, wire material, the power which is dissipated in the coil does not depend on the wire diameter .</a:t>
          </a:r>
        </a:p>
      </xdr:txBody>
    </xdr:sp>
    <xdr:clientData/>
  </xdr:twoCellAnchor>
  <xdr:twoCellAnchor>
    <xdr:from>
      <xdr:col>0</xdr:col>
      <xdr:colOff>352425</xdr:colOff>
      <xdr:row>71</xdr:row>
      <xdr:rowOff>0</xdr:rowOff>
    </xdr:from>
    <xdr:to>
      <xdr:col>10</xdr:col>
      <xdr:colOff>409575</xdr:colOff>
      <xdr:row>91</xdr:row>
      <xdr:rowOff>66675</xdr:rowOff>
    </xdr:to>
    <xdr:sp>
      <xdr:nvSpPr>
        <xdr:cNvPr id="25" name="TextBox 28"/>
        <xdr:cNvSpPr txBox="1">
          <a:spLocks noChangeArrowheads="1"/>
        </xdr:cNvSpPr>
      </xdr:nvSpPr>
      <xdr:spPr>
        <a:xfrm>
          <a:off x="352425" y="11496675"/>
          <a:ext cx="7677150" cy="3305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 method use hereafter to evaluate the characteristics of an actuator is very simple: 
</a:t>
          </a:r>
          <a:r>
            <a:rPr lang="en-US" cap="none" sz="1200" b="1" i="0" u="none" baseline="0">
              <a:latin typeface="Arial"/>
              <a:ea typeface="Arial"/>
              <a:cs typeface="Arial"/>
            </a:rPr>
            <a:t>Calculate the dissipated power taking the KIMCO actuator as a basis and then make variations.
</a:t>
          </a:r>
          <a:r>
            <a:rPr lang="en-US" cap="none" sz="1200" b="0" i="0" u="none" baseline="0">
              <a:latin typeface="Arial"/>
              <a:ea typeface="Arial"/>
              <a:cs typeface="Arial"/>
            </a:rPr>
            <a:t>
First :
Set the value of the cryoharness 300K resistance : Rsh300
Set the value of the number by which the coil wire 4K resistance is to be multiplied to obtain the coil wire 300K resistance : coef_temp
Set the value of the angular stiffness of the pivots : Ka
Set the quantity of pivots : P_Q
Set the moving mass : M
Set the allocated cryoharness peak current : ichm
Set the allocated SMEC board max voltage : Usp
Set the corner cubes travel range : T_R
Set the actuator force sensitivity : Fs
Set the actuator 300K resistance : Rsa300
</a:t>
          </a:r>
          <a:r>
            <a:rPr lang="en-US" cap="none" sz="1000" b="0" i="0" u="none" baseline="0">
              <a:latin typeface="Arial"/>
              <a:ea typeface="Arial"/>
              <a:cs typeface="Arial"/>
            </a:rPr>
            <a:t>
</a:t>
          </a:r>
        </a:p>
      </xdr:txBody>
    </xdr:sp>
    <xdr:clientData/>
  </xdr:twoCellAnchor>
  <xdr:twoCellAnchor>
    <xdr:from>
      <xdr:col>0</xdr:col>
      <xdr:colOff>371475</xdr:colOff>
      <xdr:row>92</xdr:row>
      <xdr:rowOff>0</xdr:rowOff>
    </xdr:from>
    <xdr:to>
      <xdr:col>10</xdr:col>
      <xdr:colOff>428625</xdr:colOff>
      <xdr:row>125</xdr:row>
      <xdr:rowOff>133350</xdr:rowOff>
    </xdr:to>
    <xdr:sp>
      <xdr:nvSpPr>
        <xdr:cNvPr id="26" name="TextBox 29"/>
        <xdr:cNvSpPr txBox="1">
          <a:spLocks noChangeArrowheads="1"/>
        </xdr:cNvSpPr>
      </xdr:nvSpPr>
      <xdr:spPr>
        <a:xfrm>
          <a:off x="371475" y="14897100"/>
          <a:ext cx="7677150" cy="547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For a given angular displacement THETA of the pivots,
compute, as a by-product, the arm length needed to achieve the specified travel : 
arm_length = T_R / 2 x SIN(THETA)
compute the total force to be applied on the mechanism to move the corner cubes by the specified travel : 
F = P_Q x Ka x THETA x tan(THETA) / T_R
compute, as a by-product, the mechanism stiffness :  F / T_R
compute, as a by-product, an estimate the first resonance frequency : 1 / 2 x pi x SQR( K / M )
using the KIMCO actuator characteristics, 
compute the max current, i.e. the current needed to keep the corner cubes at their maximum extended position (max travel) : imax = F / Fs
compute the max voltage at 300K, taking into account the cryoharness and the actuator resistances at 300K : Up = ( Rsh300 + Rsa300 ) x imax
compute the dissipated max power at 4K, taking into account the actuator resistance at 4K and  the max current : Pp = imax² x Rsa / coef_temp
using the allocated actuator max current as the constant (ichp),
compute the actuator300K resistance with the dissipated max power : Ra300 = coef_temp x Pp / ichm².
compute the max 300K voltage, taking into account the cryoharness and the actuator resistances at 300K : Um = (Ra300 + Rsh300) x ichm
using the allocated SMEC board max voltage as the constant, 
compute the max current ip, by solving the equation : Rsh300 x ip² - Usp x ip + Pp x coef_temp =0
compute the actuator 300K resistance, Rsa300 = coef_temp x Pp / ip².</a:t>
          </a:r>
        </a:p>
      </xdr:txBody>
    </xdr:sp>
    <xdr:clientData/>
  </xdr:twoCellAnchor>
  <xdr:twoCellAnchor>
    <xdr:from>
      <xdr:col>8</xdr:col>
      <xdr:colOff>161925</xdr:colOff>
      <xdr:row>18</xdr:row>
      <xdr:rowOff>9525</xdr:rowOff>
    </xdr:from>
    <xdr:to>
      <xdr:col>9</xdr:col>
      <xdr:colOff>695325</xdr:colOff>
      <xdr:row>18</xdr:row>
      <xdr:rowOff>9525</xdr:rowOff>
    </xdr:to>
    <xdr:sp>
      <xdr:nvSpPr>
        <xdr:cNvPr id="27" name="Line 30"/>
        <xdr:cNvSpPr>
          <a:spLocks/>
        </xdr:cNvSpPr>
      </xdr:nvSpPr>
      <xdr:spPr>
        <a:xfrm>
          <a:off x="6257925" y="2924175"/>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17</xdr:row>
      <xdr:rowOff>76200</xdr:rowOff>
    </xdr:from>
    <xdr:to>
      <xdr:col>10</xdr:col>
      <xdr:colOff>619125</xdr:colOff>
      <xdr:row>18</xdr:row>
      <xdr:rowOff>104775</xdr:rowOff>
    </xdr:to>
    <xdr:sp>
      <xdr:nvSpPr>
        <xdr:cNvPr id="28" name="TextBox 31"/>
        <xdr:cNvSpPr txBox="1">
          <a:spLocks noChangeArrowheads="1"/>
        </xdr:cNvSpPr>
      </xdr:nvSpPr>
      <xdr:spPr>
        <a:xfrm>
          <a:off x="7629525" y="2828925"/>
          <a:ext cx="60960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Force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05"/>
  <sheetViews>
    <sheetView tabSelected="1" view="pageBreakPreview" zoomScale="75" zoomScaleNormal="75" zoomScaleSheetLayoutView="75" workbookViewId="0" topLeftCell="A114">
      <selection activeCell="A160" sqref="A160:L160"/>
    </sheetView>
  </sheetViews>
  <sheetFormatPr defaultColWidth="11.421875" defaultRowHeight="12.75"/>
  <cols>
    <col min="1" max="4" width="13.7109375" style="2" customWidth="1"/>
    <col min="5" max="5" width="14.00390625" style="2" customWidth="1"/>
    <col min="6" max="16384" width="13.7109375" style="2" customWidth="1"/>
  </cols>
  <sheetData>
    <row r="1" spans="1:12" ht="15">
      <c r="A1" s="157"/>
      <c r="B1" s="157"/>
      <c r="C1" s="157"/>
      <c r="D1" s="157"/>
      <c r="E1" s="157"/>
      <c r="F1" s="157"/>
      <c r="G1" s="157"/>
      <c r="H1" s="157"/>
      <c r="I1" s="157"/>
      <c r="J1" s="157"/>
      <c r="K1" s="157"/>
      <c r="L1" s="157"/>
    </row>
    <row r="2" spans="1:12" ht="26.25">
      <c r="A2" s="186" t="s">
        <v>228</v>
      </c>
      <c r="B2" s="186"/>
      <c r="C2" s="186"/>
      <c r="D2" s="186"/>
      <c r="E2" s="186"/>
      <c r="F2" s="186"/>
      <c r="G2" s="186"/>
      <c r="H2" s="186"/>
      <c r="I2" s="186"/>
      <c r="J2" s="186"/>
      <c r="K2" s="186"/>
      <c r="L2" s="186"/>
    </row>
    <row r="3" spans="1:12" ht="15">
      <c r="A3" s="157" t="s">
        <v>229</v>
      </c>
      <c r="B3" s="157"/>
      <c r="C3" s="157"/>
      <c r="D3" s="157"/>
      <c r="E3" s="157"/>
      <c r="F3" s="157"/>
      <c r="G3" s="157"/>
      <c r="H3" s="157"/>
      <c r="I3" s="157"/>
      <c r="J3" s="157"/>
      <c r="K3" s="157"/>
      <c r="L3" s="157"/>
    </row>
    <row r="4" spans="1:12" ht="15">
      <c r="A4" s="157" t="s">
        <v>230</v>
      </c>
      <c r="B4" s="157"/>
      <c r="C4" s="157"/>
      <c r="D4" s="157"/>
      <c r="E4" s="157"/>
      <c r="F4" s="157"/>
      <c r="G4" s="157"/>
      <c r="H4" s="157"/>
      <c r="I4" s="157"/>
      <c r="J4" s="157"/>
      <c r="K4" s="157"/>
      <c r="L4" s="157"/>
    </row>
    <row r="5" spans="1:12" ht="15">
      <c r="A5" s="157" t="s">
        <v>233</v>
      </c>
      <c r="B5" s="157"/>
      <c r="C5" s="157"/>
      <c r="D5" s="157"/>
      <c r="E5" s="157"/>
      <c r="F5" s="157"/>
      <c r="G5" s="157"/>
      <c r="H5" s="157"/>
      <c r="I5" s="157"/>
      <c r="J5" s="157"/>
      <c r="K5" s="157"/>
      <c r="L5" s="157"/>
    </row>
    <row r="6" spans="1:12" ht="15">
      <c r="A6" s="157"/>
      <c r="B6" s="157"/>
      <c r="C6" s="157"/>
      <c r="D6" s="157"/>
      <c r="E6" s="157"/>
      <c r="F6" s="157"/>
      <c r="G6" s="157"/>
      <c r="H6" s="157"/>
      <c r="I6" s="157"/>
      <c r="J6" s="157"/>
      <c r="K6" s="157"/>
      <c r="L6" s="157"/>
    </row>
    <row r="7" spans="1:13" ht="20.25">
      <c r="A7" s="189" t="s">
        <v>66</v>
      </c>
      <c r="B7" s="189"/>
      <c r="C7" s="189"/>
      <c r="D7" s="189"/>
      <c r="E7" s="189"/>
      <c r="F7" s="189"/>
      <c r="G7" s="189"/>
      <c r="H7" s="189"/>
      <c r="I7" s="189"/>
      <c r="J7" s="189"/>
      <c r="K7" s="189"/>
      <c r="L7" s="189"/>
      <c r="M7" s="1"/>
    </row>
    <row r="8" spans="1:13" ht="15">
      <c r="A8" s="155"/>
      <c r="B8" s="155"/>
      <c r="C8" s="155"/>
      <c r="D8" s="155"/>
      <c r="E8" s="155"/>
      <c r="F8" s="155"/>
      <c r="G8" s="155"/>
      <c r="H8" s="155"/>
      <c r="I8" s="155"/>
      <c r="J8" s="155"/>
      <c r="K8" s="155"/>
      <c r="L8" s="155"/>
      <c r="M8" s="1"/>
    </row>
    <row r="9" spans="1:11" ht="15">
      <c r="A9" s="2" t="s">
        <v>207</v>
      </c>
      <c r="B9" s="157" t="s">
        <v>206</v>
      </c>
      <c r="C9" s="157"/>
      <c r="D9" s="157"/>
      <c r="E9" s="157"/>
      <c r="F9" s="157"/>
      <c r="G9" s="157"/>
      <c r="I9" s="157" t="s">
        <v>205</v>
      </c>
      <c r="J9" s="157"/>
      <c r="K9" s="157"/>
    </row>
    <row r="10" spans="1:11" ht="15">
      <c r="A10" s="2">
        <v>1</v>
      </c>
      <c r="B10" s="157" t="s">
        <v>213</v>
      </c>
      <c r="C10" s="157"/>
      <c r="D10" s="157"/>
      <c r="E10" s="157"/>
      <c r="F10" s="157"/>
      <c r="G10" s="157"/>
      <c r="I10" s="157" t="s">
        <v>214</v>
      </c>
      <c r="J10" s="157"/>
      <c r="K10" s="157"/>
    </row>
    <row r="11" spans="1:11" ht="15">
      <c r="A11" s="2">
        <v>2</v>
      </c>
      <c r="B11" s="157" t="s">
        <v>211</v>
      </c>
      <c r="C11" s="157"/>
      <c r="D11" s="157"/>
      <c r="E11" s="157"/>
      <c r="F11" s="157"/>
      <c r="G11" s="157"/>
      <c r="I11" s="157" t="s">
        <v>212</v>
      </c>
      <c r="J11" s="157"/>
      <c r="K11" s="157"/>
    </row>
    <row r="12" spans="1:11" ht="15">
      <c r="A12" s="2">
        <v>3</v>
      </c>
      <c r="B12" s="157" t="s">
        <v>210</v>
      </c>
      <c r="C12" s="157"/>
      <c r="D12" s="157"/>
      <c r="E12" s="157"/>
      <c r="F12" s="157"/>
      <c r="G12" s="157"/>
      <c r="I12" s="157" t="s">
        <v>215</v>
      </c>
      <c r="J12" s="157"/>
      <c r="K12" s="157"/>
    </row>
    <row r="13" spans="1:11" ht="15">
      <c r="A13" s="2">
        <v>4</v>
      </c>
      <c r="B13" s="157" t="s">
        <v>208</v>
      </c>
      <c r="C13" s="157"/>
      <c r="D13" s="157"/>
      <c r="E13" s="157"/>
      <c r="F13" s="157"/>
      <c r="G13" s="157"/>
      <c r="I13" s="157" t="s">
        <v>215</v>
      </c>
      <c r="J13" s="157"/>
      <c r="K13" s="157"/>
    </row>
    <row r="14" spans="1:11" ht="15">
      <c r="A14" s="2">
        <v>5</v>
      </c>
      <c r="B14" s="157" t="s">
        <v>209</v>
      </c>
      <c r="C14" s="157"/>
      <c r="D14" s="157"/>
      <c r="E14" s="157"/>
      <c r="F14" s="157"/>
      <c r="G14" s="157"/>
      <c r="I14" s="157" t="s">
        <v>204</v>
      </c>
      <c r="J14" s="157"/>
      <c r="K14" s="157"/>
    </row>
    <row r="15" spans="1:11" ht="15">
      <c r="A15" s="2">
        <v>6</v>
      </c>
      <c r="B15" s="157" t="s">
        <v>241</v>
      </c>
      <c r="C15" s="157"/>
      <c r="D15" s="157"/>
      <c r="E15" s="157"/>
      <c r="F15" s="157"/>
      <c r="G15" s="157"/>
      <c r="I15" s="157" t="s">
        <v>240</v>
      </c>
      <c r="J15" s="157"/>
      <c r="K15" s="157"/>
    </row>
    <row r="17" spans="1:12" ht="15">
      <c r="A17" s="157"/>
      <c r="B17" s="157"/>
      <c r="C17" s="157"/>
      <c r="D17" s="157"/>
      <c r="E17" s="157"/>
      <c r="F17" s="157"/>
      <c r="G17" s="157"/>
      <c r="H17" s="157"/>
      <c r="I17" s="157"/>
      <c r="J17" s="157"/>
      <c r="K17" s="157"/>
      <c r="L17" s="157"/>
    </row>
    <row r="18" spans="1:12" ht="20.25">
      <c r="A18" s="189" t="s">
        <v>232</v>
      </c>
      <c r="B18" s="189"/>
      <c r="C18" s="189"/>
      <c r="D18" s="189"/>
      <c r="E18" s="189"/>
      <c r="F18" s="189"/>
      <c r="G18" s="189"/>
      <c r="H18" s="189"/>
      <c r="I18" s="189"/>
      <c r="J18" s="189"/>
      <c r="K18" s="189"/>
      <c r="L18" s="189"/>
    </row>
    <row r="19" spans="1:12" ht="20.25">
      <c r="A19" s="189"/>
      <c r="B19" s="189"/>
      <c r="C19" s="189"/>
      <c r="D19" s="189"/>
      <c r="E19" s="189"/>
      <c r="F19" s="189"/>
      <c r="G19" s="189"/>
      <c r="H19" s="189"/>
      <c r="I19" s="189"/>
      <c r="J19" s="189"/>
      <c r="K19" s="189"/>
      <c r="L19" s="189"/>
    </row>
    <row r="20" spans="1:12" ht="15">
      <c r="A20" s="155" t="s">
        <v>231</v>
      </c>
      <c r="B20" s="155"/>
      <c r="C20" s="155"/>
      <c r="D20" s="155"/>
      <c r="E20" s="155"/>
      <c r="F20" s="155"/>
      <c r="G20" s="155"/>
      <c r="H20" s="155"/>
      <c r="I20" s="155"/>
      <c r="J20" s="155"/>
      <c r="K20" s="155"/>
      <c r="L20" s="155"/>
    </row>
    <row r="21" spans="1:12" ht="15">
      <c r="A21" s="155" t="s">
        <v>234</v>
      </c>
      <c r="B21" s="155"/>
      <c r="C21" s="155"/>
      <c r="D21" s="155"/>
      <c r="E21" s="155"/>
      <c r="F21" s="155"/>
      <c r="G21" s="155"/>
      <c r="H21" s="155"/>
      <c r="I21" s="155"/>
      <c r="J21" s="155"/>
      <c r="K21" s="155"/>
      <c r="L21" s="155"/>
    </row>
    <row r="22" spans="1:12" ht="15">
      <c r="A22" s="157"/>
      <c r="B22" s="157"/>
      <c r="C22" s="157"/>
      <c r="D22" s="157"/>
      <c r="E22" s="157"/>
      <c r="F22" s="157"/>
      <c r="G22" s="157"/>
      <c r="H22" s="157"/>
      <c r="I22" s="157"/>
      <c r="J22" s="157"/>
      <c r="K22" s="157"/>
      <c r="L22" s="157"/>
    </row>
    <row r="23" spans="1:12" ht="20.25">
      <c r="A23" s="189" t="s">
        <v>126</v>
      </c>
      <c r="B23" s="189"/>
      <c r="C23" s="189"/>
      <c r="D23" s="189"/>
      <c r="E23" s="189"/>
      <c r="F23" s="189"/>
      <c r="G23" s="189"/>
      <c r="H23" s="189"/>
      <c r="I23" s="189"/>
      <c r="J23" s="189"/>
      <c r="K23" s="189"/>
      <c r="L23" s="189"/>
    </row>
    <row r="24" spans="1:12" ht="20.25">
      <c r="A24" s="192" t="s">
        <v>76</v>
      </c>
      <c r="B24" s="218"/>
      <c r="C24" s="218"/>
      <c r="D24" s="218"/>
      <c r="E24" s="218"/>
      <c r="F24" s="218"/>
      <c r="G24" s="218"/>
      <c r="H24" s="218"/>
      <c r="I24" s="218"/>
      <c r="J24" s="218"/>
      <c r="K24" s="218"/>
      <c r="L24" s="218"/>
    </row>
    <row r="25" spans="1:12" ht="15.75">
      <c r="A25" s="190"/>
      <c r="B25" s="157"/>
      <c r="C25" s="157"/>
      <c r="D25" s="157"/>
      <c r="E25" s="157"/>
      <c r="F25" s="157"/>
      <c r="G25" s="157"/>
      <c r="H25" s="157"/>
      <c r="I25" s="157"/>
      <c r="J25" s="157"/>
      <c r="K25" s="157"/>
      <c r="L25" s="157"/>
    </row>
    <row r="26" spans="1:12" ht="15.75">
      <c r="A26" s="221"/>
      <c r="B26" s="160"/>
      <c r="C26" s="161"/>
      <c r="D26" s="119"/>
      <c r="E26" s="119"/>
      <c r="F26" s="159" t="s">
        <v>127</v>
      </c>
      <c r="G26" s="194"/>
      <c r="H26" s="194"/>
      <c r="I26" s="194"/>
      <c r="J26" s="194"/>
      <c r="K26" s="194"/>
      <c r="L26" s="211"/>
    </row>
    <row r="27" spans="1:12" ht="27.75" customHeight="1">
      <c r="A27" s="168" t="s">
        <v>7</v>
      </c>
      <c r="B27" s="144"/>
      <c r="C27" s="145"/>
      <c r="D27" s="16">
        <f>0.0000000175</f>
        <v>1.75E-08</v>
      </c>
      <c r="E27" s="16" t="s">
        <v>39</v>
      </c>
      <c r="F27" s="27">
        <f>0.115</f>
        <v>0.115</v>
      </c>
      <c r="G27" s="200" t="s">
        <v>218</v>
      </c>
      <c r="H27" s="200"/>
      <c r="I27" s="169"/>
      <c r="J27" s="169"/>
      <c r="K27" s="49">
        <f>$D$27*4/(PI()*((0.001*F27)^2))</f>
        <v>1.6848160327308392</v>
      </c>
      <c r="L27" s="120" t="s">
        <v>0</v>
      </c>
    </row>
    <row r="28" spans="1:12" ht="33.75" customHeight="1">
      <c r="A28" s="162" t="s">
        <v>6</v>
      </c>
      <c r="B28" s="146"/>
      <c r="C28" s="191"/>
      <c r="D28" s="12">
        <v>0.01</v>
      </c>
      <c r="E28" s="12"/>
      <c r="F28" s="162" t="s">
        <v>219</v>
      </c>
      <c r="G28" s="163"/>
      <c r="H28" s="163"/>
      <c r="I28" s="163"/>
      <c r="J28" s="163"/>
      <c r="K28" s="127">
        <f>K27*$D$28</f>
        <v>0.016848160327308393</v>
      </c>
      <c r="L28" s="87" t="s">
        <v>0</v>
      </c>
    </row>
    <row r="29" spans="1:12" ht="15">
      <c r="A29" s="157"/>
      <c r="B29" s="157"/>
      <c r="C29" s="157"/>
      <c r="D29" s="157"/>
      <c r="E29" s="157"/>
      <c r="F29" s="157"/>
      <c r="G29" s="157"/>
      <c r="H29" s="157"/>
      <c r="I29" s="157"/>
      <c r="J29" s="157"/>
      <c r="K29" s="157"/>
      <c r="L29" s="157"/>
    </row>
    <row r="30" spans="1:12" ht="20.25">
      <c r="A30" s="192" t="s">
        <v>75</v>
      </c>
      <c r="B30" s="218"/>
      <c r="C30" s="218"/>
      <c r="D30" s="218"/>
      <c r="E30" s="218"/>
      <c r="F30" s="218"/>
      <c r="G30" s="218"/>
      <c r="H30" s="218"/>
      <c r="I30" s="218"/>
      <c r="J30" s="218"/>
      <c r="K30" s="218"/>
      <c r="L30" s="218"/>
    </row>
    <row r="31" spans="1:12" ht="15">
      <c r="A31" s="157"/>
      <c r="B31" s="157"/>
      <c r="C31" s="157"/>
      <c r="D31" s="157"/>
      <c r="E31" s="157"/>
      <c r="F31" s="157"/>
      <c r="G31" s="157"/>
      <c r="H31" s="157"/>
      <c r="I31" s="157"/>
      <c r="J31" s="157"/>
      <c r="K31" s="157"/>
      <c r="L31" s="157"/>
    </row>
    <row r="32" spans="1:12" ht="15.75">
      <c r="A32" s="159" t="s">
        <v>25</v>
      </c>
      <c r="B32" s="194"/>
      <c r="C32" s="194"/>
      <c r="D32" s="160"/>
      <c r="E32" s="75">
        <v>16</v>
      </c>
      <c r="F32" s="9"/>
      <c r="G32" s="159" t="s">
        <v>127</v>
      </c>
      <c r="H32" s="160"/>
      <c r="I32" s="160"/>
      <c r="J32" s="160"/>
      <c r="K32" s="160"/>
      <c r="L32" s="161"/>
    </row>
    <row r="33" spans="1:12" ht="15.75">
      <c r="A33" s="168" t="s">
        <v>30</v>
      </c>
      <c r="B33" s="144"/>
      <c r="C33" s="144"/>
      <c r="D33" s="169"/>
      <c r="E33" s="63">
        <v>0.04</v>
      </c>
      <c r="F33" s="17"/>
      <c r="G33" s="147" t="s">
        <v>130</v>
      </c>
      <c r="H33" s="169"/>
      <c r="I33" s="169"/>
      <c r="J33" s="169"/>
      <c r="K33" s="169"/>
      <c r="L33" s="170"/>
    </row>
    <row r="34" spans="1:12" ht="15">
      <c r="A34" s="168" t="s">
        <v>99</v>
      </c>
      <c r="B34" s="144"/>
      <c r="C34" s="144"/>
      <c r="D34" s="169"/>
      <c r="E34" s="23"/>
      <c r="F34" s="17"/>
      <c r="G34" s="147"/>
      <c r="H34" s="167"/>
      <c r="I34" s="167"/>
      <c r="J34" s="167"/>
      <c r="K34" s="167"/>
      <c r="L34" s="170"/>
    </row>
    <row r="35" spans="1:12" ht="15.75">
      <c r="A35" s="27"/>
      <c r="B35" s="144" t="s">
        <v>100</v>
      </c>
      <c r="C35" s="169"/>
      <c r="D35" s="169"/>
      <c r="E35" s="63">
        <v>8</v>
      </c>
      <c r="F35" s="121"/>
      <c r="G35" s="147"/>
      <c r="H35" s="167"/>
      <c r="I35" s="167"/>
      <c r="J35" s="167"/>
      <c r="K35" s="167"/>
      <c r="L35" s="170"/>
    </row>
    <row r="36" spans="1:12" ht="15.75">
      <c r="A36" s="27"/>
      <c r="B36" s="144" t="s">
        <v>101</v>
      </c>
      <c r="C36" s="169"/>
      <c r="D36" s="169"/>
      <c r="E36" s="63">
        <v>7.68</v>
      </c>
      <c r="F36" s="121">
        <v>8.32</v>
      </c>
      <c r="G36" s="147"/>
      <c r="H36" s="167"/>
      <c r="I36" s="167"/>
      <c r="J36" s="167"/>
      <c r="K36" s="167"/>
      <c r="L36" s="170"/>
    </row>
    <row r="37" spans="1:12" ht="15.75">
      <c r="A37" s="27"/>
      <c r="B37" s="144" t="s">
        <v>102</v>
      </c>
      <c r="C37" s="169"/>
      <c r="D37" s="169"/>
      <c r="E37" s="63">
        <v>4.8</v>
      </c>
      <c r="F37" s="121">
        <v>11.2</v>
      </c>
      <c r="G37" s="147"/>
      <c r="H37" s="167"/>
      <c r="I37" s="167"/>
      <c r="J37" s="167"/>
      <c r="K37" s="167"/>
      <c r="L37" s="170"/>
    </row>
    <row r="38" spans="1:12" ht="15.75">
      <c r="A38" s="27"/>
      <c r="B38" s="144" t="s">
        <v>103</v>
      </c>
      <c r="C38" s="169"/>
      <c r="D38" s="169"/>
      <c r="E38" s="63">
        <v>4.8</v>
      </c>
      <c r="F38" s="121">
        <v>40</v>
      </c>
      <c r="G38" s="147"/>
      <c r="H38" s="167"/>
      <c r="I38" s="167"/>
      <c r="J38" s="167"/>
      <c r="K38" s="167"/>
      <c r="L38" s="170"/>
    </row>
    <row r="39" spans="1:12" ht="15">
      <c r="A39" s="168" t="s">
        <v>31</v>
      </c>
      <c r="B39" s="144"/>
      <c r="C39" s="144"/>
      <c r="D39" s="169"/>
      <c r="E39" s="49">
        <f>0.7636+0.062+0.1546+0.46-0.028</f>
        <v>1.4122</v>
      </c>
      <c r="F39" s="17"/>
      <c r="G39" s="147" t="s">
        <v>167</v>
      </c>
      <c r="H39" s="167"/>
      <c r="I39" s="167"/>
      <c r="J39" s="167"/>
      <c r="K39" s="167"/>
      <c r="L39" s="170"/>
    </row>
    <row r="40" spans="1:12" ht="15">
      <c r="A40" s="168" t="s">
        <v>192</v>
      </c>
      <c r="B40" s="144"/>
      <c r="C40" s="144"/>
      <c r="D40" s="169"/>
      <c r="E40" s="49">
        <f>0.062+0.1546+0.46</f>
        <v>0.6766</v>
      </c>
      <c r="F40" s="17"/>
      <c r="G40" s="147" t="s">
        <v>193</v>
      </c>
      <c r="H40" s="167"/>
      <c r="I40" s="167"/>
      <c r="J40" s="167"/>
      <c r="K40" s="167"/>
      <c r="L40" s="170"/>
    </row>
    <row r="41" spans="1:12" ht="15.75">
      <c r="A41" s="168" t="s">
        <v>32</v>
      </c>
      <c r="B41" s="144"/>
      <c r="C41" s="144"/>
      <c r="D41" s="169"/>
      <c r="E41" s="63">
        <v>20</v>
      </c>
      <c r="F41" s="17"/>
      <c r="G41" s="147" t="s">
        <v>128</v>
      </c>
      <c r="H41" s="167"/>
      <c r="I41" s="167"/>
      <c r="J41" s="167"/>
      <c r="K41" s="167"/>
      <c r="L41" s="170"/>
    </row>
    <row r="42" spans="1:12" ht="15.75">
      <c r="A42" s="168" t="s">
        <v>33</v>
      </c>
      <c r="B42" s="144"/>
      <c r="C42" s="144"/>
      <c r="D42" s="169"/>
      <c r="E42" s="63">
        <v>20</v>
      </c>
      <c r="F42" s="17"/>
      <c r="G42" s="147" t="s">
        <v>129</v>
      </c>
      <c r="H42" s="167"/>
      <c r="I42" s="167"/>
      <c r="J42" s="167"/>
      <c r="K42" s="167"/>
      <c r="L42" s="170"/>
    </row>
    <row r="43" spans="1:12" ht="15">
      <c r="A43" s="168" t="s">
        <v>34</v>
      </c>
      <c r="B43" s="144"/>
      <c r="C43" s="144"/>
      <c r="D43" s="169"/>
      <c r="E43" s="23">
        <v>20</v>
      </c>
      <c r="F43" s="17"/>
      <c r="G43" s="147" t="s">
        <v>147</v>
      </c>
      <c r="H43" s="167"/>
      <c r="I43" s="167"/>
      <c r="J43" s="167"/>
      <c r="K43" s="167"/>
      <c r="L43" s="170"/>
    </row>
    <row r="44" spans="1:12" ht="15.75">
      <c r="A44" s="162" t="s">
        <v>35</v>
      </c>
      <c r="B44" s="146"/>
      <c r="C44" s="146"/>
      <c r="D44" s="163"/>
      <c r="E44" s="122">
        <v>0.1</v>
      </c>
      <c r="F44" s="83"/>
      <c r="G44" s="149" t="s">
        <v>128</v>
      </c>
      <c r="H44" s="163"/>
      <c r="I44" s="163"/>
      <c r="J44" s="163"/>
      <c r="K44" s="163"/>
      <c r="L44" s="164"/>
    </row>
    <row r="46" spans="1:11" ht="15" customHeight="1">
      <c r="A46" s="155" t="s">
        <v>94</v>
      </c>
      <c r="B46" s="155"/>
      <c r="C46" s="155"/>
      <c r="D46" s="155"/>
      <c r="E46" s="155"/>
      <c r="F46" s="22">
        <v>2.4</v>
      </c>
      <c r="G46" s="1" t="s">
        <v>4</v>
      </c>
      <c r="H46" s="1"/>
      <c r="I46" s="1"/>
      <c r="J46" s="1"/>
      <c r="K46" s="1"/>
    </row>
    <row r="47" spans="1:7" ht="15.75">
      <c r="A47" s="155" t="s">
        <v>95</v>
      </c>
      <c r="B47" s="155"/>
      <c r="C47" s="155"/>
      <c r="D47" s="148" t="s">
        <v>96</v>
      </c>
      <c r="E47" s="148"/>
      <c r="F47" s="22">
        <v>0.5</v>
      </c>
      <c r="G47" s="1" t="s">
        <v>4</v>
      </c>
    </row>
    <row r="48" spans="1:7" ht="15.75">
      <c r="A48" s="155"/>
      <c r="B48" s="155"/>
      <c r="C48" s="155"/>
      <c r="D48" s="148" t="s">
        <v>97</v>
      </c>
      <c r="E48" s="148"/>
      <c r="F48" s="22">
        <v>0.1</v>
      </c>
      <c r="G48" s="1" t="s">
        <v>4</v>
      </c>
    </row>
    <row r="49" spans="1:12" ht="15">
      <c r="A49" s="155" t="s">
        <v>144</v>
      </c>
      <c r="B49" s="155"/>
      <c r="C49" s="155"/>
      <c r="D49" s="155"/>
      <c r="E49" s="155"/>
      <c r="F49" s="155"/>
      <c r="G49" s="155"/>
      <c r="H49" s="155"/>
      <c r="I49" s="155"/>
      <c r="J49" s="155"/>
      <c r="K49" s="155"/>
      <c r="L49" s="155"/>
    </row>
    <row r="51" spans="1:12" ht="15.75" customHeight="1">
      <c r="A51" s="1"/>
      <c r="B51" s="1"/>
      <c r="C51" s="1"/>
      <c r="D51" s="1"/>
      <c r="E51" s="1"/>
      <c r="F51" s="1"/>
      <c r="G51" s="1"/>
      <c r="H51" s="22"/>
      <c r="I51" s="1"/>
      <c r="J51" s="1"/>
      <c r="K51" s="1"/>
      <c r="L51" s="1"/>
    </row>
    <row r="52" spans="1:12" ht="15.75" customHeight="1">
      <c r="A52" s="192" t="s">
        <v>216</v>
      </c>
      <c r="B52" s="193"/>
      <c r="C52" s="193"/>
      <c r="D52" s="193"/>
      <c r="E52" s="193"/>
      <c r="F52" s="193"/>
      <c r="G52" s="193"/>
      <c r="H52" s="193"/>
      <c r="I52" s="193"/>
      <c r="J52" s="193"/>
      <c r="K52" s="193"/>
      <c r="L52" s="193"/>
    </row>
    <row r="53" spans="1:12" ht="15.75" customHeight="1">
      <c r="A53" s="146" t="s">
        <v>238</v>
      </c>
      <c r="B53" s="163"/>
      <c r="C53" s="163"/>
      <c r="D53" s="163"/>
      <c r="E53" s="163"/>
      <c r="F53" s="163"/>
      <c r="G53" s="163"/>
      <c r="H53" s="163"/>
      <c r="I53" s="163"/>
      <c r="J53" s="163"/>
      <c r="K53" s="163"/>
      <c r="L53" s="163"/>
    </row>
    <row r="54" spans="1:12" ht="46.5" customHeight="1">
      <c r="A54" s="159"/>
      <c r="B54" s="160"/>
      <c r="C54" s="161"/>
      <c r="D54" s="119" t="s">
        <v>26</v>
      </c>
      <c r="E54" s="119" t="s">
        <v>131</v>
      </c>
      <c r="F54" s="159" t="s">
        <v>127</v>
      </c>
      <c r="G54" s="160"/>
      <c r="H54" s="160"/>
      <c r="I54" s="160"/>
      <c r="J54" s="160"/>
      <c r="K54" s="160"/>
      <c r="L54" s="161"/>
    </row>
    <row r="55" spans="1:12" ht="15.75" customHeight="1">
      <c r="A55" s="141" t="s">
        <v>27</v>
      </c>
      <c r="B55" s="142"/>
      <c r="C55" s="143"/>
      <c r="D55" s="123" t="s">
        <v>8</v>
      </c>
      <c r="E55" s="16"/>
      <c r="F55" s="168"/>
      <c r="G55" s="169"/>
      <c r="H55" s="169"/>
      <c r="I55" s="169"/>
      <c r="J55" s="169"/>
      <c r="K55" s="169"/>
      <c r="L55" s="170"/>
    </row>
    <row r="56" spans="1:12" ht="15.75" customHeight="1">
      <c r="A56" s="141" t="s">
        <v>38</v>
      </c>
      <c r="B56" s="142"/>
      <c r="C56" s="143"/>
      <c r="D56" s="124">
        <v>0.285</v>
      </c>
      <c r="E56" s="124">
        <v>0.22</v>
      </c>
      <c r="F56" s="168"/>
      <c r="G56" s="169"/>
      <c r="H56" s="169"/>
      <c r="I56" s="169"/>
      <c r="J56" s="169"/>
      <c r="K56" s="169"/>
      <c r="L56" s="170"/>
    </row>
    <row r="57" spans="1:12" ht="15.75" customHeight="1">
      <c r="A57" s="168" t="s">
        <v>36</v>
      </c>
      <c r="B57" s="144"/>
      <c r="C57" s="145"/>
      <c r="D57" s="16">
        <v>0.3</v>
      </c>
      <c r="E57" s="16">
        <f>0.127-0.012</f>
        <v>0.115</v>
      </c>
      <c r="F57" s="168" t="s">
        <v>157</v>
      </c>
      <c r="G57" s="169"/>
      <c r="H57" s="169"/>
      <c r="I57" s="169"/>
      <c r="J57" s="169"/>
      <c r="K57" s="169"/>
      <c r="L57" s="170"/>
    </row>
    <row r="58" spans="1:12" ht="15.75" customHeight="1">
      <c r="A58" s="168" t="s">
        <v>37</v>
      </c>
      <c r="B58" s="144"/>
      <c r="C58" s="145"/>
      <c r="D58" s="16">
        <v>20.9</v>
      </c>
      <c r="E58" s="16">
        <f>118</f>
        <v>118</v>
      </c>
      <c r="F58" s="168"/>
      <c r="G58" s="169"/>
      <c r="H58" s="169"/>
      <c r="I58" s="169"/>
      <c r="J58" s="169"/>
      <c r="K58" s="169"/>
      <c r="L58" s="170"/>
    </row>
    <row r="59" spans="1:12" ht="15.75" customHeight="1">
      <c r="A59" s="168" t="s">
        <v>45</v>
      </c>
      <c r="B59" s="144"/>
      <c r="C59" s="145"/>
      <c r="D59" s="125">
        <f>20/36</f>
        <v>0.5555555555555556</v>
      </c>
      <c r="E59" s="125">
        <f>93.6/118.2</f>
        <v>0.7918781725888324</v>
      </c>
      <c r="F59" s="168"/>
      <c r="G59" s="169"/>
      <c r="H59" s="169"/>
      <c r="I59" s="169"/>
      <c r="J59" s="169"/>
      <c r="K59" s="169"/>
      <c r="L59" s="170"/>
    </row>
    <row r="60" spans="1:12" ht="15.75" customHeight="1">
      <c r="A60" s="168" t="s">
        <v>28</v>
      </c>
      <c r="B60" s="144"/>
      <c r="C60" s="145"/>
      <c r="D60" s="125">
        <v>4.6</v>
      </c>
      <c r="E60" s="126">
        <v>199</v>
      </c>
      <c r="F60" s="168"/>
      <c r="G60" s="169"/>
      <c r="H60" s="169"/>
      <c r="I60" s="169"/>
      <c r="J60" s="169"/>
      <c r="K60" s="169"/>
      <c r="L60" s="170"/>
    </row>
    <row r="61" spans="1:12" ht="15.75" customHeight="1">
      <c r="A61" s="168" t="s">
        <v>29</v>
      </c>
      <c r="B61" s="144"/>
      <c r="C61" s="145"/>
      <c r="D61" s="125">
        <f>D59*D58*D56</f>
        <v>3.309166666666666</v>
      </c>
      <c r="E61" s="104">
        <f>20.5</f>
        <v>20.5</v>
      </c>
      <c r="F61" s="168"/>
      <c r="G61" s="169"/>
      <c r="H61" s="169"/>
      <c r="I61" s="169"/>
      <c r="J61" s="169"/>
      <c r="K61" s="169"/>
      <c r="L61" s="170"/>
    </row>
    <row r="62" spans="1:12" ht="15.75" customHeight="1">
      <c r="A62" s="168" t="s">
        <v>156</v>
      </c>
      <c r="B62" s="156"/>
      <c r="C62" s="220"/>
      <c r="D62" s="126">
        <f>100</f>
        <v>100</v>
      </c>
      <c r="E62" s="126">
        <f>1000*(20/(20+E60))</f>
        <v>91.32420091324201</v>
      </c>
      <c r="F62" s="168" t="s">
        <v>160</v>
      </c>
      <c r="G62" s="169"/>
      <c r="H62" s="169"/>
      <c r="I62" s="169"/>
      <c r="J62" s="169"/>
      <c r="K62" s="169"/>
      <c r="L62" s="170"/>
    </row>
    <row r="63" spans="1:12" ht="15">
      <c r="A63" s="162" t="s">
        <v>158</v>
      </c>
      <c r="B63" s="146"/>
      <c r="C63" s="191"/>
      <c r="D63" s="19">
        <f>$E$44*D61</f>
        <v>0.33091666666666664</v>
      </c>
      <c r="E63" s="19">
        <f>E61*E62/1000</f>
        <v>1.8721461187214612</v>
      </c>
      <c r="F63" s="162" t="s">
        <v>159</v>
      </c>
      <c r="G63" s="163"/>
      <c r="H63" s="163"/>
      <c r="I63" s="163"/>
      <c r="J63" s="163"/>
      <c r="K63" s="163"/>
      <c r="L63" s="164"/>
    </row>
    <row r="64" spans="1:12" ht="15.75" customHeight="1">
      <c r="A64" s="194"/>
      <c r="B64" s="195"/>
      <c r="C64" s="195"/>
      <c r="D64" s="195"/>
      <c r="E64" s="195"/>
      <c r="F64" s="195"/>
      <c r="G64" s="195"/>
      <c r="H64" s="195"/>
      <c r="I64" s="195"/>
      <c r="J64" s="195"/>
      <c r="K64" s="195"/>
      <c r="L64" s="195"/>
    </row>
    <row r="65" spans="1:12" ht="15.75" customHeight="1">
      <c r="A65" s="144" t="s">
        <v>68</v>
      </c>
      <c r="B65" s="167"/>
      <c r="C65" s="167"/>
      <c r="D65" s="167"/>
      <c r="E65" s="167"/>
      <c r="F65" s="167"/>
      <c r="G65" s="167"/>
      <c r="H65" s="167"/>
      <c r="I65" s="167"/>
      <c r="J65" s="167"/>
      <c r="K65" s="167"/>
      <c r="L65" s="167"/>
    </row>
    <row r="66" spans="1:13" ht="15">
      <c r="A66" s="157"/>
      <c r="B66" s="167"/>
      <c r="C66" s="167"/>
      <c r="D66" s="167"/>
      <c r="E66" s="167"/>
      <c r="F66" s="167"/>
      <c r="G66" s="167"/>
      <c r="H66" s="167"/>
      <c r="I66" s="167"/>
      <c r="J66" s="167"/>
      <c r="K66" s="167"/>
      <c r="L66" s="167"/>
      <c r="M66" s="1"/>
    </row>
    <row r="67" spans="1:12" ht="15">
      <c r="A67" s="155" t="s">
        <v>107</v>
      </c>
      <c r="B67" s="155"/>
      <c r="C67" s="155"/>
      <c r="D67" s="158"/>
      <c r="E67" s="158"/>
      <c r="F67" s="158"/>
      <c r="G67" s="2">
        <v>0.24</v>
      </c>
      <c r="H67" s="155" t="s">
        <v>4</v>
      </c>
      <c r="I67" s="155"/>
      <c r="J67" s="155"/>
      <c r="K67" s="155"/>
      <c r="L67" s="155"/>
    </row>
    <row r="68" spans="1:12" ht="15.75" customHeight="1">
      <c r="A68" s="155" t="s">
        <v>149</v>
      </c>
      <c r="B68" s="155"/>
      <c r="C68" s="155"/>
      <c r="D68" s="155"/>
      <c r="E68" s="155"/>
      <c r="F68" s="156"/>
      <c r="G68" s="22">
        <f>F46-F47-F48-G67</f>
        <v>1.5599999999999998</v>
      </c>
      <c r="H68" s="155" t="s">
        <v>4</v>
      </c>
      <c r="I68" s="167"/>
      <c r="J68" s="167"/>
      <c r="K68" s="167"/>
      <c r="L68" s="167"/>
    </row>
    <row r="69" spans="1:12" ht="15.75" customHeight="1">
      <c r="A69" s="155"/>
      <c r="B69" s="167"/>
      <c r="C69" s="167"/>
      <c r="D69" s="167"/>
      <c r="E69" s="167"/>
      <c r="F69" s="167"/>
      <c r="G69" s="167"/>
      <c r="H69" s="167"/>
      <c r="I69" s="167"/>
      <c r="J69" s="167"/>
      <c r="K69" s="167"/>
      <c r="L69" s="167"/>
    </row>
    <row r="70" spans="1:12" ht="15" customHeight="1">
      <c r="A70" s="155" t="s">
        <v>98</v>
      </c>
      <c r="B70" s="155"/>
      <c r="C70" s="155"/>
      <c r="D70" s="155"/>
      <c r="E70" s="155"/>
      <c r="F70" s="155"/>
      <c r="G70" s="155"/>
      <c r="H70" s="155"/>
      <c r="I70" s="155"/>
      <c r="J70" s="155"/>
      <c r="K70" s="155"/>
      <c r="L70" s="155"/>
    </row>
    <row r="71" spans="1:12" ht="15" customHeight="1">
      <c r="A71" s="155" t="s">
        <v>105</v>
      </c>
      <c r="B71" s="155"/>
      <c r="C71" s="155"/>
      <c r="D71" s="155"/>
      <c r="E71" s="155"/>
      <c r="F71" s="155"/>
      <c r="G71" s="155"/>
      <c r="H71" s="155"/>
      <c r="I71" s="155"/>
      <c r="J71" s="155"/>
      <c r="K71" s="155"/>
      <c r="L71" s="155"/>
    </row>
    <row r="72" spans="1:12" ht="15" customHeight="1">
      <c r="A72" s="155" t="s">
        <v>142</v>
      </c>
      <c r="B72" s="155"/>
      <c r="C72" s="155"/>
      <c r="D72" s="155"/>
      <c r="E72" s="155"/>
      <c r="F72" s="155"/>
      <c r="G72" s="155"/>
      <c r="H72" s="155"/>
      <c r="I72" s="155"/>
      <c r="J72" s="155"/>
      <c r="K72" s="155"/>
      <c r="L72" s="155"/>
    </row>
    <row r="73" spans="1:12" ht="15" customHeight="1">
      <c r="A73" s="155" t="s">
        <v>148</v>
      </c>
      <c r="B73" s="155"/>
      <c r="C73" s="155"/>
      <c r="D73" s="155"/>
      <c r="E73" s="155"/>
      <c r="F73" s="155"/>
      <c r="G73" s="155"/>
      <c r="H73" s="155"/>
      <c r="I73" s="155"/>
      <c r="J73" s="155"/>
      <c r="K73" s="155"/>
      <c r="L73" s="155"/>
    </row>
    <row r="74" spans="1:12" ht="15" customHeight="1">
      <c r="A74" s="155"/>
      <c r="B74" s="155"/>
      <c r="C74" s="155"/>
      <c r="D74" s="155"/>
      <c r="E74" s="155"/>
      <c r="F74" s="155"/>
      <c r="G74" s="155"/>
      <c r="H74" s="155"/>
      <c r="I74" s="155"/>
      <c r="J74" s="155"/>
      <c r="K74" s="155"/>
      <c r="L74" s="155"/>
    </row>
    <row r="75" spans="1:12" ht="15" customHeight="1">
      <c r="A75" s="1" t="s">
        <v>138</v>
      </c>
      <c r="B75" s="158" t="s">
        <v>137</v>
      </c>
      <c r="C75" s="158"/>
      <c r="D75" s="158"/>
      <c r="E75" s="158"/>
      <c r="F75" s="64">
        <f>($F$38^2+$F$38*$E$38+$E$38^2)/($F$37^2+$F$37*$E$37+$E$37^2)</f>
        <v>8.974683544303797</v>
      </c>
      <c r="G75" s="155" t="s">
        <v>106</v>
      </c>
      <c r="H75" s="155"/>
      <c r="I75" s="155"/>
      <c r="J75" s="155"/>
      <c r="K75" s="155"/>
      <c r="L75" s="155"/>
    </row>
    <row r="76" spans="1:12" ht="15" customHeight="1">
      <c r="A76" s="1"/>
      <c r="B76" s="158" t="s">
        <v>139</v>
      </c>
      <c r="C76" s="158"/>
      <c r="D76" s="158"/>
      <c r="E76" s="158"/>
      <c r="F76" s="74">
        <f>($F$38/$F$37)^2</f>
        <v>12.755102040816327</v>
      </c>
      <c r="G76" s="155" t="s">
        <v>140</v>
      </c>
      <c r="H76" s="155"/>
      <c r="I76" s="155"/>
      <c r="J76" s="155"/>
      <c r="K76" s="155"/>
      <c r="L76" s="155"/>
    </row>
    <row r="77" spans="1:12" ht="15" customHeight="1">
      <c r="A77" s="155"/>
      <c r="B77" s="167"/>
      <c r="C77" s="167"/>
      <c r="D77" s="167"/>
      <c r="E77" s="167"/>
      <c r="F77" s="167"/>
      <c r="G77" s="167"/>
      <c r="H77" s="167"/>
      <c r="I77" s="167"/>
      <c r="J77" s="167"/>
      <c r="K77" s="167"/>
      <c r="L77" s="167"/>
    </row>
    <row r="78" spans="1:12" ht="15" customHeight="1">
      <c r="A78" s="1" t="s">
        <v>141</v>
      </c>
      <c r="B78" s="155" t="s">
        <v>137</v>
      </c>
      <c r="C78" s="167"/>
      <c r="D78" s="167"/>
      <c r="E78" s="167"/>
      <c r="F78" s="64">
        <f>($F$38^2+$F$38*$E$38+$E$38^2)/($F$36^2+$F$36*$E$36+$E$36^2)</f>
        <v>9.448294243070363</v>
      </c>
      <c r="G78" s="155" t="s">
        <v>106</v>
      </c>
      <c r="H78" s="155"/>
      <c r="I78" s="155"/>
      <c r="J78" s="155"/>
      <c r="K78" s="155"/>
      <c r="L78" s="155"/>
    </row>
    <row r="79" spans="1:12" ht="15" customHeight="1">
      <c r="A79" s="1"/>
      <c r="B79" s="155" t="s">
        <v>139</v>
      </c>
      <c r="C79" s="167"/>
      <c r="D79" s="167"/>
      <c r="E79" s="167"/>
      <c r="F79" s="74">
        <f>($F$38/$F$36)^2</f>
        <v>23.113905325443785</v>
      </c>
      <c r="G79" s="155" t="s">
        <v>140</v>
      </c>
      <c r="H79" s="155"/>
      <c r="I79" s="155"/>
      <c r="J79" s="155"/>
      <c r="K79" s="155"/>
      <c r="L79" s="155"/>
    </row>
    <row r="80" spans="1:12" ht="15" customHeight="1">
      <c r="A80" s="155" t="s">
        <v>115</v>
      </c>
      <c r="B80" s="158"/>
      <c r="C80" s="158"/>
      <c r="D80" s="158"/>
      <c r="E80" s="158"/>
      <c r="F80" s="158"/>
      <c r="G80" s="158"/>
      <c r="H80" s="158"/>
      <c r="I80" s="158"/>
      <c r="J80" s="158"/>
      <c r="K80" s="158"/>
      <c r="L80" s="158"/>
    </row>
    <row r="81" spans="1:12" ht="15" customHeight="1">
      <c r="A81" s="155"/>
      <c r="B81" s="167"/>
      <c r="C81" s="167"/>
      <c r="D81" s="167"/>
      <c r="E81" s="167"/>
      <c r="F81" s="167"/>
      <c r="G81" s="167"/>
      <c r="H81" s="167"/>
      <c r="I81" s="167"/>
      <c r="J81" s="167"/>
      <c r="K81" s="167"/>
      <c r="L81" s="167"/>
    </row>
    <row r="82" spans="1:12" ht="15" customHeight="1">
      <c r="A82" s="155" t="s">
        <v>104</v>
      </c>
      <c r="B82" s="158"/>
      <c r="C82" s="158"/>
      <c r="D82" s="158"/>
      <c r="E82" s="167"/>
      <c r="F82" s="52">
        <f>(1/3)*(1+1/F75+1/F78)</f>
        <v>0.40575458392101554</v>
      </c>
      <c r="G82" s="158" t="s">
        <v>237</v>
      </c>
      <c r="H82" s="158"/>
      <c r="I82" s="158"/>
      <c r="J82" s="158"/>
      <c r="K82" s="158"/>
      <c r="L82" s="158"/>
    </row>
    <row r="83" spans="1:12" ht="15" customHeight="1">
      <c r="A83" s="155" t="s">
        <v>109</v>
      </c>
      <c r="B83" s="158"/>
      <c r="C83" s="158"/>
      <c r="D83" s="158"/>
      <c r="E83" s="167"/>
      <c r="F83" s="64">
        <f>($F$38^2)/(((1/3)*($F$38^2+$F$38*$E$38+$E$38^2)))</f>
        <v>2.6445698166431595</v>
      </c>
      <c r="G83" s="158" t="s">
        <v>110</v>
      </c>
      <c r="H83" s="158"/>
      <c r="I83" s="158"/>
      <c r="J83" s="158"/>
      <c r="K83" s="158"/>
      <c r="L83" s="158"/>
    </row>
    <row r="84" spans="1:12" ht="15" customHeight="1">
      <c r="A84" s="155" t="s">
        <v>111</v>
      </c>
      <c r="B84" s="158"/>
      <c r="C84" s="158"/>
      <c r="D84" s="158"/>
      <c r="E84" s="158"/>
      <c r="F84" s="52">
        <f>F83/F82</f>
        <v>6.51765850945495</v>
      </c>
      <c r="G84" s="158" t="s">
        <v>140</v>
      </c>
      <c r="H84" s="158"/>
      <c r="I84" s="158"/>
      <c r="J84" s="158"/>
      <c r="K84" s="158"/>
      <c r="L84" s="158"/>
    </row>
    <row r="85" spans="1:12" ht="15" customHeight="1">
      <c r="A85" s="155" t="s">
        <v>113</v>
      </c>
      <c r="B85" s="158"/>
      <c r="C85" s="158"/>
      <c r="D85" s="158"/>
      <c r="E85" s="158"/>
      <c r="F85" s="64">
        <f>G68*F84</f>
        <v>10.16754727474972</v>
      </c>
      <c r="G85" s="158" t="s">
        <v>112</v>
      </c>
      <c r="H85" s="158"/>
      <c r="I85" s="158"/>
      <c r="J85" s="158"/>
      <c r="K85" s="158"/>
      <c r="L85" s="158"/>
    </row>
    <row r="86" spans="1:12" ht="15" customHeight="1">
      <c r="A86" s="155" t="s">
        <v>114</v>
      </c>
      <c r="B86" s="155"/>
      <c r="C86" s="155"/>
      <c r="D86" s="155"/>
      <c r="E86" s="158"/>
      <c r="F86" s="64">
        <f>F85+F47+F48</f>
        <v>10.76754727474972</v>
      </c>
      <c r="G86" s="155" t="s">
        <v>136</v>
      </c>
      <c r="H86" s="155"/>
      <c r="I86" s="155"/>
      <c r="J86" s="155"/>
      <c r="K86" s="155"/>
      <c r="L86" s="155"/>
    </row>
    <row r="87" spans="1:12" ht="15" customHeight="1">
      <c r="A87" s="155"/>
      <c r="B87" s="167"/>
      <c r="C87" s="167"/>
      <c r="D87" s="167"/>
      <c r="E87" s="167"/>
      <c r="F87" s="167"/>
      <c r="G87" s="167"/>
      <c r="H87" s="167"/>
      <c r="I87" s="167"/>
      <c r="J87" s="167"/>
      <c r="K87" s="167"/>
      <c r="L87" s="167"/>
    </row>
    <row r="88" spans="1:12" ht="15" customHeight="1">
      <c r="A88" s="155" t="s">
        <v>195</v>
      </c>
      <c r="B88" s="167"/>
      <c r="C88" s="167"/>
      <c r="D88" s="167"/>
      <c r="E88" s="167"/>
      <c r="F88" s="167"/>
      <c r="G88" s="167"/>
      <c r="H88" s="167"/>
      <c r="I88" s="167"/>
      <c r="J88" s="167"/>
      <c r="K88" s="167"/>
      <c r="L88" s="167"/>
    </row>
    <row r="89" spans="1:12" ht="15" customHeight="1">
      <c r="A89" s="155" t="s">
        <v>196</v>
      </c>
      <c r="B89" s="167"/>
      <c r="C89" s="167"/>
      <c r="D89" s="167"/>
      <c r="E89" s="167"/>
      <c r="F89" s="64">
        <f>(G68+G67)*F84</f>
        <v>11.73178531701891</v>
      </c>
      <c r="G89" s="158" t="s">
        <v>4</v>
      </c>
      <c r="H89" s="167"/>
      <c r="I89" s="167"/>
      <c r="J89" s="167"/>
      <c r="K89" s="167"/>
      <c r="L89" s="167"/>
    </row>
    <row r="90" spans="1:12" ht="15">
      <c r="A90" s="157"/>
      <c r="B90" s="157"/>
      <c r="C90" s="157"/>
      <c r="D90" s="157"/>
      <c r="E90" s="157"/>
      <c r="F90" s="157"/>
      <c r="G90" s="157"/>
      <c r="H90" s="157"/>
      <c r="I90" s="157"/>
      <c r="J90" s="157"/>
      <c r="K90" s="157"/>
      <c r="L90" s="157"/>
    </row>
    <row r="91" spans="1:13" ht="18" customHeight="1">
      <c r="A91" s="192" t="s">
        <v>67</v>
      </c>
      <c r="B91" s="192"/>
      <c r="C91" s="192"/>
      <c r="D91" s="192"/>
      <c r="E91" s="192"/>
      <c r="F91" s="192"/>
      <c r="G91" s="192"/>
      <c r="H91" s="192"/>
      <c r="I91" s="192"/>
      <c r="J91" s="192"/>
      <c r="K91" s="192"/>
      <c r="L91" s="192"/>
      <c r="M91" s="22"/>
    </row>
    <row r="92" spans="1:13" ht="15.75">
      <c r="A92" s="190"/>
      <c r="B92" s="190"/>
      <c r="C92" s="190"/>
      <c r="D92" s="190"/>
      <c r="E92" s="190"/>
      <c r="F92" s="190"/>
      <c r="G92" s="190"/>
      <c r="H92" s="190"/>
      <c r="I92" s="190"/>
      <c r="J92" s="190"/>
      <c r="K92" s="190"/>
      <c r="L92" s="190"/>
      <c r="M92" s="22"/>
    </row>
    <row r="93" spans="1:12" s="1" customFormat="1" ht="15">
      <c r="A93" s="155" t="s">
        <v>217</v>
      </c>
      <c r="B93" s="155"/>
      <c r="C93" s="155"/>
      <c r="D93" s="155"/>
      <c r="E93" s="155"/>
      <c r="F93" s="155"/>
      <c r="G93" s="155"/>
      <c r="H93" s="155"/>
      <c r="I93" s="155"/>
      <c r="J93" s="155"/>
      <c r="K93" s="155"/>
      <c r="L93" s="155"/>
    </row>
    <row r="94" spans="1:12" s="1" customFormat="1" ht="15">
      <c r="A94" s="155"/>
      <c r="B94" s="155"/>
      <c r="C94" s="155"/>
      <c r="D94" s="155"/>
      <c r="E94" s="155"/>
      <c r="F94" s="155"/>
      <c r="G94" s="155"/>
      <c r="H94" s="155"/>
      <c r="I94" s="155"/>
      <c r="J94" s="155"/>
      <c r="K94" s="155"/>
      <c r="L94" s="155"/>
    </row>
    <row r="95" spans="1:12" s="1" customFormat="1" ht="15" customHeight="1">
      <c r="A95" s="155" t="s">
        <v>81</v>
      </c>
      <c r="B95" s="155"/>
      <c r="C95" s="155"/>
      <c r="D95" s="155"/>
      <c r="E95" s="155"/>
      <c r="F95" s="155"/>
      <c r="G95" s="155"/>
      <c r="H95" s="155"/>
      <c r="I95" s="155"/>
      <c r="J95" s="155"/>
      <c r="K95" s="155"/>
      <c r="L95" s="155"/>
    </row>
    <row r="96" spans="1:12" s="1" customFormat="1" ht="15" customHeight="1">
      <c r="A96" s="155" t="s">
        <v>80</v>
      </c>
      <c r="B96" s="155"/>
      <c r="C96" s="155"/>
      <c r="D96" s="155"/>
      <c r="E96" s="155"/>
      <c r="F96" s="155"/>
      <c r="G96" s="155"/>
      <c r="H96" s="155"/>
      <c r="I96" s="155"/>
      <c r="J96" s="155"/>
      <c r="K96" s="155"/>
      <c r="L96" s="155"/>
    </row>
    <row r="97" spans="1:12" s="1" customFormat="1" ht="15" customHeight="1">
      <c r="A97" s="155" t="s">
        <v>79</v>
      </c>
      <c r="B97" s="155"/>
      <c r="C97" s="155"/>
      <c r="D97" s="155"/>
      <c r="E97" s="155"/>
      <c r="F97" s="155"/>
      <c r="G97" s="155"/>
      <c r="H97" s="155"/>
      <c r="I97" s="155"/>
      <c r="J97" s="155"/>
      <c r="K97" s="155"/>
      <c r="L97" s="155"/>
    </row>
    <row r="98" spans="1:12" s="1" customFormat="1" ht="15">
      <c r="A98" s="155"/>
      <c r="B98" s="155"/>
      <c r="C98" s="155"/>
      <c r="D98" s="155"/>
      <c r="E98" s="155"/>
      <c r="F98" s="155"/>
      <c r="G98" s="155"/>
      <c r="H98" s="155"/>
      <c r="I98" s="155"/>
      <c r="J98" s="155"/>
      <c r="K98" s="155"/>
      <c r="L98" s="155"/>
    </row>
    <row r="99" spans="2:9" ht="30">
      <c r="B99" s="6" t="s">
        <v>9</v>
      </c>
      <c r="C99" s="7"/>
      <c r="D99" s="8" t="s">
        <v>10</v>
      </c>
      <c r="E99" s="187" t="s">
        <v>44</v>
      </c>
      <c r="F99" s="151"/>
      <c r="G99" s="151"/>
      <c r="H99" s="151"/>
      <c r="I99" s="188"/>
    </row>
    <row r="100" spans="2:9" ht="15">
      <c r="B100" s="198" t="s">
        <v>72</v>
      </c>
      <c r="C100" s="172"/>
      <c r="D100" s="8"/>
      <c r="E100" s="187">
        <v>11</v>
      </c>
      <c r="F100" s="151"/>
      <c r="G100" s="151"/>
      <c r="H100" s="151"/>
      <c r="I100" s="188"/>
    </row>
    <row r="101" spans="2:9" ht="15">
      <c r="B101" s="198" t="s">
        <v>71</v>
      </c>
      <c r="C101" s="172"/>
      <c r="D101" s="8"/>
      <c r="E101" s="12">
        <f>0.1</f>
        <v>0.1</v>
      </c>
      <c r="F101" s="12">
        <f>0.14</f>
        <v>0.14</v>
      </c>
      <c r="G101" s="12">
        <v>0.145</v>
      </c>
      <c r="H101" s="12">
        <v>0.15</v>
      </c>
      <c r="I101" s="12">
        <f>0.2</f>
        <v>0.2</v>
      </c>
    </row>
    <row r="102" spans="2:9" ht="15">
      <c r="B102" s="6" t="s">
        <v>23</v>
      </c>
      <c r="C102" s="7"/>
      <c r="D102" s="8" t="s">
        <v>12</v>
      </c>
      <c r="E102" s="8" t="s">
        <v>20</v>
      </c>
      <c r="F102" s="8" t="s">
        <v>11</v>
      </c>
      <c r="G102" s="8" t="s">
        <v>11</v>
      </c>
      <c r="H102" s="8" t="s">
        <v>11</v>
      </c>
      <c r="I102" s="8" t="s">
        <v>21</v>
      </c>
    </row>
    <row r="103" spans="2:9" ht="15">
      <c r="B103" s="198" t="s">
        <v>70</v>
      </c>
      <c r="C103" s="199"/>
      <c r="D103" s="8">
        <v>7.5</v>
      </c>
      <c r="E103" s="10">
        <v>15</v>
      </c>
      <c r="F103" s="7"/>
      <c r="G103" s="7"/>
      <c r="H103" s="7"/>
      <c r="I103" s="11"/>
    </row>
    <row r="104" spans="2:9" ht="30" customHeight="1">
      <c r="B104" s="198" t="s">
        <v>69</v>
      </c>
      <c r="C104" s="172"/>
      <c r="D104" s="8">
        <f>0.0115</f>
        <v>0.0115</v>
      </c>
      <c r="E104" s="8">
        <v>0.0264</v>
      </c>
      <c r="F104" s="50">
        <f>$E$104*(F101/$E$101)^3</f>
        <v>0.07244160000000002</v>
      </c>
      <c r="G104" s="50">
        <f>$E$104*(G101/$E$101)^3</f>
        <v>0.08048369999999995</v>
      </c>
      <c r="H104" s="50">
        <f>$E$104*(H101/$E$101)^3</f>
        <v>0.08909999999999996</v>
      </c>
      <c r="I104" s="50">
        <f>$E$104*(I101/$E$101)^3</f>
        <v>0.2112</v>
      </c>
    </row>
    <row r="105" spans="2:9" ht="15">
      <c r="B105" s="13" t="s">
        <v>64</v>
      </c>
      <c r="C105" s="10" t="s">
        <v>14</v>
      </c>
      <c r="D105" s="8">
        <v>74</v>
      </c>
      <c r="E105" s="8">
        <v>110</v>
      </c>
      <c r="F105" s="14">
        <f>$E$105*((F101/$E$101)^2.79)</f>
        <v>281.2482991308535</v>
      </c>
      <c r="G105" s="14">
        <f>$E$105*((G101/$E$101)^2.79)</f>
        <v>310.17687157371427</v>
      </c>
      <c r="H105" s="14">
        <f>$E$105*((H101/$E$101)^2.79)</f>
        <v>340.94733325211524</v>
      </c>
      <c r="I105" s="14">
        <f>$E$105*((I101/$E$101)^2.79)</f>
        <v>760.7927635509213</v>
      </c>
    </row>
    <row r="106" spans="2:9" ht="15">
      <c r="B106" s="15" t="s">
        <v>65</v>
      </c>
      <c r="C106" s="10" t="s">
        <v>15</v>
      </c>
      <c r="D106" s="8">
        <v>15</v>
      </c>
      <c r="E106" s="8">
        <v>101</v>
      </c>
      <c r="F106" s="14">
        <f>$E$106*((F101/$E$101)^2.91)</f>
        <v>268.87718806555</v>
      </c>
      <c r="G106" s="14">
        <f>$E$106*((G101/$E$101)^2.91)</f>
        <v>297.78461777946256</v>
      </c>
      <c r="H106" s="14">
        <f>$E$106*((H101/$E$101)^2.91)</f>
        <v>328.6600656277798</v>
      </c>
      <c r="I106" s="14">
        <f>$E$106*((I101/$E$101)^2.91)</f>
        <v>759.1343813649215</v>
      </c>
    </row>
    <row r="107" spans="2:9" ht="15">
      <c r="B107" s="3"/>
      <c r="C107" s="10" t="s">
        <v>16</v>
      </c>
      <c r="D107" s="8">
        <v>148</v>
      </c>
      <c r="E107" s="8">
        <v>510</v>
      </c>
      <c r="F107" s="8" t="s">
        <v>13</v>
      </c>
      <c r="G107" s="8" t="s">
        <v>13</v>
      </c>
      <c r="H107" s="8" t="s">
        <v>13</v>
      </c>
      <c r="I107" s="8" t="s">
        <v>13</v>
      </c>
    </row>
    <row r="108" spans="1:12" ht="15">
      <c r="A108" s="157"/>
      <c r="B108" s="167"/>
      <c r="C108" s="167"/>
      <c r="D108" s="167"/>
      <c r="E108" s="167"/>
      <c r="F108" s="167"/>
      <c r="G108" s="167"/>
      <c r="H108" s="167"/>
      <c r="I108" s="167"/>
      <c r="J108" s="167"/>
      <c r="K108" s="167"/>
      <c r="L108" s="167"/>
    </row>
    <row r="109" spans="1:12" ht="15">
      <c r="A109" s="155" t="s">
        <v>242</v>
      </c>
      <c r="B109" s="156"/>
      <c r="C109" s="156"/>
      <c r="D109" s="156"/>
      <c r="E109" s="156"/>
      <c r="F109" s="156"/>
      <c r="G109" s="156"/>
      <c r="H109" s="156"/>
      <c r="I109" s="156"/>
      <c r="J109" s="156"/>
      <c r="K109" s="156"/>
      <c r="L109" s="156"/>
    </row>
    <row r="110" spans="1:12" ht="15">
      <c r="A110" s="157"/>
      <c r="B110" s="157"/>
      <c r="C110" s="157"/>
      <c r="D110" s="157"/>
      <c r="E110" s="157"/>
      <c r="F110" s="157"/>
      <c r="G110" s="157"/>
      <c r="H110" s="157"/>
      <c r="I110" s="157"/>
      <c r="J110" s="157"/>
      <c r="K110" s="157"/>
      <c r="L110" s="157"/>
    </row>
    <row r="111" spans="1:12" s="53" customFormat="1" ht="18" customHeight="1">
      <c r="A111" s="189" t="s">
        <v>74</v>
      </c>
      <c r="B111" s="189"/>
      <c r="C111" s="189"/>
      <c r="D111" s="189"/>
      <c r="E111" s="189"/>
      <c r="F111" s="189"/>
      <c r="G111" s="189"/>
      <c r="H111" s="189"/>
      <c r="I111" s="189"/>
      <c r="J111" s="189"/>
      <c r="K111" s="189"/>
      <c r="L111" s="189"/>
    </row>
    <row r="112" spans="1:12" ht="15">
      <c r="A112" s="157"/>
      <c r="B112" s="157"/>
      <c r="C112" s="157"/>
      <c r="D112" s="157"/>
      <c r="E112" s="157"/>
      <c r="F112" s="157"/>
      <c r="G112" s="157"/>
      <c r="H112" s="157"/>
      <c r="I112" s="157"/>
      <c r="J112" s="157"/>
      <c r="K112" s="157"/>
      <c r="L112" s="157"/>
    </row>
    <row r="113" spans="1:12" ht="15" customHeight="1">
      <c r="A113" s="155" t="s">
        <v>83</v>
      </c>
      <c r="B113" s="155"/>
      <c r="C113" s="155"/>
      <c r="D113" s="155"/>
      <c r="E113" s="155"/>
      <c r="F113" s="155"/>
      <c r="G113" s="155"/>
      <c r="H113" s="155"/>
      <c r="I113" s="155"/>
      <c r="J113" s="155"/>
      <c r="K113" s="155"/>
      <c r="L113" s="155"/>
    </row>
    <row r="114" spans="1:12" s="1" customFormat="1" ht="15" customHeight="1">
      <c r="A114" s="155" t="s">
        <v>84</v>
      </c>
      <c r="B114" s="155"/>
      <c r="C114" s="155"/>
      <c r="D114" s="155"/>
      <c r="E114" s="155"/>
      <c r="F114" s="155"/>
      <c r="G114" s="155"/>
      <c r="H114" s="155"/>
      <c r="I114" s="155"/>
      <c r="J114" s="155"/>
      <c r="K114" s="155"/>
      <c r="L114" s="155"/>
    </row>
    <row r="115" spans="1:12" s="1" customFormat="1" ht="15" customHeight="1">
      <c r="A115" s="155" t="s">
        <v>85</v>
      </c>
      <c r="B115" s="155"/>
      <c r="C115" s="155"/>
      <c r="D115" s="155"/>
      <c r="E115" s="155"/>
      <c r="F115" s="155"/>
      <c r="G115" s="155"/>
      <c r="H115" s="155"/>
      <c r="I115" s="155"/>
      <c r="J115" s="155"/>
      <c r="K115" s="155"/>
      <c r="L115" s="155"/>
    </row>
    <row r="116" spans="1:12" s="1" customFormat="1" ht="15" customHeight="1">
      <c r="A116" s="155" t="s">
        <v>86</v>
      </c>
      <c r="B116" s="155"/>
      <c r="C116" s="155"/>
      <c r="D116" s="155"/>
      <c r="E116" s="155"/>
      <c r="F116" s="155"/>
      <c r="G116" s="155"/>
      <c r="H116" s="155"/>
      <c r="I116" s="155"/>
      <c r="J116" s="155"/>
      <c r="K116" s="155"/>
      <c r="L116" s="155"/>
    </row>
    <row r="117" spans="1:12" s="1" customFormat="1" ht="15" customHeight="1">
      <c r="A117" s="155" t="s">
        <v>87</v>
      </c>
      <c r="B117" s="155"/>
      <c r="C117" s="155"/>
      <c r="D117" s="155"/>
      <c r="E117" s="155"/>
      <c r="F117" s="155"/>
      <c r="G117" s="155"/>
      <c r="H117" s="155"/>
      <c r="I117" s="155"/>
      <c r="J117" s="155"/>
      <c r="K117" s="155"/>
      <c r="L117" s="155"/>
    </row>
    <row r="118" spans="1:12" ht="15">
      <c r="A118" s="157"/>
      <c r="B118" s="157"/>
      <c r="C118" s="157"/>
      <c r="D118" s="157"/>
      <c r="E118" s="157"/>
      <c r="F118" s="157"/>
      <c r="G118" s="157"/>
      <c r="H118" s="157"/>
      <c r="I118" s="157"/>
      <c r="J118" s="157"/>
      <c r="K118" s="157"/>
      <c r="L118" s="178"/>
    </row>
    <row r="119" spans="1:12" ht="15">
      <c r="A119" s="155" t="s">
        <v>239</v>
      </c>
      <c r="B119" s="156"/>
      <c r="C119" s="156"/>
      <c r="D119" s="156"/>
      <c r="E119" s="156"/>
      <c r="F119" s="156"/>
      <c r="G119" s="156"/>
      <c r="H119" s="156"/>
      <c r="I119" s="156"/>
      <c r="J119" s="156"/>
      <c r="K119" s="156"/>
      <c r="L119" s="156"/>
    </row>
    <row r="120" spans="1:12" ht="15.75" thickBot="1">
      <c r="A120" s="157"/>
      <c r="B120" s="157"/>
      <c r="C120" s="157"/>
      <c r="D120" s="157"/>
      <c r="E120" s="157"/>
      <c r="F120" s="157"/>
      <c r="G120" s="157"/>
      <c r="H120" s="157"/>
      <c r="I120" s="157"/>
      <c r="J120" s="157"/>
      <c r="K120" s="157"/>
      <c r="L120" s="178"/>
    </row>
    <row r="121" spans="1:10" ht="30.75" thickTop="1">
      <c r="A121" s="4"/>
      <c r="B121" s="5"/>
      <c r="C121" s="20" t="s">
        <v>48</v>
      </c>
      <c r="D121" s="20" t="s">
        <v>49</v>
      </c>
      <c r="E121" s="173" t="s">
        <v>89</v>
      </c>
      <c r="F121" s="196"/>
      <c r="G121" s="196"/>
      <c r="H121" s="196"/>
      <c r="I121" s="196"/>
      <c r="J121" s="197"/>
    </row>
    <row r="122" spans="1:10" ht="15">
      <c r="A122" s="4" t="s">
        <v>92</v>
      </c>
      <c r="B122" s="5" t="s">
        <v>40</v>
      </c>
      <c r="C122" s="30">
        <v>37.5</v>
      </c>
      <c r="D122" s="30">
        <v>11.4</v>
      </c>
      <c r="E122" s="177">
        <v>10.2</v>
      </c>
      <c r="F122" s="178"/>
      <c r="G122" s="178"/>
      <c r="H122" s="178"/>
      <c r="I122" s="178"/>
      <c r="J122" s="179"/>
    </row>
    <row r="123" spans="1:10" ht="15">
      <c r="A123" s="27" t="s">
        <v>91</v>
      </c>
      <c r="B123" s="23" t="s">
        <v>41</v>
      </c>
      <c r="C123" s="24">
        <v>21</v>
      </c>
      <c r="D123" s="24">
        <v>16.6</v>
      </c>
      <c r="E123" s="177">
        <v>11.3</v>
      </c>
      <c r="F123" s="178"/>
      <c r="G123" s="178"/>
      <c r="H123" s="178"/>
      <c r="I123" s="178"/>
      <c r="J123" s="179"/>
    </row>
    <row r="124" spans="1:10" ht="15">
      <c r="A124" s="27" t="s">
        <v>90</v>
      </c>
      <c r="B124" s="23" t="s">
        <v>42</v>
      </c>
      <c r="C124" s="24">
        <v>21</v>
      </c>
      <c r="D124" s="24">
        <v>10.9</v>
      </c>
      <c r="E124" s="177">
        <v>9.9</v>
      </c>
      <c r="F124" s="178"/>
      <c r="G124" s="178"/>
      <c r="H124" s="178"/>
      <c r="I124" s="178"/>
      <c r="J124" s="179"/>
    </row>
    <row r="125" spans="1:10" ht="15">
      <c r="A125" s="21" t="s">
        <v>24</v>
      </c>
      <c r="B125" s="29"/>
      <c r="C125" s="33">
        <v>1.5</v>
      </c>
      <c r="D125" s="33">
        <v>1.5</v>
      </c>
      <c r="E125" s="177">
        <v>1</v>
      </c>
      <c r="F125" s="178"/>
      <c r="G125" s="178"/>
      <c r="H125" s="178"/>
      <c r="I125" s="178"/>
      <c r="J125" s="179"/>
    </row>
    <row r="126" spans="1:10" ht="15">
      <c r="A126" s="10" t="s">
        <v>23</v>
      </c>
      <c r="B126" s="7"/>
      <c r="C126" s="32" t="s">
        <v>20</v>
      </c>
      <c r="D126" s="32" t="s">
        <v>22</v>
      </c>
      <c r="E126" s="150" t="s">
        <v>11</v>
      </c>
      <c r="F126" s="151"/>
      <c r="G126" s="151"/>
      <c r="H126" s="151"/>
      <c r="I126" s="151"/>
      <c r="J126" s="176"/>
    </row>
    <row r="127" spans="1:10" ht="15">
      <c r="A127" s="27" t="s">
        <v>19</v>
      </c>
      <c r="B127" s="23" t="s">
        <v>14</v>
      </c>
      <c r="C127" s="24">
        <v>440</v>
      </c>
      <c r="D127" s="24">
        <v>120</v>
      </c>
      <c r="E127" s="183">
        <f>D127*($E$125/$D$125)*($E$122/$D$122)</f>
        <v>71.57894736842104</v>
      </c>
      <c r="F127" s="178"/>
      <c r="G127" s="178"/>
      <c r="H127" s="178"/>
      <c r="I127" s="178"/>
      <c r="J127" s="179"/>
    </row>
    <row r="128" spans="1:10" ht="15">
      <c r="A128" s="27"/>
      <c r="B128" s="23" t="s">
        <v>15</v>
      </c>
      <c r="C128" s="24">
        <v>1560</v>
      </c>
      <c r="D128" s="24">
        <v>448</v>
      </c>
      <c r="E128" s="183">
        <f>D128*($E$125/$D$125)*($E$122/$D$122)</f>
        <v>267.2280701754385</v>
      </c>
      <c r="F128" s="178"/>
      <c r="G128" s="178"/>
      <c r="H128" s="178"/>
      <c r="I128" s="178"/>
      <c r="J128" s="179"/>
    </row>
    <row r="129" spans="1:10" ht="15.75" thickBot="1">
      <c r="A129" s="27"/>
      <c r="B129" s="23" t="s">
        <v>16</v>
      </c>
      <c r="C129" s="24">
        <v>293</v>
      </c>
      <c r="D129" s="24">
        <v>85</v>
      </c>
      <c r="E129" s="153" t="s">
        <v>43</v>
      </c>
      <c r="F129" s="184"/>
      <c r="G129" s="184"/>
      <c r="H129" s="184"/>
      <c r="I129" s="184"/>
      <c r="J129" s="154"/>
    </row>
    <row r="130" spans="1:10" ht="30.75" thickTop="1">
      <c r="A130" s="57" t="s">
        <v>9</v>
      </c>
      <c r="B130" s="58"/>
      <c r="C130" s="173" t="s">
        <v>122</v>
      </c>
      <c r="D130" s="174"/>
      <c r="E130" s="20" t="s">
        <v>10</v>
      </c>
      <c r="F130" s="180" t="s">
        <v>122</v>
      </c>
      <c r="G130" s="181"/>
      <c r="H130" s="181"/>
      <c r="I130" s="181"/>
      <c r="J130" s="182"/>
    </row>
    <row r="131" spans="1:10" ht="15">
      <c r="A131" s="4" t="s">
        <v>46</v>
      </c>
      <c r="B131" s="5" t="s">
        <v>18</v>
      </c>
      <c r="C131" s="175">
        <v>11</v>
      </c>
      <c r="D131" s="152"/>
      <c r="E131" s="51"/>
      <c r="F131" s="150">
        <f>$E$100</f>
        <v>11</v>
      </c>
      <c r="G131" s="151"/>
      <c r="H131" s="151"/>
      <c r="I131" s="151"/>
      <c r="J131" s="176"/>
    </row>
    <row r="132" spans="1:10" ht="30">
      <c r="A132" s="27" t="s">
        <v>47</v>
      </c>
      <c r="B132" s="23" t="s">
        <v>18</v>
      </c>
      <c r="C132" s="153">
        <f>$E$101</f>
        <v>0.1</v>
      </c>
      <c r="D132" s="154"/>
      <c r="E132" s="25"/>
      <c r="F132" s="31">
        <f>$E$101</f>
        <v>0.1</v>
      </c>
      <c r="G132" s="8">
        <f>$F$101</f>
        <v>0.14</v>
      </c>
      <c r="H132" s="8">
        <f>$G$101</f>
        <v>0.145</v>
      </c>
      <c r="I132" s="8">
        <f>$H$101</f>
        <v>0.15</v>
      </c>
      <c r="J132" s="54">
        <f>$I$101</f>
        <v>0.2</v>
      </c>
    </row>
    <row r="133" spans="1:10" ht="15">
      <c r="A133" s="4" t="s">
        <v>61</v>
      </c>
      <c r="B133" s="5" t="s">
        <v>50</v>
      </c>
      <c r="C133" s="34">
        <f>C127/$E$105</f>
        <v>4</v>
      </c>
      <c r="D133" s="34">
        <f>D127/$E$105</f>
        <v>1.0909090909090908</v>
      </c>
      <c r="E133" s="35">
        <f aca="true" t="shared" si="0" ref="E133:J133">$E$127/D105</f>
        <v>0.9672830725462302</v>
      </c>
      <c r="F133" s="35">
        <f t="shared" si="0"/>
        <v>0.6507177033492821</v>
      </c>
      <c r="G133" s="36">
        <f t="shared" si="0"/>
        <v>0.254504463101191</v>
      </c>
      <c r="H133" s="36">
        <f t="shared" si="0"/>
        <v>0.23076816464508745</v>
      </c>
      <c r="I133" s="36">
        <f t="shared" si="0"/>
        <v>0.20994136157531293</v>
      </c>
      <c r="J133" s="37">
        <f t="shared" si="0"/>
        <v>0.09408468481526261</v>
      </c>
    </row>
    <row r="134" spans="1:10" ht="15">
      <c r="A134" s="27" t="s">
        <v>88</v>
      </c>
      <c r="B134" s="23" t="s">
        <v>51</v>
      </c>
      <c r="C134" s="38">
        <f>C128/$E$106</f>
        <v>15.445544554455445</v>
      </c>
      <c r="D134" s="38">
        <f>D128/$E$106</f>
        <v>4.435643564356436</v>
      </c>
      <c r="E134" s="39">
        <f aca="true" t="shared" si="1" ref="E134:J134">$E$128/D106</f>
        <v>17.81520467836257</v>
      </c>
      <c r="F134" s="39">
        <f t="shared" si="1"/>
        <v>2.6458224769845398</v>
      </c>
      <c r="G134" s="49">
        <f t="shared" si="1"/>
        <v>0.9938666500420651</v>
      </c>
      <c r="H134" s="49">
        <f t="shared" si="1"/>
        <v>0.8973870852299898</v>
      </c>
      <c r="I134" s="49">
        <f t="shared" si="1"/>
        <v>0.813083480845174</v>
      </c>
      <c r="J134" s="41">
        <f t="shared" si="1"/>
        <v>0.3520168190709044</v>
      </c>
    </row>
    <row r="135" spans="1:10" ht="15">
      <c r="A135" s="21"/>
      <c r="B135" s="29" t="s">
        <v>52</v>
      </c>
      <c r="C135" s="43">
        <f>C129/$E$107</f>
        <v>0.5745098039215686</v>
      </c>
      <c r="D135" s="43">
        <f>D129/$E$107</f>
        <v>0.16666666666666666</v>
      </c>
      <c r="E135" s="28" t="s">
        <v>13</v>
      </c>
      <c r="F135" s="153" t="s">
        <v>43</v>
      </c>
      <c r="G135" s="184"/>
      <c r="H135" s="184"/>
      <c r="I135" s="184"/>
      <c r="J135" s="154"/>
    </row>
    <row r="136" spans="1:10" ht="15">
      <c r="A136" s="27" t="s">
        <v>53</v>
      </c>
      <c r="B136" s="23"/>
      <c r="C136" s="24" t="s">
        <v>59</v>
      </c>
      <c r="D136" s="24" t="s">
        <v>59</v>
      </c>
      <c r="E136" s="25" t="s">
        <v>59</v>
      </c>
      <c r="F136" s="25" t="s">
        <v>59</v>
      </c>
      <c r="G136" s="23"/>
      <c r="H136" s="23"/>
      <c r="I136" s="23"/>
      <c r="J136" s="26"/>
    </row>
    <row r="137" spans="1:10" ht="15">
      <c r="A137" s="27" t="s">
        <v>54</v>
      </c>
      <c r="B137" s="23" t="s">
        <v>55</v>
      </c>
      <c r="C137" s="24" t="s">
        <v>56</v>
      </c>
      <c r="D137" s="24" t="s">
        <v>56</v>
      </c>
      <c r="E137" s="25" t="s">
        <v>56</v>
      </c>
      <c r="F137" s="25" t="s">
        <v>58</v>
      </c>
      <c r="G137" s="23" t="s">
        <v>57</v>
      </c>
      <c r="H137" s="23" t="s">
        <v>57</v>
      </c>
      <c r="I137" s="23" t="s">
        <v>57</v>
      </c>
      <c r="J137" s="26" t="s">
        <v>57</v>
      </c>
    </row>
    <row r="138" spans="1:10" ht="15.75" thickBot="1">
      <c r="A138" s="21" t="s">
        <v>17</v>
      </c>
      <c r="B138" s="29"/>
      <c r="C138" s="44" t="s">
        <v>57</v>
      </c>
      <c r="D138" s="44" t="s">
        <v>57</v>
      </c>
      <c r="E138" s="45" t="s">
        <v>123</v>
      </c>
      <c r="F138" s="45" t="s">
        <v>57</v>
      </c>
      <c r="G138" s="46" t="s">
        <v>60</v>
      </c>
      <c r="H138" s="46" t="s">
        <v>60</v>
      </c>
      <c r="I138" s="46" t="s">
        <v>60</v>
      </c>
      <c r="J138" s="47" t="s">
        <v>57</v>
      </c>
    </row>
    <row r="139" spans="1:12" ht="15.75" thickTop="1">
      <c r="A139" s="157"/>
      <c r="B139" s="167"/>
      <c r="C139" s="167"/>
      <c r="D139" s="167"/>
      <c r="E139" s="167"/>
      <c r="F139" s="167"/>
      <c r="G139" s="167"/>
      <c r="H139" s="167"/>
      <c r="I139" s="167"/>
      <c r="J139" s="167"/>
      <c r="K139" s="167"/>
      <c r="L139" s="167"/>
    </row>
    <row r="140" spans="1:12" ht="15" customHeight="1">
      <c r="A140" s="155" t="s">
        <v>82</v>
      </c>
      <c r="B140" s="155"/>
      <c r="C140" s="155"/>
      <c r="D140" s="155"/>
      <c r="E140" s="155"/>
      <c r="F140" s="155"/>
      <c r="G140" s="155"/>
      <c r="H140" s="155"/>
      <c r="I140" s="155"/>
      <c r="J140" s="155"/>
      <c r="K140" s="155"/>
      <c r="L140" s="155"/>
    </row>
    <row r="141" spans="1:12" ht="15">
      <c r="A141" s="155"/>
      <c r="B141" s="155"/>
      <c r="C141" s="155"/>
      <c r="D141" s="155"/>
      <c r="E141" s="155"/>
      <c r="F141" s="155"/>
      <c r="G141" s="155"/>
      <c r="H141" s="155"/>
      <c r="I141" s="155"/>
      <c r="J141" s="155"/>
      <c r="K141" s="155"/>
      <c r="L141" s="155"/>
    </row>
    <row r="142" spans="1:12" ht="15.75" customHeight="1">
      <c r="A142" s="185" t="s">
        <v>73</v>
      </c>
      <c r="B142" s="185"/>
      <c r="C142" s="185"/>
      <c r="D142" s="185"/>
      <c r="E142" s="185"/>
      <c r="F142" s="185"/>
      <c r="G142" s="185"/>
      <c r="H142" s="185"/>
      <c r="I142" s="185"/>
      <c r="J142" s="185"/>
      <c r="K142" s="185"/>
      <c r="L142" s="185"/>
    </row>
    <row r="143" spans="1:12" ht="15.75" customHeight="1">
      <c r="A143" s="155" t="s">
        <v>124</v>
      </c>
      <c r="B143" s="155"/>
      <c r="C143" s="155"/>
      <c r="D143" s="155"/>
      <c r="E143" s="155"/>
      <c r="F143" s="155"/>
      <c r="G143" s="155"/>
      <c r="H143" s="155"/>
      <c r="I143" s="155"/>
      <c r="J143" s="155"/>
      <c r="K143" s="155"/>
      <c r="L143" s="155"/>
    </row>
    <row r="144" spans="1:12" s="1" customFormat="1" ht="15" customHeight="1">
      <c r="A144" s="155" t="s">
        <v>134</v>
      </c>
      <c r="B144" s="155"/>
      <c r="C144" s="155"/>
      <c r="D144" s="155"/>
      <c r="E144" s="155"/>
      <c r="F144" s="155"/>
      <c r="G144" s="155"/>
      <c r="H144" s="155"/>
      <c r="I144" s="155"/>
      <c r="J144" s="155"/>
      <c r="K144" s="155"/>
      <c r="L144" s="155"/>
    </row>
    <row r="145" spans="1:12" s="1" customFormat="1" ht="15" customHeight="1">
      <c r="A145" s="155" t="s">
        <v>93</v>
      </c>
      <c r="B145" s="155"/>
      <c r="C145" s="155"/>
      <c r="D145" s="155"/>
      <c r="E145" s="155"/>
      <c r="F145" s="155"/>
      <c r="G145" s="155"/>
      <c r="H145" s="155"/>
      <c r="I145" s="155"/>
      <c r="J145" s="155"/>
      <c r="K145" s="155"/>
      <c r="L145" s="155"/>
    </row>
    <row r="146" spans="1:12" s="1" customFormat="1" ht="15" customHeight="1">
      <c r="A146" s="155" t="s">
        <v>108</v>
      </c>
      <c r="B146" s="155"/>
      <c r="C146" s="155"/>
      <c r="D146" s="155"/>
      <c r="E146" s="155"/>
      <c r="F146" s="155"/>
      <c r="G146" s="155"/>
      <c r="H146" s="155"/>
      <c r="I146" s="155"/>
      <c r="J146" s="155"/>
      <c r="K146" s="155"/>
      <c r="L146" s="155"/>
    </row>
    <row r="147" spans="1:12" ht="15">
      <c r="A147" s="157"/>
      <c r="B147" s="157"/>
      <c r="C147" s="157"/>
      <c r="D147" s="157"/>
      <c r="E147" s="157"/>
      <c r="F147" s="157"/>
      <c r="G147" s="157"/>
      <c r="H147" s="157"/>
      <c r="I147" s="157"/>
      <c r="J147" s="157"/>
      <c r="K147" s="157"/>
      <c r="L147" s="157"/>
    </row>
    <row r="148" spans="1:13" s="53" customFormat="1" ht="18" customHeight="1">
      <c r="A148" s="189" t="s">
        <v>77</v>
      </c>
      <c r="B148" s="189"/>
      <c r="C148" s="189"/>
      <c r="D148" s="189"/>
      <c r="E148" s="189"/>
      <c r="F148" s="189"/>
      <c r="G148" s="189"/>
      <c r="H148" s="189"/>
      <c r="I148" s="189"/>
      <c r="J148" s="189"/>
      <c r="K148" s="189"/>
      <c r="L148" s="189"/>
      <c r="M148" s="42"/>
    </row>
    <row r="149" spans="1:12" ht="15" customHeight="1">
      <c r="A149" s="155"/>
      <c r="B149" s="158"/>
      <c r="C149" s="158"/>
      <c r="D149" s="158"/>
      <c r="E149" s="158"/>
      <c r="F149" s="158"/>
      <c r="G149" s="158"/>
      <c r="H149" s="158"/>
      <c r="I149" s="158"/>
      <c r="J149" s="158"/>
      <c r="K149" s="158"/>
      <c r="L149" s="158"/>
    </row>
    <row r="150" spans="1:12" ht="15" customHeight="1">
      <c r="A150" s="155" t="s">
        <v>117</v>
      </c>
      <c r="B150" s="167"/>
      <c r="C150" s="167"/>
      <c r="D150" s="167"/>
      <c r="E150" s="167"/>
      <c r="F150" s="167"/>
      <c r="G150" s="167"/>
      <c r="H150" s="167"/>
      <c r="I150" s="167"/>
      <c r="J150" s="167"/>
      <c r="K150" s="167"/>
      <c r="L150" s="167"/>
    </row>
    <row r="151" spans="1:12" ht="15" customHeight="1">
      <c r="A151" s="155" t="s">
        <v>118</v>
      </c>
      <c r="B151" s="158"/>
      <c r="C151" s="158"/>
      <c r="D151" s="158"/>
      <c r="E151" s="158"/>
      <c r="F151" s="167"/>
      <c r="G151" s="167"/>
      <c r="H151" s="167"/>
      <c r="I151" s="167"/>
      <c r="J151" s="167"/>
      <c r="K151" s="167"/>
      <c r="L151" s="167"/>
    </row>
    <row r="152" spans="1:12" ht="15" customHeight="1">
      <c r="A152" s="155" t="s">
        <v>119</v>
      </c>
      <c r="B152" s="167"/>
      <c r="C152" s="167"/>
      <c r="D152" s="167"/>
      <c r="E152" s="167"/>
      <c r="F152" s="167"/>
      <c r="G152" s="167"/>
      <c r="H152" s="167"/>
      <c r="I152" s="167"/>
      <c r="J152" s="167"/>
      <c r="K152" s="167"/>
      <c r="L152" s="167"/>
    </row>
    <row r="153" spans="1:12" ht="15" customHeight="1">
      <c r="A153" s="155"/>
      <c r="B153" s="167"/>
      <c r="C153" s="167"/>
      <c r="D153" s="167"/>
      <c r="E153" s="167"/>
      <c r="F153" s="167"/>
      <c r="G153" s="167"/>
      <c r="H153" s="167"/>
      <c r="I153" s="167"/>
      <c r="J153" s="167"/>
      <c r="K153" s="167"/>
      <c r="L153" s="167"/>
    </row>
    <row r="154" spans="1:12" ht="15" customHeight="1">
      <c r="A154" s="155" t="s">
        <v>120</v>
      </c>
      <c r="B154" s="155"/>
      <c r="C154" s="155"/>
      <c r="D154" s="155"/>
      <c r="E154" s="155"/>
      <c r="F154" s="155"/>
      <c r="G154" s="155"/>
      <c r="H154" s="155"/>
      <c r="I154" s="155"/>
      <c r="J154" s="155"/>
      <c r="K154" s="155"/>
      <c r="L154" s="155"/>
    </row>
    <row r="155" spans="1:12" ht="30.75" customHeight="1">
      <c r="A155" s="155" t="s">
        <v>121</v>
      </c>
      <c r="B155" s="155"/>
      <c r="C155" s="155"/>
      <c r="D155" s="155"/>
      <c r="E155" s="155"/>
      <c r="F155" s="155"/>
      <c r="G155" s="155"/>
      <c r="H155" s="155"/>
      <c r="I155" s="155"/>
      <c r="J155" s="155"/>
      <c r="K155" s="155"/>
      <c r="L155" s="155"/>
    </row>
    <row r="156" spans="1:12" ht="15" customHeight="1">
      <c r="A156" s="155"/>
      <c r="B156" s="167"/>
      <c r="C156" s="167"/>
      <c r="D156" s="167"/>
      <c r="E156" s="167"/>
      <c r="F156" s="167"/>
      <c r="G156" s="167"/>
      <c r="H156" s="167"/>
      <c r="I156" s="167"/>
      <c r="J156" s="167"/>
      <c r="K156" s="167"/>
      <c r="L156" s="167"/>
    </row>
    <row r="157" spans="1:12" ht="15" customHeight="1">
      <c r="A157" s="155" t="s">
        <v>133</v>
      </c>
      <c r="B157" s="167"/>
      <c r="C157" s="167"/>
      <c r="D157" s="167"/>
      <c r="E157" s="167"/>
      <c r="F157" s="167"/>
      <c r="G157" s="167"/>
      <c r="H157" s="167"/>
      <c r="I157" s="167"/>
      <c r="J157" s="167"/>
      <c r="K157" s="167"/>
      <c r="L157" s="167"/>
    </row>
    <row r="158" spans="1:12" ht="15">
      <c r="A158" s="212"/>
      <c r="B158" s="213"/>
      <c r="C158" s="213"/>
      <c r="D158" s="213"/>
      <c r="E158" s="213"/>
      <c r="F158" s="213"/>
      <c r="G158" s="213"/>
      <c r="H158" s="213"/>
      <c r="I158" s="213"/>
      <c r="J158" s="213"/>
      <c r="K158" s="213"/>
      <c r="L158" s="213"/>
    </row>
    <row r="159" spans="1:12" s="1" customFormat="1" ht="15.75" customHeight="1">
      <c r="A159" s="185" t="s">
        <v>73</v>
      </c>
      <c r="B159" s="185"/>
      <c r="C159" s="185"/>
      <c r="D159" s="185"/>
      <c r="E159" s="185"/>
      <c r="F159" s="185"/>
      <c r="G159" s="185"/>
      <c r="H159" s="185"/>
      <c r="I159" s="185"/>
      <c r="J159" s="185"/>
      <c r="K159" s="185"/>
      <c r="L159" s="185"/>
    </row>
    <row r="160" spans="1:12" s="1" customFormat="1" ht="15" customHeight="1">
      <c r="A160" s="155" t="s">
        <v>245</v>
      </c>
      <c r="B160" s="155"/>
      <c r="C160" s="155"/>
      <c r="D160" s="155"/>
      <c r="E160" s="155"/>
      <c r="F160" s="155"/>
      <c r="G160" s="155"/>
      <c r="H160" s="155"/>
      <c r="I160" s="155"/>
      <c r="J160" s="155"/>
      <c r="K160" s="155"/>
      <c r="L160" s="155"/>
    </row>
    <row r="161" spans="1:12" s="23" customFormat="1" ht="15">
      <c r="A161" s="213"/>
      <c r="B161" s="213"/>
      <c r="C161" s="213"/>
      <c r="D161" s="213"/>
      <c r="E161" s="213"/>
      <c r="F161" s="213"/>
      <c r="G161" s="213"/>
      <c r="H161" s="213"/>
      <c r="I161" s="213"/>
      <c r="J161" s="213"/>
      <c r="K161" s="213"/>
      <c r="L161" s="213"/>
    </row>
    <row r="162" spans="1:12" s="23" customFormat="1" ht="15">
      <c r="A162" s="214"/>
      <c r="B162" s="184"/>
      <c r="C162" s="184"/>
      <c r="D162" s="184"/>
      <c r="E162" s="184"/>
      <c r="F162" s="184"/>
      <c r="G162" s="184"/>
      <c r="H162" s="184"/>
      <c r="I162" s="184"/>
      <c r="J162" s="184"/>
      <c r="K162" s="184"/>
      <c r="L162" s="184"/>
    </row>
    <row r="163" spans="1:12" ht="15">
      <c r="A163" s="4" t="s">
        <v>9</v>
      </c>
      <c r="B163" s="9"/>
      <c r="C163" s="159" t="s">
        <v>10</v>
      </c>
      <c r="D163" s="211"/>
      <c r="E163" s="187" t="s">
        <v>44</v>
      </c>
      <c r="F163" s="151"/>
      <c r="G163" s="151"/>
      <c r="H163" s="151"/>
      <c r="I163" s="151"/>
      <c r="J163" s="151"/>
      <c r="K163" s="151"/>
      <c r="L163" s="188"/>
    </row>
    <row r="164" spans="1:12" ht="15">
      <c r="A164" s="27" t="s">
        <v>46</v>
      </c>
      <c r="B164" s="17" t="s">
        <v>18</v>
      </c>
      <c r="C164" s="27"/>
      <c r="D164" s="17"/>
      <c r="E164" s="159">
        <v>11</v>
      </c>
      <c r="F164" s="194"/>
      <c r="G164" s="194"/>
      <c r="H164" s="194"/>
      <c r="I164" s="194"/>
      <c r="J164" s="194"/>
      <c r="K164" s="160"/>
      <c r="L164" s="161"/>
    </row>
    <row r="165" spans="1:12" ht="30">
      <c r="A165" s="27" t="s">
        <v>47</v>
      </c>
      <c r="B165" s="17" t="s">
        <v>18</v>
      </c>
      <c r="C165" s="27"/>
      <c r="D165" s="17"/>
      <c r="E165" s="209">
        <f>$F$101</f>
        <v>0.14</v>
      </c>
      <c r="F165" s="210"/>
      <c r="G165" s="209">
        <f>$G$101</f>
        <v>0.145</v>
      </c>
      <c r="H165" s="210"/>
      <c r="I165" s="209">
        <f>$H$101</f>
        <v>0.15</v>
      </c>
      <c r="J165" s="210"/>
      <c r="K165" s="209">
        <f>0.2</f>
        <v>0.2</v>
      </c>
      <c r="L165" s="210"/>
    </row>
    <row r="166" spans="1:12" ht="75.75" thickBot="1">
      <c r="A166" s="4" t="s">
        <v>116</v>
      </c>
      <c r="B166" s="9" t="s">
        <v>62</v>
      </c>
      <c r="C166" s="4" t="s">
        <v>236</v>
      </c>
      <c r="D166" s="9" t="s">
        <v>243</v>
      </c>
      <c r="E166" s="4" t="s">
        <v>236</v>
      </c>
      <c r="F166" s="9" t="s">
        <v>243</v>
      </c>
      <c r="G166" s="4" t="s">
        <v>236</v>
      </c>
      <c r="H166" s="9" t="s">
        <v>243</v>
      </c>
      <c r="I166" s="4" t="s">
        <v>236</v>
      </c>
      <c r="J166" s="9" t="s">
        <v>243</v>
      </c>
      <c r="K166" s="4" t="s">
        <v>236</v>
      </c>
      <c r="L166" s="9" t="s">
        <v>243</v>
      </c>
    </row>
    <row r="167" spans="1:12" ht="18.75" thickTop="1">
      <c r="A167" s="233" t="s">
        <v>125</v>
      </c>
      <c r="B167" s="234"/>
      <c r="C167" s="234"/>
      <c r="D167" s="234"/>
      <c r="E167" s="234"/>
      <c r="F167" s="234"/>
      <c r="G167" s="234"/>
      <c r="H167" s="234"/>
      <c r="I167" s="234"/>
      <c r="J167" s="234"/>
      <c r="K167" s="234"/>
      <c r="L167" s="235"/>
    </row>
    <row r="168" spans="1:12" ht="15">
      <c r="A168" s="25">
        <f>15</f>
        <v>15</v>
      </c>
      <c r="B168" s="48">
        <f>1000*$E$33/(2*SIN(A168*PI()/180))</f>
        <v>77.27406610312546</v>
      </c>
      <c r="C168" s="229">
        <f>1000*$D$60*$D$28*(($E$32*$D$104*(A168*PI()/180)*TAN(A168*PI()/180)/$E$33/$D$61)^2)</f>
        <v>0.43739958962342496</v>
      </c>
      <c r="D168" s="230">
        <f>C168</f>
        <v>0.43739958962342496</v>
      </c>
      <c r="E168" s="231">
        <f>1000*$D$60*$D$28*((F168/$D$61)^2)</f>
        <v>17.356364347907313</v>
      </c>
      <c r="F168" s="230">
        <f>$E$32*$F$104*(A168*PI()/180)*TAN(A168*PI()/180)/$E$33</f>
        <v>2.03268042254174</v>
      </c>
      <c r="G168" s="231">
        <f>1000*$D$60*$D$28*((H168/$D$61)^2)</f>
        <v>21.423901241034738</v>
      </c>
      <c r="H168" s="230">
        <f>$E$32*$G$104*(A168*PI()/180)*TAN(A168*PI()/180)/$E$33</f>
        <v>2.258338321126569</v>
      </c>
      <c r="I168" s="231">
        <f>1000*$D$60*$D$28*((J168/$D$61)^2)</f>
        <v>26.256576454429783</v>
      </c>
      <c r="J168" s="230">
        <f>$E$32*$H$104*($A168*PI()/180)*TAN($A168*PI()/180)/$E$33</f>
        <v>2.500108026996489</v>
      </c>
      <c r="K168" s="231">
        <f>1000*$D$60*$D$28*((L168/$D$61)^2)</f>
        <v>147.5266627672764</v>
      </c>
      <c r="L168" s="232">
        <f>$E$32*$I$104*(A168*PI()/180)*TAN(A168*PI()/180)/$E$33</f>
        <v>5.926181989917606</v>
      </c>
    </row>
    <row r="169" spans="1:12" ht="15">
      <c r="A169" s="25">
        <v>13.1</v>
      </c>
      <c r="B169" s="48">
        <f>1000*$E$33/(2*SIN(A169*PI()/180))</f>
        <v>88.24127346175575</v>
      </c>
      <c r="C169" s="229">
        <f>1000*$D$60*$D$28*(($E$32*$D$104*(A169*PI()/180)*TAN(A169*PI()/180)/$E$33/$D$61)^2)</f>
        <v>0.2516248419158073</v>
      </c>
      <c r="D169" s="230">
        <f>$E$32*$D$104*(A169*PI()/180)*TAN(A169*PI()/180)/$E$33</f>
        <v>0.24474649595019507</v>
      </c>
      <c r="E169" s="231">
        <f>1000*$D$60*$D$28*((F169/$D$61)^2)</f>
        <v>9.984674286126591</v>
      </c>
      <c r="F169" s="230">
        <f>$E$32*$F$104*(A169*PI()/180)*TAN(A169*PI()/180)/$E$33</f>
        <v>1.5417241531326662</v>
      </c>
      <c r="G169" s="231">
        <f>1000*$D$60*$D$28*((H169/$D$61)^2)</f>
        <v>12.324624647307935</v>
      </c>
      <c r="H169" s="230">
        <f>$E$32*$G$104*(A169*PI()/180)*TAN(A169*PI()/180)/$E$33</f>
        <v>1.7128785700962355</v>
      </c>
      <c r="I169" s="231">
        <f>1000*$D$60*$D$28*((J169/$D$61)^2)</f>
        <v>15.10473959356998</v>
      </c>
      <c r="J169" s="230">
        <f>$E$32*$H$104*($A169*PI()/180)*TAN($A169*PI()/180)/$E$33</f>
        <v>1.89625328601412</v>
      </c>
      <c r="K169" s="231">
        <f>1000*$D$60*$D$28*((L169/$D$61)^2)</f>
        <v>84.86833110461271</v>
      </c>
      <c r="L169" s="232">
        <f>$E$32*$I$104*(A169*PI()/180)*TAN(A169*PI()/180)/$E$33</f>
        <v>4.494822603885322</v>
      </c>
    </row>
    <row r="170" spans="1:12" ht="15">
      <c r="A170" s="25">
        <v>12.45</v>
      </c>
      <c r="B170" s="48">
        <f>1000*$E$33/(2*SIN(A170*PI()/180))</f>
        <v>92.76973440665176</v>
      </c>
      <c r="C170" s="229">
        <f>1000*$D$60*$D$28*(($E$32*$D$104*(A170*PI()/180)*TAN(A170*PI()/180)/$E$33/$D$61)^2)</f>
        <v>0.20457204893142314</v>
      </c>
      <c r="D170" s="230">
        <f>$E$32*$D$104*(A170*PI()/180)*TAN(A170*PI()/180)/$E$33</f>
        <v>0.22067994784687694</v>
      </c>
      <c r="E170" s="231">
        <f>1000*$D$60*$D$28*((F170/$D$61)^2)</f>
        <v>8.11758195682941</v>
      </c>
      <c r="F170" s="230">
        <f>$E$32*$F$104*(A170*PI()/180)*TAN(A170*PI()/180)/$E$33</f>
        <v>1.3901224791255937</v>
      </c>
      <c r="G170" s="231">
        <f>1000*$D$60*$D$28*((H170/$D$61)^2)</f>
        <v>10.019971387618831</v>
      </c>
      <c r="H170" s="230">
        <f>$E$32*$G$104*(A170*PI()/180)*TAN(A170*PI()/180)/$E$33</f>
        <v>1.5444468450890159</v>
      </c>
      <c r="I170" s="231">
        <f>1000*$D$60*$D$28*((J170/$D$61)^2)</f>
        <v>12.280216467124909</v>
      </c>
      <c r="J170" s="230">
        <f>$E$32*$H$104*($A170*PI()/180)*TAN($A170*PI()/180)/$E$33</f>
        <v>1.709789856796237</v>
      </c>
      <c r="K170" s="231">
        <f>1000*$D$60*$D$28*((L170/$D$61)^2)</f>
        <v>68.9983081609653</v>
      </c>
      <c r="L170" s="232">
        <f>$E$32*$I$104*(A170*PI()/180)*TAN(A170*PI()/180)/$E$33</f>
        <v>4.052835216109601</v>
      </c>
    </row>
    <row r="171" spans="1:12" ht="15">
      <c r="A171" s="25">
        <v>11.85</v>
      </c>
      <c r="B171" s="48">
        <f>1000*$E$33/(2*SIN(A171*PI()/180))</f>
        <v>97.39459864472677</v>
      </c>
      <c r="C171" s="229">
        <f>1000*$D$60*$D$28*(($E$32*$D$104*(A171*PI()/180)*TAN(A171*PI()/180)/$E$33/$D$61)^2)</f>
        <v>0.1673897545089683</v>
      </c>
      <c r="D171" s="230">
        <f>$E$32*$D$104*(A171*PI()/180)*TAN(A171*PI()/180)/$E$33</f>
        <v>0.19962005062550547</v>
      </c>
      <c r="E171" s="231">
        <f>1000*$D$60*$D$28*((F171/$D$61)^2)</f>
        <v>6.642158877802533</v>
      </c>
      <c r="F171" s="230">
        <f>$E$32*$F$104*(A171*PI()/180)*TAN(A171*PI()/180)/$E$33</f>
        <v>1.2574605095124023</v>
      </c>
      <c r="G171" s="231">
        <f>1000*$D$60*$D$28*((H171/$D$61)^2)</f>
        <v>8.198776712270451</v>
      </c>
      <c r="H171" s="230">
        <f>$E$32*$G$104*(A171*PI()/180)*TAN(A171*PI()/180)/$E$33</f>
        <v>1.3970574146546078</v>
      </c>
      <c r="I171" s="231">
        <f>1000*$D$60*$D$28*((J171/$D$61)^2)</f>
        <v>10.048207614316384</v>
      </c>
      <c r="J171" s="230">
        <f>$E$32*$H$104*($A171*PI()/180)*TAN($A171*PI()/180)/$E$33</f>
        <v>1.5466214357158723</v>
      </c>
      <c r="K171" s="231">
        <f>1000*$D$60*$D$28*((L171/$D$61)^2)</f>
        <v>56.45741891390939</v>
      </c>
      <c r="L171" s="232">
        <f>$E$32*$I$104*(A171*PI()/180)*TAN(A171*PI()/180)/$E$33</f>
        <v>3.6660656254005883</v>
      </c>
    </row>
    <row r="172" spans="1:12" ht="15">
      <c r="A172" s="25">
        <v>7.72</v>
      </c>
      <c r="B172" s="48">
        <f>1000*$E$33/(2*SIN(A172*PI()/180))</f>
        <v>148.88474645214484</v>
      </c>
      <c r="C172" s="229">
        <f>1000*$D$60*$D$28*(($E$32*$D$104*(A172*PI()/180)*TAN(A172*PI()/180)/$E$33/$D$61)^2)</f>
        <v>0.029654703934571675</v>
      </c>
      <c r="D172" s="230">
        <f>$E$32*$D$104*(A172*PI()/180)*TAN(A172*PI()/180)/$E$33</f>
        <v>0.08402074371901047</v>
      </c>
      <c r="E172" s="231">
        <f>1000*$D$60*$D$28*((F172/$D$61)^2)</f>
        <v>1.176722288561978</v>
      </c>
      <c r="F172" s="230">
        <f>$E$32*$F$104*(A172*PI()/180)*TAN(A172*PI()/180)/$E$33</f>
        <v>0.5292693137560931</v>
      </c>
      <c r="G172" s="231">
        <f>1000*$D$60*$D$28*((H172/$D$61)^2)</f>
        <v>1.4524920998973962</v>
      </c>
      <c r="H172" s="230">
        <f>$E$32*$G$104*(A172*PI()/180)*TAN(A172*PI()/180)/$E$33</f>
        <v>0.5880261157615407</v>
      </c>
      <c r="I172" s="231">
        <f>1000*$D$60*$D$28*((J172/$D$61)^2)</f>
        <v>1.7801365606262134</v>
      </c>
      <c r="J172" s="230">
        <f>$E$32*$H$104*($A172*PI()/180)*TAN($A172*PI()/180)/$E$33</f>
        <v>0.6509781100316373</v>
      </c>
      <c r="K172" s="231">
        <f>1000*$D$60*$D$28*((L172/$D$61)^2)</f>
        <v>10.00197442019887</v>
      </c>
      <c r="L172" s="232">
        <f>$E$32*$I$104*(A172*PI()/180)*TAN(A172*PI()/180)/$E$33</f>
        <v>1.5430592237786964</v>
      </c>
    </row>
    <row r="173" spans="1:12" ht="15">
      <c r="A173" s="25">
        <f>7.5</f>
        <v>7.5</v>
      </c>
      <c r="B173" s="48">
        <f>1000*$E$33/(2*SIN(A173*PI()/180))</f>
        <v>153.2259515108078</v>
      </c>
      <c r="C173" s="55">
        <f>1000*$D$60*$D$28*(($E$32*$D$104*(A173*PI()/180)*TAN(A173*PI()/180)/$E$33/$D$61)^2)</f>
        <v>0.026398039846409167</v>
      </c>
      <c r="D173" s="56">
        <f>$E$32*$D$104*(A173*PI()/180)*TAN(A173*PI()/180)/$E$33</f>
        <v>0.07927304952240122</v>
      </c>
      <c r="E173" s="231">
        <f>1000*$D$60*$D$28*((F173/$D$61)^2)</f>
        <v>1.0474952618024018</v>
      </c>
      <c r="F173" s="230">
        <f>$E$32*$F$104*(A173*PI()/180)*TAN(A173*PI()/180)/$E$33</f>
        <v>0.49936230819843314</v>
      </c>
      <c r="G173" s="231">
        <f>1000*$D$60*$D$28*((H173/$D$61)^2)</f>
        <v>1.2929801765778381</v>
      </c>
      <c r="H173" s="230">
        <f>$E$32*$G$104*(A173*PI()/180)*TAN(A173*PI()/180)/$E$33</f>
        <v>0.554798985725746</v>
      </c>
      <c r="I173" s="231">
        <f>1000*$D$60*$D$28*((J173/$D$61)^2)</f>
        <v>1.5846428938606527</v>
      </c>
      <c r="J173" s="230">
        <f>$E$32*$H$104*($A173*PI()/180)*TAN($A173*PI()/180)/$E$33</f>
        <v>0.6141938010822561</v>
      </c>
      <c r="K173" s="231">
        <f>1000*$D$60*$D$28*((L173/$D$61)^2)</f>
        <v>8.903562816533935</v>
      </c>
      <c r="L173" s="232">
        <f>$E$32*$I$104*(A173*PI()/180)*TAN(A173*PI()/180)/$E$33</f>
        <v>1.4558667877505334</v>
      </c>
    </row>
    <row r="174" spans="1:12" ht="15.75" customHeight="1" thickBot="1">
      <c r="A174" s="206"/>
      <c r="B174" s="207"/>
      <c r="C174" s="207"/>
      <c r="D174" s="207"/>
      <c r="E174" s="207"/>
      <c r="F174" s="207"/>
      <c r="G174" s="207"/>
      <c r="H174" s="207"/>
      <c r="I174" s="207"/>
      <c r="J174" s="207"/>
      <c r="K174" s="207"/>
      <c r="L174" s="208"/>
    </row>
    <row r="175" spans="1:12" ht="18.75" thickTop="1">
      <c r="A175" s="233" t="s">
        <v>244</v>
      </c>
      <c r="B175" s="234"/>
      <c r="C175" s="234"/>
      <c r="D175" s="234"/>
      <c r="E175" s="234"/>
      <c r="F175" s="234"/>
      <c r="G175" s="234"/>
      <c r="H175" s="234"/>
      <c r="I175" s="234"/>
      <c r="J175" s="234"/>
      <c r="K175" s="234"/>
      <c r="L175" s="235"/>
    </row>
    <row r="176" spans="1:12" ht="15">
      <c r="A176" s="25">
        <f>15</f>
        <v>15</v>
      </c>
      <c r="B176" s="48">
        <f aca="true" t="shared" si="2" ref="B176:B181">1000*$E$33/(2*SIN(A176*PI()/180))</f>
        <v>77.27406610312546</v>
      </c>
      <c r="C176" s="229">
        <f aca="true" t="shared" si="3" ref="C176:C181">1000*$E$60*$D$28*((D176/$E$61)^2)</f>
        <v>0.49306386520315504</v>
      </c>
      <c r="D176" s="230">
        <f aca="true" t="shared" si="4" ref="D176:D181">$E$32*$D$104*(A176*PI()/180)*TAN(A176*PI()/180)/$E$33</f>
        <v>0.3226850988828242</v>
      </c>
      <c r="E176" s="231">
        <f aca="true" t="shared" si="5" ref="E176:E181">1000*$E$60*$D$28*((F176/$E$61)^2)</f>
        <v>19.56516717041543</v>
      </c>
      <c r="F176" s="230">
        <f aca="true" t="shared" si="6" ref="F176:F181">$E$32*$F$104*(A176*PI()/180)*TAN(A176*PI()/180)/$E$33</f>
        <v>2.03268042254174</v>
      </c>
      <c r="G176" s="231">
        <f aca="true" t="shared" si="7" ref="G176:G181">1000*$E$60*$D$28*((H176/$E$61)^2)</f>
        <v>24.15034628342856</v>
      </c>
      <c r="H176" s="230">
        <f aca="true" t="shared" si="8" ref="H176:H181">$E$32*$G$104*(A176*PI()/180)*TAN(A176*PI()/180)/$E$33</f>
        <v>2.258338321126569</v>
      </c>
      <c r="I176" s="231">
        <f aca="true" t="shared" si="9" ref="I176:I181">1000*$E$60*$D$28*((J176/$E$61)^2)</f>
        <v>29.598036625432556</v>
      </c>
      <c r="J176" s="230">
        <f aca="true" t="shared" si="10" ref="J176:J181">$E$32*$H$104*($A176*PI()/180)*TAN($A176*PI()/180)/$E$33</f>
        <v>2.500108026996489</v>
      </c>
      <c r="K176" s="231">
        <f aca="true" t="shared" si="11" ref="K176:K181">1000*$E$60*$D$28*((L176/$E$61)^2)</f>
        <v>166.30117697911092</v>
      </c>
      <c r="L176" s="232">
        <f aca="true" t="shared" si="12" ref="L176:L181">$E$32*$I$104*(A176*PI()/180)*TAN(A176*PI()/180)/$E$33</f>
        <v>5.926181989917606</v>
      </c>
    </row>
    <row r="177" spans="1:12" ht="15">
      <c r="A177" s="25">
        <v>12.71</v>
      </c>
      <c r="B177" s="48">
        <f t="shared" si="2"/>
        <v>90.9022881532591</v>
      </c>
      <c r="C177" s="229">
        <f>1000*$E$60*$D$28*((D177/$E$61)^2)</f>
        <v>0.2508222663514431</v>
      </c>
      <c r="D177" s="230">
        <f>$E$32*$D$104*(A177*PI()/180)*TAN(A177*PI()/180)/$E$33</f>
        <v>0.2301496753908411</v>
      </c>
      <c r="E177" s="60">
        <f>1000*$E$60*$D$28*((F177/$E$61)^2)</f>
        <v>9.952827448035526</v>
      </c>
      <c r="F177" s="56">
        <f>$E$32*$F$104*(A177*PI()/180)*TAN(A177*PI()/180)/$E$33</f>
        <v>1.449774845634188</v>
      </c>
      <c r="G177" s="231">
        <f>1000*$E$60*$D$28*((H177/$E$61)^2)</f>
        <v>12.285314368932475</v>
      </c>
      <c r="H177" s="230">
        <f>$E$32*$G$104*(A177*PI()/180)*TAN(A177*PI()/180)/$E$33</f>
        <v>1.6107215155872896</v>
      </c>
      <c r="I177" s="231">
        <f>1000*$E$60*$D$28*((J177/$E$61)^2)</f>
        <v>15.056561938249516</v>
      </c>
      <c r="J177" s="230">
        <f t="shared" si="10"/>
        <v>1.7831596588977334</v>
      </c>
      <c r="K177" s="231">
        <f>1000*$E$60*$D$28*((L177/$E$61)^2)</f>
        <v>84.59763744728404</v>
      </c>
      <c r="L177" s="232">
        <f>$E$32*$I$104*(A177*PI()/180)*TAN(A177*PI()/180)/$E$33</f>
        <v>4.226748821090926</v>
      </c>
    </row>
    <row r="178" spans="1:12" ht="15">
      <c r="A178" s="25">
        <v>12.07</v>
      </c>
      <c r="B178" s="48">
        <f t="shared" si="2"/>
        <v>95.64501097652078</v>
      </c>
      <c r="C178" s="229">
        <f>1000*$E$60*$D$28*((D178/$E$61)^2)</f>
        <v>0.2033214004735908</v>
      </c>
      <c r="D178" s="230">
        <f>$E$32*$D$104*(A178*PI()/180)*TAN(A178*PI()/180)/$E$33</f>
        <v>0.20721389253816297</v>
      </c>
      <c r="E178" s="60">
        <f>1000*$E$60*$D$28*((F178/$E$61)^2)</f>
        <v>8.067955229186673</v>
      </c>
      <c r="F178" s="56">
        <f>$E$32*$F$104*(A178*PI()/180)*TAN(A178*PI()/180)/$E$33</f>
        <v>1.3052961667558776</v>
      </c>
      <c r="G178" s="60">
        <f>1000*$E$60*$D$28*((H178/$E$61)^2)</f>
        <v>9.958714427887982</v>
      </c>
      <c r="H178" s="56">
        <f>$E$32*$G$104*(A178*PI()/180)*TAN(A178*PI()/180)/$E$33</f>
        <v>1.4502035445977164</v>
      </c>
      <c r="I178" s="231">
        <f>1000*$E$60*$D$28*((J178/$E$61)^2)</f>
        <v>12.205141529631344</v>
      </c>
      <c r="J178" s="230">
        <f t="shared" si="10"/>
        <v>1.6054572021869835</v>
      </c>
      <c r="K178" s="231">
        <f>1000*$E$60*$D$28*((L178/$E$61)^2)</f>
        <v>68.57648793603573</v>
      </c>
      <c r="L178" s="232">
        <f>$E$32*$I$104*(A178*PI()/180)*TAN(A178*PI()/180)/$E$33</f>
        <v>3.8055281829617407</v>
      </c>
    </row>
    <row r="179" spans="1:12" ht="15">
      <c r="A179" s="25">
        <v>11.5</v>
      </c>
      <c r="B179" s="48">
        <f t="shared" si="2"/>
        <v>100.31703472509284</v>
      </c>
      <c r="C179" s="229">
        <f t="shared" si="3"/>
        <v>0.1670846829079854</v>
      </c>
      <c r="D179" s="230">
        <f t="shared" si="4"/>
        <v>0.18784327102236678</v>
      </c>
      <c r="E179" s="60">
        <f t="shared" si="5"/>
        <v>6.630053393516596</v>
      </c>
      <c r="F179" s="56">
        <f t="shared" si="6"/>
        <v>1.1832754001820773</v>
      </c>
      <c r="G179" s="60">
        <f t="shared" si="7"/>
        <v>8.183834256891078</v>
      </c>
      <c r="H179" s="56">
        <f t="shared" si="8"/>
        <v>1.3146366497376394</v>
      </c>
      <c r="I179" s="60">
        <f t="shared" si="9"/>
        <v>10.029894529427162</v>
      </c>
      <c r="J179" s="56">
        <f t="shared" si="10"/>
        <v>1.4553769954863367</v>
      </c>
      <c r="K179" s="231">
        <f t="shared" si="11"/>
        <v>56.3545239952451</v>
      </c>
      <c r="L179" s="232">
        <f t="shared" si="12"/>
        <v>3.449782507819466</v>
      </c>
    </row>
    <row r="180" spans="1:12" ht="15">
      <c r="A180" s="25">
        <f>7.5</f>
        <v>7.5</v>
      </c>
      <c r="B180" s="48">
        <f t="shared" si="2"/>
        <v>153.2259515108078</v>
      </c>
      <c r="C180" s="55">
        <f t="shared" si="3"/>
        <v>0.029757502908640904</v>
      </c>
      <c r="D180" s="56">
        <f t="shared" si="4"/>
        <v>0.07927304952240122</v>
      </c>
      <c r="E180" s="60">
        <f t="shared" si="5"/>
        <v>1.1808014337895092</v>
      </c>
      <c r="F180" s="56">
        <f t="shared" si="6"/>
        <v>0.49936230819843314</v>
      </c>
      <c r="G180" s="60">
        <f t="shared" si="7"/>
        <v>1.4575272099441046</v>
      </c>
      <c r="H180" s="56">
        <f t="shared" si="8"/>
        <v>0.554798985725746</v>
      </c>
      <c r="I180" s="60">
        <f t="shared" si="9"/>
        <v>1.7863074606135898</v>
      </c>
      <c r="J180" s="56">
        <f t="shared" si="10"/>
        <v>0.6141938010822561</v>
      </c>
      <c r="K180" s="60">
        <f t="shared" si="11"/>
        <v>10.036646582542208</v>
      </c>
      <c r="L180" s="62">
        <f t="shared" si="12"/>
        <v>1.4558667877505334</v>
      </c>
    </row>
    <row r="181" spans="1:12" ht="15">
      <c r="A181" s="25">
        <v>6.42</v>
      </c>
      <c r="B181" s="48">
        <f t="shared" si="2"/>
        <v>178.8655732429749</v>
      </c>
      <c r="C181" s="55">
        <f t="shared" si="3"/>
        <v>0.01592782222261935</v>
      </c>
      <c r="D181" s="56">
        <f t="shared" si="4"/>
        <v>0.057996999095195706</v>
      </c>
      <c r="E181" s="60">
        <f t="shared" si="5"/>
        <v>0.6320286811482436</v>
      </c>
      <c r="F181" s="56">
        <f t="shared" si="6"/>
        <v>0.365338731274307</v>
      </c>
      <c r="G181" s="60">
        <f t="shared" si="7"/>
        <v>0.7801472575132943</v>
      </c>
      <c r="H181" s="56">
        <f t="shared" si="8"/>
        <v>0.4058967892241739</v>
      </c>
      <c r="I181" s="60">
        <f t="shared" si="9"/>
        <v>0.9561281991618341</v>
      </c>
      <c r="J181" s="56">
        <f t="shared" si="10"/>
        <v>0.4493506625549508</v>
      </c>
      <c r="K181" s="60">
        <f t="shared" si="11"/>
        <v>5.372155149200107</v>
      </c>
      <c r="L181" s="62">
        <f t="shared" si="12"/>
        <v>1.0651274964265507</v>
      </c>
    </row>
    <row r="182" spans="1:12" ht="15.75" customHeight="1" thickBot="1">
      <c r="A182" s="216"/>
      <c r="B182" s="207"/>
      <c r="C182" s="207"/>
      <c r="D182" s="207"/>
      <c r="E182" s="207"/>
      <c r="F182" s="207"/>
      <c r="G182" s="207"/>
      <c r="H182" s="207"/>
      <c r="I182" s="207"/>
      <c r="J182" s="207"/>
      <c r="K182" s="207"/>
      <c r="L182" s="208"/>
    </row>
    <row r="183" spans="1:12" ht="15.75" thickTop="1">
      <c r="A183" s="217"/>
      <c r="B183" s="181"/>
      <c r="C183" s="181"/>
      <c r="D183" s="181"/>
      <c r="E183" s="181"/>
      <c r="F183" s="181"/>
      <c r="G183" s="181"/>
      <c r="H183" s="181"/>
      <c r="I183" s="181"/>
      <c r="J183" s="181"/>
      <c r="K183" s="181"/>
      <c r="L183" s="181"/>
    </row>
    <row r="184" spans="1:12" ht="15">
      <c r="A184" s="157"/>
      <c r="B184" s="157"/>
      <c r="C184" s="157"/>
      <c r="D184" s="157"/>
      <c r="E184" s="157"/>
      <c r="F184" s="157"/>
      <c r="G184" s="157"/>
      <c r="H184" s="157"/>
      <c r="I184" s="157"/>
      <c r="J184" s="157"/>
      <c r="K184" s="157"/>
      <c r="L184" s="157"/>
    </row>
    <row r="185" spans="1:12" s="53" customFormat="1" ht="18" customHeight="1">
      <c r="A185" s="215" t="s">
        <v>78</v>
      </c>
      <c r="B185" s="215"/>
      <c r="C185" s="215"/>
      <c r="D185" s="215"/>
      <c r="E185" s="215"/>
      <c r="F185" s="215"/>
      <c r="G185" s="215"/>
      <c r="H185" s="215"/>
      <c r="I185" s="215"/>
      <c r="J185" s="215"/>
      <c r="K185" s="215"/>
      <c r="L185" s="215"/>
    </row>
    <row r="186" spans="1:12" ht="15">
      <c r="A186" s="157"/>
      <c r="B186" s="157"/>
      <c r="C186" s="157"/>
      <c r="D186" s="157"/>
      <c r="E186" s="157"/>
      <c r="F186" s="157"/>
      <c r="G186" s="157"/>
      <c r="H186" s="157"/>
      <c r="I186" s="157"/>
      <c r="J186" s="157"/>
      <c r="K186" s="157"/>
      <c r="L186" s="157"/>
    </row>
    <row r="187" spans="1:12" s="1" customFormat="1" ht="20.25">
      <c r="A187" s="201" t="s">
        <v>164</v>
      </c>
      <c r="B187" s="201"/>
      <c r="C187" s="201"/>
      <c r="D187" s="201"/>
      <c r="E187" s="42">
        <v>100</v>
      </c>
      <c r="F187" s="1" t="s">
        <v>5</v>
      </c>
      <c r="G187" s="85"/>
      <c r="H187" s="85"/>
      <c r="I187" s="85"/>
      <c r="J187" s="85"/>
      <c r="K187" s="85"/>
      <c r="L187" s="85"/>
    </row>
    <row r="188" spans="1:12" s="1" customFormat="1" ht="20.25">
      <c r="A188" s="201" t="s">
        <v>168</v>
      </c>
      <c r="B188" s="201"/>
      <c r="C188" s="201"/>
      <c r="D188" s="201"/>
      <c r="E188" s="42">
        <v>11.5</v>
      </c>
      <c r="F188" s="1" t="s">
        <v>2</v>
      </c>
      <c r="G188" s="85"/>
      <c r="H188" s="85"/>
      <c r="I188" s="85"/>
      <c r="J188" s="85"/>
      <c r="K188" s="85"/>
      <c r="L188" s="85"/>
    </row>
    <row r="189" spans="1:12" s="1" customFormat="1" ht="20.25">
      <c r="A189" s="86"/>
      <c r="B189" s="86"/>
      <c r="C189" s="86"/>
      <c r="D189" s="86"/>
      <c r="E189" s="42"/>
      <c r="G189" s="85"/>
      <c r="H189" s="85"/>
      <c r="I189" s="85"/>
      <c r="J189" s="85"/>
      <c r="K189" s="85"/>
      <c r="L189" s="85"/>
    </row>
    <row r="190" spans="1:12" ht="18">
      <c r="A190" s="201" t="s">
        <v>163</v>
      </c>
      <c r="B190" s="201"/>
      <c r="C190" s="201"/>
      <c r="D190" s="201"/>
      <c r="E190" s="201"/>
      <c r="F190" s="201"/>
      <c r="G190" s="201"/>
      <c r="H190" s="201"/>
      <c r="I190" s="201"/>
      <c r="J190" s="201"/>
      <c r="K190" s="201"/>
      <c r="L190" s="201"/>
    </row>
    <row r="191" spans="2:6" s="1" customFormat="1" ht="20.25">
      <c r="B191" s="155" t="s">
        <v>165</v>
      </c>
      <c r="C191" s="155"/>
      <c r="D191" s="155"/>
      <c r="E191" s="42">
        <f>$E$100</f>
        <v>11</v>
      </c>
      <c r="F191" s="1" t="s">
        <v>5</v>
      </c>
    </row>
    <row r="192" spans="2:9" s="1" customFormat="1" ht="20.25">
      <c r="B192" s="155" t="s">
        <v>47</v>
      </c>
      <c r="C192" s="155"/>
      <c r="D192" s="155"/>
      <c r="E192" s="42">
        <f>$H$101</f>
        <v>0.15</v>
      </c>
      <c r="F192" s="1" t="s">
        <v>161</v>
      </c>
      <c r="I192" s="42"/>
    </row>
    <row r="193" spans="2:6" s="1" customFormat="1" ht="20.25">
      <c r="B193" s="155" t="s">
        <v>162</v>
      </c>
      <c r="C193" s="155"/>
      <c r="D193" s="155"/>
      <c r="E193" s="81">
        <f>$H$104</f>
        <v>0.08909999999999996</v>
      </c>
      <c r="F193" s="1" t="s">
        <v>1</v>
      </c>
    </row>
    <row r="194" spans="1:12" s="1" customFormat="1" ht="15" customHeight="1">
      <c r="A194" s="155"/>
      <c r="B194" s="155"/>
      <c r="C194" s="155"/>
      <c r="D194" s="155"/>
      <c r="E194" s="155"/>
      <c r="F194" s="155"/>
      <c r="G194" s="155"/>
      <c r="H194" s="155"/>
      <c r="I194" s="155"/>
      <c r="J194" s="155"/>
      <c r="K194" s="155"/>
      <c r="L194" s="155"/>
    </row>
    <row r="195" spans="1:12" s="1" customFormat="1" ht="15" customHeight="1">
      <c r="A195" s="155"/>
      <c r="B195" s="155"/>
      <c r="C195" s="155"/>
      <c r="D195" s="155"/>
      <c r="E195" s="155"/>
      <c r="F195" s="155"/>
      <c r="G195" s="155"/>
      <c r="H195" s="155"/>
      <c r="I195" s="155"/>
      <c r="J195" s="155"/>
      <c r="K195" s="155"/>
      <c r="L195" s="155"/>
    </row>
    <row r="196" spans="1:11" s="1" customFormat="1" ht="15">
      <c r="A196" s="198"/>
      <c r="B196" s="204"/>
      <c r="C196" s="172"/>
      <c r="D196" s="202" t="s">
        <v>150</v>
      </c>
      <c r="E196" s="202"/>
      <c r="F196" s="202" t="s">
        <v>151</v>
      </c>
      <c r="G196" s="202"/>
      <c r="H196" s="202" t="s">
        <v>152</v>
      </c>
      <c r="I196" s="202"/>
      <c r="J196" s="187" t="s">
        <v>153</v>
      </c>
      <c r="K196" s="172"/>
    </row>
    <row r="197" spans="1:11" s="1" customFormat="1" ht="15">
      <c r="A197" s="6"/>
      <c r="B197" s="92"/>
      <c r="C197" s="84"/>
      <c r="D197" s="10" t="s">
        <v>197</v>
      </c>
      <c r="E197" s="11" t="s">
        <v>198</v>
      </c>
      <c r="F197" s="10" t="s">
        <v>197</v>
      </c>
      <c r="G197" s="11" t="s">
        <v>198</v>
      </c>
      <c r="H197" s="10" t="s">
        <v>197</v>
      </c>
      <c r="I197" s="11" t="s">
        <v>198</v>
      </c>
      <c r="J197" s="10" t="s">
        <v>197</v>
      </c>
      <c r="K197" s="88" t="s">
        <v>198</v>
      </c>
    </row>
    <row r="198" spans="1:11" s="76" customFormat="1" ht="15">
      <c r="A198" s="187" t="s">
        <v>154</v>
      </c>
      <c r="B198" s="204"/>
      <c r="C198" s="172"/>
      <c r="D198" s="91">
        <f>1000*$E$60*$D$28*((($E$32*$E$193*($E$188*PI()/180)*TAN($E$188*PI()/180)/$E$33)/$E$61)^2)</f>
        <v>10.029894529427162</v>
      </c>
      <c r="E198" s="93">
        <f>D198+$F$47+$F$48</f>
        <v>10.629894529427162</v>
      </c>
      <c r="F198" s="91">
        <f>D198/$F$76</f>
        <v>0.7863437311070894</v>
      </c>
      <c r="G198" s="93">
        <f>F198+$F$47+$F$48</f>
        <v>1.3863437311070896</v>
      </c>
      <c r="H198" s="91">
        <f>D198/$F$79</f>
        <v>0.43393335692113677</v>
      </c>
      <c r="I198" s="93">
        <f>H198+$F$47+$F$48</f>
        <v>1.0339333569211369</v>
      </c>
      <c r="J198" s="94"/>
      <c r="K198" s="95"/>
    </row>
    <row r="199" spans="1:11" s="76" customFormat="1" ht="15.75" customHeight="1">
      <c r="A199" s="187" t="s">
        <v>155</v>
      </c>
      <c r="B199" s="204"/>
      <c r="C199" s="172"/>
      <c r="D199" s="91">
        <f>D198/F83</f>
        <v>3.7926374513940573</v>
      </c>
      <c r="E199" s="93">
        <f>D199+$F$47+$F$48</f>
        <v>4.392637451394057</v>
      </c>
      <c r="F199" s="91">
        <f>D199/$F$75</f>
        <v>0.42259288950653107</v>
      </c>
      <c r="G199" s="93">
        <f>F199+$F$47+$F$48</f>
        <v>1.022592889506531</v>
      </c>
      <c r="H199" s="91">
        <f>D199/$F$78</f>
        <v>0.4014097522603809</v>
      </c>
      <c r="I199" s="93">
        <f>H199+$F$47+$F$48</f>
        <v>1.0014097522603809</v>
      </c>
      <c r="J199" s="96">
        <f>(1/3)*(D199+F199+H199)</f>
        <v>1.5388800310536566</v>
      </c>
      <c r="K199" s="165">
        <f>(1/3)*(D199+F199+H199)+$F$47+$F$48</f>
        <v>2.1388800310536564</v>
      </c>
    </row>
    <row r="200" spans="1:11" s="76" customFormat="1" ht="15">
      <c r="A200" s="205" t="s">
        <v>199</v>
      </c>
      <c r="B200" s="204"/>
      <c r="C200" s="172"/>
      <c r="D200" s="171">
        <f>1000*SQRT(0.001*$D$198/($E$60*$D$28))</f>
        <v>70.99399977982131</v>
      </c>
      <c r="E200" s="172"/>
      <c r="F200" s="171">
        <f>1000*SQRT(0.001*$F$198/($E$60*$D$28))</f>
        <v>19.878319938349964</v>
      </c>
      <c r="G200" s="219"/>
      <c r="H200" s="171">
        <f>1000*SQRT(0.001*$H$198/($E$60*$D$28))</f>
        <v>14.766751954202832</v>
      </c>
      <c r="I200" s="172"/>
      <c r="J200" s="97"/>
      <c r="K200" s="98"/>
    </row>
    <row r="201" spans="1:12" s="76" customFormat="1" ht="15">
      <c r="A201" s="203"/>
      <c r="B201" s="167"/>
      <c r="C201" s="167"/>
      <c r="D201" s="167"/>
      <c r="E201" s="167"/>
      <c r="F201" s="167"/>
      <c r="G201" s="167"/>
      <c r="H201" s="167"/>
      <c r="I201" s="167"/>
      <c r="J201" s="167"/>
      <c r="K201" s="167"/>
      <c r="L201" s="167"/>
    </row>
    <row r="202" spans="1:12" s="76" customFormat="1" ht="20.25">
      <c r="A202" s="166" t="s">
        <v>227</v>
      </c>
      <c r="B202" s="156"/>
      <c r="C202" s="156"/>
      <c r="D202" s="156"/>
      <c r="E202" s="156"/>
      <c r="F202" s="156"/>
      <c r="G202" s="117">
        <f>'Effect of gravity'!A27</f>
        <v>-7.95</v>
      </c>
      <c r="H202" s="23" t="s">
        <v>190</v>
      </c>
      <c r="I202" s="118">
        <f>'Effect of gravity'!A26</f>
        <v>7.7</v>
      </c>
      <c r="J202" s="200" t="s">
        <v>225</v>
      </c>
      <c r="K202" s="167"/>
      <c r="L202" s="167"/>
    </row>
    <row r="203" spans="1:12" s="76" customFormat="1" ht="15">
      <c r="A203" s="166" t="s">
        <v>235</v>
      </c>
      <c r="B203" s="158"/>
      <c r="C203" s="158"/>
      <c r="D203" s="158"/>
      <c r="E203" s="158"/>
      <c r="F203" s="158"/>
      <c r="G203" s="158"/>
      <c r="H203" s="158"/>
      <c r="I203" s="158"/>
      <c r="J203" s="158"/>
      <c r="K203" s="158"/>
      <c r="L203" s="158"/>
    </row>
    <row r="204" spans="1:12" s="76" customFormat="1" ht="15">
      <c r="A204" s="166" t="s">
        <v>226</v>
      </c>
      <c r="B204" s="167"/>
      <c r="C204" s="167"/>
      <c r="D204" s="167"/>
      <c r="E204" s="167"/>
      <c r="F204" s="167"/>
      <c r="G204" s="167"/>
      <c r="H204" s="167"/>
      <c r="I204" s="167"/>
      <c r="J204" s="167"/>
      <c r="K204" s="167"/>
      <c r="L204" s="167"/>
    </row>
    <row r="205" spans="1:12" ht="15">
      <c r="A205" s="157"/>
      <c r="B205" s="157"/>
      <c r="C205" s="157"/>
      <c r="D205" s="157"/>
      <c r="E205" s="157"/>
      <c r="F205" s="157"/>
      <c r="G205" s="157"/>
      <c r="H205" s="157"/>
      <c r="I205" s="157"/>
      <c r="J205" s="157"/>
      <c r="K205" s="157"/>
      <c r="L205" s="157"/>
    </row>
  </sheetData>
  <mergeCells count="239">
    <mergeCell ref="A19:L19"/>
    <mergeCell ref="A5:L5"/>
    <mergeCell ref="A7:L7"/>
    <mergeCell ref="A6:L6"/>
    <mergeCell ref="I15:K15"/>
    <mergeCell ref="A3:L3"/>
    <mergeCell ref="A4:L4"/>
    <mergeCell ref="A17:L17"/>
    <mergeCell ref="B9:G9"/>
    <mergeCell ref="B12:G12"/>
    <mergeCell ref="I12:K12"/>
    <mergeCell ref="I11:K11"/>
    <mergeCell ref="B11:G11"/>
    <mergeCell ref="B10:G10"/>
    <mergeCell ref="B15:G15"/>
    <mergeCell ref="G27:J27"/>
    <mergeCell ref="A74:L74"/>
    <mergeCell ref="A77:L77"/>
    <mergeCell ref="A81:L81"/>
    <mergeCell ref="G40:L40"/>
    <mergeCell ref="A46:E46"/>
    <mergeCell ref="D48:E48"/>
    <mergeCell ref="A205:L205"/>
    <mergeCell ref="A20:L20"/>
    <mergeCell ref="A18:L18"/>
    <mergeCell ref="A199:C199"/>
    <mergeCell ref="D200:E200"/>
    <mergeCell ref="F200:G200"/>
    <mergeCell ref="E129:J129"/>
    <mergeCell ref="A146:L146"/>
    <mergeCell ref="A62:C62"/>
    <mergeCell ref="A29:L29"/>
    <mergeCell ref="A91:L91"/>
    <mergeCell ref="B100:C100"/>
    <mergeCell ref="B79:E79"/>
    <mergeCell ref="G79:L79"/>
    <mergeCell ref="A83:E83"/>
    <mergeCell ref="A94:L94"/>
    <mergeCell ref="A98:L98"/>
    <mergeCell ref="G84:L84"/>
    <mergeCell ref="A85:E85"/>
    <mergeCell ref="G85:L85"/>
    <mergeCell ref="G86:L86"/>
    <mergeCell ref="A86:E86"/>
    <mergeCell ref="A95:L95"/>
    <mergeCell ref="A96:L96"/>
    <mergeCell ref="A93:L93"/>
    <mergeCell ref="A92:L92"/>
    <mergeCell ref="A185:L185"/>
    <mergeCell ref="K165:L165"/>
    <mergeCell ref="A182:L182"/>
    <mergeCell ref="A183:L183"/>
    <mergeCell ref="A184:L184"/>
    <mergeCell ref="I165:J165"/>
    <mergeCell ref="E163:L163"/>
    <mergeCell ref="A145:L145"/>
    <mergeCell ref="A154:L154"/>
    <mergeCell ref="A149:L149"/>
    <mergeCell ref="A155:L155"/>
    <mergeCell ref="A153:L153"/>
    <mergeCell ref="A175:L175"/>
    <mergeCell ref="A159:L159"/>
    <mergeCell ref="A160:L160"/>
    <mergeCell ref="A156:L156"/>
    <mergeCell ref="E164:L164"/>
    <mergeCell ref="C163:D163"/>
    <mergeCell ref="A158:L158"/>
    <mergeCell ref="A161:L161"/>
    <mergeCell ref="A162:L162"/>
    <mergeCell ref="A157:L157"/>
    <mergeCell ref="A174:L174"/>
    <mergeCell ref="A167:L167"/>
    <mergeCell ref="G165:H165"/>
    <mergeCell ref="E165:F165"/>
    <mergeCell ref="A186:L186"/>
    <mergeCell ref="A194:L194"/>
    <mergeCell ref="A196:C196"/>
    <mergeCell ref="A198:C198"/>
    <mergeCell ref="H196:I196"/>
    <mergeCell ref="A187:D187"/>
    <mergeCell ref="A188:D188"/>
    <mergeCell ref="A195:L195"/>
    <mergeCell ref="J196:K196"/>
    <mergeCell ref="A202:F202"/>
    <mergeCell ref="J202:L202"/>
    <mergeCell ref="A190:L190"/>
    <mergeCell ref="B193:D193"/>
    <mergeCell ref="D196:E196"/>
    <mergeCell ref="F196:G196"/>
    <mergeCell ref="B191:D191"/>
    <mergeCell ref="B192:D192"/>
    <mergeCell ref="A201:L201"/>
    <mergeCell ref="A200:C200"/>
    <mergeCell ref="E121:J121"/>
    <mergeCell ref="E122:J122"/>
    <mergeCell ref="A120:L120"/>
    <mergeCell ref="A97:L97"/>
    <mergeCell ref="A111:L111"/>
    <mergeCell ref="A112:L112"/>
    <mergeCell ref="B101:C101"/>
    <mergeCell ref="A110:L110"/>
    <mergeCell ref="B104:C104"/>
    <mergeCell ref="B103:C103"/>
    <mergeCell ref="A60:C60"/>
    <mergeCell ref="A61:C61"/>
    <mergeCell ref="A63:C63"/>
    <mergeCell ref="A65:L65"/>
    <mergeCell ref="A64:L64"/>
    <mergeCell ref="G82:L82"/>
    <mergeCell ref="G83:L83"/>
    <mergeCell ref="A87:L87"/>
    <mergeCell ref="A84:E84"/>
    <mergeCell ref="H67:L67"/>
    <mergeCell ref="H68:L68"/>
    <mergeCell ref="A67:F67"/>
    <mergeCell ref="G78:L78"/>
    <mergeCell ref="B76:E76"/>
    <mergeCell ref="G76:L76"/>
    <mergeCell ref="A70:L70"/>
    <mergeCell ref="G35:L35"/>
    <mergeCell ref="G36:L36"/>
    <mergeCell ref="G37:L37"/>
    <mergeCell ref="A82:E82"/>
    <mergeCell ref="A47:C47"/>
    <mergeCell ref="A48:C48"/>
    <mergeCell ref="A44:D44"/>
    <mergeCell ref="A40:D40"/>
    <mergeCell ref="A41:D41"/>
    <mergeCell ref="A42:D42"/>
    <mergeCell ref="A23:L23"/>
    <mergeCell ref="A32:D32"/>
    <mergeCell ref="G32:L32"/>
    <mergeCell ref="A34:D34"/>
    <mergeCell ref="A31:L31"/>
    <mergeCell ref="A24:L24"/>
    <mergeCell ref="A30:L30"/>
    <mergeCell ref="F28:J28"/>
    <mergeCell ref="F26:L26"/>
    <mergeCell ref="A26:C26"/>
    <mergeCell ref="A21:L21"/>
    <mergeCell ref="A22:L22"/>
    <mergeCell ref="A68:F68"/>
    <mergeCell ref="A25:L25"/>
    <mergeCell ref="A28:C28"/>
    <mergeCell ref="A27:C27"/>
    <mergeCell ref="A52:L52"/>
    <mergeCell ref="A39:D39"/>
    <mergeCell ref="G34:L34"/>
    <mergeCell ref="B38:D38"/>
    <mergeCell ref="E123:J123"/>
    <mergeCell ref="E124:J124"/>
    <mergeCell ref="A1:L1"/>
    <mergeCell ref="A8:L8"/>
    <mergeCell ref="I14:K14"/>
    <mergeCell ref="I13:K13"/>
    <mergeCell ref="B13:G13"/>
    <mergeCell ref="B14:G14"/>
    <mergeCell ref="I10:K10"/>
    <mergeCell ref="I9:K9"/>
    <mergeCell ref="A2:L2"/>
    <mergeCell ref="E100:I100"/>
    <mergeCell ref="A150:L150"/>
    <mergeCell ref="E99:I99"/>
    <mergeCell ref="A90:L90"/>
    <mergeCell ref="A147:L147"/>
    <mergeCell ref="A148:L148"/>
    <mergeCell ref="A113:L113"/>
    <mergeCell ref="A114:L114"/>
    <mergeCell ref="A144:L144"/>
    <mergeCell ref="A117:L117"/>
    <mergeCell ref="A89:E89"/>
    <mergeCell ref="G89:L89"/>
    <mergeCell ref="A152:L152"/>
    <mergeCell ref="A142:L142"/>
    <mergeCell ref="A141:L141"/>
    <mergeCell ref="A143:L143"/>
    <mergeCell ref="A115:L115"/>
    <mergeCell ref="A116:L116"/>
    <mergeCell ref="A118:L118"/>
    <mergeCell ref="E126:J126"/>
    <mergeCell ref="A151:L151"/>
    <mergeCell ref="E125:J125"/>
    <mergeCell ref="F130:J130"/>
    <mergeCell ref="A139:L139"/>
    <mergeCell ref="E127:J127"/>
    <mergeCell ref="E128:J128"/>
    <mergeCell ref="A140:L140"/>
    <mergeCell ref="F131:J131"/>
    <mergeCell ref="F135:J135"/>
    <mergeCell ref="G41:L41"/>
    <mergeCell ref="G44:L44"/>
    <mergeCell ref="A33:D33"/>
    <mergeCell ref="B35:D35"/>
    <mergeCell ref="B36:D36"/>
    <mergeCell ref="B37:D37"/>
    <mergeCell ref="G33:L33"/>
    <mergeCell ref="G42:L42"/>
    <mergeCell ref="G39:L39"/>
    <mergeCell ref="G38:L38"/>
    <mergeCell ref="A53:L53"/>
    <mergeCell ref="G43:L43"/>
    <mergeCell ref="D47:E47"/>
    <mergeCell ref="A49:L49"/>
    <mergeCell ref="A43:D43"/>
    <mergeCell ref="A54:C54"/>
    <mergeCell ref="F61:L61"/>
    <mergeCell ref="F62:L62"/>
    <mergeCell ref="F63:L63"/>
    <mergeCell ref="A56:C56"/>
    <mergeCell ref="A55:C55"/>
    <mergeCell ref="A57:C57"/>
    <mergeCell ref="A58:C58"/>
    <mergeCell ref="A59:C59"/>
    <mergeCell ref="F54:L54"/>
    <mergeCell ref="G75:L75"/>
    <mergeCell ref="A80:L80"/>
    <mergeCell ref="A71:L71"/>
    <mergeCell ref="A73:L73"/>
    <mergeCell ref="B78:E78"/>
    <mergeCell ref="F55:L55"/>
    <mergeCell ref="F56:L56"/>
    <mergeCell ref="F57:L57"/>
    <mergeCell ref="A203:L203"/>
    <mergeCell ref="A109:L109"/>
    <mergeCell ref="A66:L66"/>
    <mergeCell ref="A69:L69"/>
    <mergeCell ref="A72:L72"/>
    <mergeCell ref="A88:L88"/>
    <mergeCell ref="B75:E75"/>
    <mergeCell ref="A204:L204"/>
    <mergeCell ref="F58:L58"/>
    <mergeCell ref="F59:L59"/>
    <mergeCell ref="F60:L60"/>
    <mergeCell ref="H200:I200"/>
    <mergeCell ref="C130:D130"/>
    <mergeCell ref="C131:D131"/>
    <mergeCell ref="C132:D132"/>
    <mergeCell ref="A119:L119"/>
    <mergeCell ref="A108:L108"/>
  </mergeCells>
  <printOptions horizontalCentered="1"/>
  <pageMargins left="0.3937007874015748" right="0.3937007874015748" top="0.7874015748031497" bottom="0.7874015748031497" header="0.5118110236220472" footer="0.5118110236220472"/>
  <pageSetup orientation="landscape" paperSize="9" scale="75" r:id="rId1"/>
  <rowBreaks count="7" manualBreakCount="7">
    <brk id="22" max="12" man="1"/>
    <brk id="51" max="255" man="1"/>
    <brk id="90" max="255" man="1"/>
    <brk id="110" max="12" man="1"/>
    <brk id="147" max="12" man="1"/>
    <brk id="161" max="255" man="1"/>
    <brk id="184" max="12" man="1"/>
  </rowBreaks>
</worksheet>
</file>

<file path=xl/worksheets/sheet2.xml><?xml version="1.0" encoding="utf-8"?>
<worksheet xmlns="http://schemas.openxmlformats.org/spreadsheetml/2006/main" xmlns:r="http://schemas.openxmlformats.org/officeDocument/2006/relationships">
  <dimension ref="A1:M55"/>
  <sheetViews>
    <sheetView view="pageBreakPreview" zoomScale="75" zoomScaleNormal="75" zoomScaleSheetLayoutView="75" workbookViewId="0" topLeftCell="A1">
      <selection activeCell="A1" sqref="A1:IV16384"/>
    </sheetView>
  </sheetViews>
  <sheetFormatPr defaultColWidth="11.421875" defaultRowHeight="12.75"/>
  <cols>
    <col min="1" max="16384" width="13.7109375" style="116" customWidth="1"/>
  </cols>
  <sheetData>
    <row r="1" spans="1:13" s="2" customFormat="1" ht="25.5">
      <c r="A1" s="186" t="s">
        <v>200</v>
      </c>
      <c r="B1" s="222"/>
      <c r="C1" s="222"/>
      <c r="D1" s="222"/>
      <c r="E1" s="222"/>
      <c r="F1" s="222"/>
      <c r="G1" s="222"/>
      <c r="H1" s="222"/>
      <c r="I1" s="222"/>
      <c r="J1" s="222"/>
      <c r="K1" s="222"/>
      <c r="L1" s="222"/>
      <c r="M1" s="1"/>
    </row>
    <row r="2" spans="1:13" s="2" customFormat="1" ht="15.75">
      <c r="A2" s="190"/>
      <c r="B2" s="158"/>
      <c r="C2" s="158"/>
      <c r="D2" s="158"/>
      <c r="E2" s="158"/>
      <c r="F2" s="158"/>
      <c r="G2" s="158"/>
      <c r="H2" s="158"/>
      <c r="I2" s="158"/>
      <c r="J2" s="158"/>
      <c r="K2" s="158"/>
      <c r="L2" s="158"/>
      <c r="M2" s="1"/>
    </row>
    <row r="3" spans="1:13" s="2" customFormat="1" ht="15.75">
      <c r="A3" s="185" t="s">
        <v>170</v>
      </c>
      <c r="B3" s="185"/>
      <c r="C3" s="185"/>
      <c r="D3" s="185"/>
      <c r="E3" s="185"/>
      <c r="F3" s="185"/>
      <c r="G3" s="185"/>
      <c r="H3" s="185"/>
      <c r="I3" s="185"/>
      <c r="J3" s="185"/>
      <c r="K3" s="185"/>
      <c r="L3" s="185"/>
      <c r="M3" s="1"/>
    </row>
    <row r="4" spans="1:13" s="2" customFormat="1" ht="15">
      <c r="A4" s="155" t="s">
        <v>174</v>
      </c>
      <c r="B4" s="155"/>
      <c r="C4" s="155"/>
      <c r="D4" s="155"/>
      <c r="E4" s="155"/>
      <c r="F4" s="155"/>
      <c r="G4" s="155"/>
      <c r="H4" s="155"/>
      <c r="I4" s="155"/>
      <c r="J4" s="155"/>
      <c r="K4" s="155"/>
      <c r="L4" s="155"/>
      <c r="M4" s="1"/>
    </row>
    <row r="5" spans="1:13" s="2" customFormat="1" ht="15">
      <c r="A5" s="155" t="s">
        <v>173</v>
      </c>
      <c r="B5" s="155"/>
      <c r="C5" s="155"/>
      <c r="D5" s="155"/>
      <c r="E5" s="155"/>
      <c r="F5" s="155"/>
      <c r="G5" s="155"/>
      <c r="H5" s="155"/>
      <c r="I5" s="155"/>
      <c r="J5" s="155"/>
      <c r="K5" s="155"/>
      <c r="L5" s="155"/>
      <c r="M5" s="1"/>
    </row>
    <row r="6" spans="1:13" s="2" customFormat="1" ht="15">
      <c r="A6" s="155" t="s">
        <v>194</v>
      </c>
      <c r="B6" s="155"/>
      <c r="C6" s="155"/>
      <c r="D6" s="155"/>
      <c r="E6" s="155"/>
      <c r="F6" s="155"/>
      <c r="G6" s="155"/>
      <c r="H6" s="155"/>
      <c r="I6" s="155"/>
      <c r="J6" s="155"/>
      <c r="K6" s="155"/>
      <c r="L6" s="155"/>
      <c r="M6" s="1"/>
    </row>
    <row r="7" spans="1:13" s="2" customFormat="1" ht="15">
      <c r="A7" s="155" t="s">
        <v>177</v>
      </c>
      <c r="B7" s="155"/>
      <c r="C7" s="155"/>
      <c r="D7" s="155"/>
      <c r="E7" s="155"/>
      <c r="F7" s="155"/>
      <c r="G7" s="155"/>
      <c r="H7" s="155"/>
      <c r="I7" s="155"/>
      <c r="J7" s="155"/>
      <c r="K7" s="155"/>
      <c r="L7" s="155"/>
      <c r="M7" s="1"/>
    </row>
    <row r="8" spans="1:13" s="2" customFormat="1" ht="15" customHeight="1">
      <c r="A8" s="155"/>
      <c r="B8" s="155"/>
      <c r="C8" s="155"/>
      <c r="D8" s="155"/>
      <c r="E8" s="155"/>
      <c r="F8" s="155"/>
      <c r="G8" s="155"/>
      <c r="H8" s="155"/>
      <c r="I8" s="155"/>
      <c r="J8" s="155"/>
      <c r="K8" s="155"/>
      <c r="L8" s="155"/>
      <c r="M8" s="1"/>
    </row>
    <row r="9" spans="1:13" s="2" customFormat="1" ht="15" customHeight="1">
      <c r="A9" s="155" t="s">
        <v>178</v>
      </c>
      <c r="B9" s="155"/>
      <c r="C9" s="155"/>
      <c r="D9" s="155"/>
      <c r="E9" s="155"/>
      <c r="F9" s="155"/>
      <c r="G9" s="155"/>
      <c r="H9" s="155"/>
      <c r="I9" s="155"/>
      <c r="J9" s="155"/>
      <c r="K9" s="52">
        <f>(Report!$E$39-Report!$E$40)*9.81*SIN(Report!$E$188*PI()/180)</f>
        <v>1.438686065587017</v>
      </c>
      <c r="L9" s="1" t="s">
        <v>3</v>
      </c>
      <c r="M9" s="1"/>
    </row>
    <row r="10" spans="1:13" s="2" customFormat="1" ht="15" customHeight="1">
      <c r="A10" s="155" t="s">
        <v>172</v>
      </c>
      <c r="B10" s="155"/>
      <c r="C10" s="155"/>
      <c r="D10" s="155"/>
      <c r="E10" s="155"/>
      <c r="F10" s="155"/>
      <c r="G10" s="155"/>
      <c r="H10" s="155"/>
      <c r="I10" s="155"/>
      <c r="J10" s="155"/>
      <c r="K10" s="52">
        <f>-Report!$E$32*Report!$E$193*(Report!$E$188*PI()/180)*TAN(Report!$E$188*PI()/180)/Report!$E$33</f>
        <v>-1.4553769954863367</v>
      </c>
      <c r="L10" s="1" t="s">
        <v>3</v>
      </c>
      <c r="M10" s="1"/>
    </row>
    <row r="11" spans="1:13" s="2" customFormat="1" ht="15" customHeight="1">
      <c r="A11" s="155" t="s">
        <v>175</v>
      </c>
      <c r="B11" s="158"/>
      <c r="C11" s="158"/>
      <c r="D11" s="158"/>
      <c r="E11" s="52">
        <f>K9+K10</f>
        <v>-0.01669092989931964</v>
      </c>
      <c r="F11" s="158" t="s">
        <v>176</v>
      </c>
      <c r="G11" s="158"/>
      <c r="H11" s="158"/>
      <c r="I11" s="158"/>
      <c r="J11" s="158"/>
      <c r="K11" s="158"/>
      <c r="L11" s="158"/>
      <c r="M11" s="1"/>
    </row>
    <row r="12" spans="1:13" s="2" customFormat="1" ht="15" customHeight="1">
      <c r="A12" s="155"/>
      <c r="B12" s="158"/>
      <c r="C12" s="158"/>
      <c r="D12" s="158"/>
      <c r="E12" s="158"/>
      <c r="F12" s="158"/>
      <c r="G12" s="158"/>
      <c r="H12" s="158"/>
      <c r="I12" s="158"/>
      <c r="J12" s="158"/>
      <c r="K12" s="158"/>
      <c r="L12" s="158"/>
      <c r="M12" s="1"/>
    </row>
    <row r="13" spans="1:13" s="2" customFormat="1" ht="15" customHeight="1">
      <c r="A13" s="155" t="s">
        <v>169</v>
      </c>
      <c r="B13" s="155"/>
      <c r="C13" s="155"/>
      <c r="D13" s="155"/>
      <c r="E13" s="155"/>
      <c r="F13" s="155"/>
      <c r="G13" s="155"/>
      <c r="H13" s="155"/>
      <c r="I13" s="155"/>
      <c r="J13" s="155"/>
      <c r="K13" s="155"/>
      <c r="L13" s="155"/>
      <c r="M13" s="1"/>
    </row>
    <row r="14" spans="1:12" s="2" customFormat="1" ht="15" customHeight="1">
      <c r="A14" s="157"/>
      <c r="B14" s="158"/>
      <c r="C14" s="158"/>
      <c r="D14" s="158"/>
      <c r="E14" s="158"/>
      <c r="F14" s="158"/>
      <c r="G14" s="158"/>
      <c r="H14" s="158"/>
      <c r="I14" s="158"/>
      <c r="J14" s="158"/>
      <c r="K14" s="158"/>
      <c r="L14" s="158"/>
    </row>
    <row r="15" spans="1:12" s="2" customFormat="1" ht="15" customHeight="1">
      <c r="A15" s="157"/>
      <c r="B15" s="158"/>
      <c r="C15" s="158"/>
      <c r="D15" s="158"/>
      <c r="E15" s="158"/>
      <c r="F15" s="158"/>
      <c r="G15" s="158"/>
      <c r="H15" s="158"/>
      <c r="I15" s="158"/>
      <c r="J15" s="158"/>
      <c r="K15" s="158"/>
      <c r="L15" s="158"/>
    </row>
    <row r="16" spans="1:12" s="2" customFormat="1" ht="15">
      <c r="A16" s="185" t="s">
        <v>171</v>
      </c>
      <c r="B16" s="155"/>
      <c r="C16" s="155"/>
      <c r="D16" s="155"/>
      <c r="E16" s="155"/>
      <c r="F16" s="155"/>
      <c r="G16" s="155"/>
      <c r="H16" s="155"/>
      <c r="I16" s="155"/>
      <c r="J16" s="155"/>
      <c r="K16" s="155"/>
      <c r="L16" s="155"/>
    </row>
    <row r="17" spans="1:12" s="2" customFormat="1" ht="15" customHeight="1">
      <c r="A17" s="157"/>
      <c r="B17" s="158"/>
      <c r="C17" s="158"/>
      <c r="D17" s="158"/>
      <c r="E17" s="158"/>
      <c r="F17" s="158"/>
      <c r="G17" s="158"/>
      <c r="H17" s="158"/>
      <c r="I17" s="158"/>
      <c r="J17" s="158"/>
      <c r="K17" s="158"/>
      <c r="L17" s="158"/>
    </row>
    <row r="18" spans="1:12" s="2" customFormat="1" ht="15">
      <c r="A18" s="155" t="s">
        <v>203</v>
      </c>
      <c r="B18" s="158"/>
      <c r="C18" s="158"/>
      <c r="D18" s="158"/>
      <c r="E18" s="158"/>
      <c r="F18" s="158"/>
      <c r="G18" s="158"/>
      <c r="H18" s="158"/>
      <c r="I18" s="158"/>
      <c r="J18" s="158"/>
      <c r="K18" s="158"/>
      <c r="L18" s="158"/>
    </row>
    <row r="19" spans="1:11" s="2" customFormat="1" ht="15.75" customHeight="1">
      <c r="A19" s="155" t="s">
        <v>179</v>
      </c>
      <c r="B19" s="158"/>
      <c r="C19" s="158"/>
      <c r="D19" s="158"/>
      <c r="E19" s="158"/>
      <c r="F19" s="158"/>
      <c r="G19" s="158"/>
      <c r="H19" s="158"/>
      <c r="I19" s="52">
        <f>K10</f>
        <v>-1.4553769954863367</v>
      </c>
      <c r="J19" s="82" t="s">
        <v>3</v>
      </c>
      <c r="K19" s="82"/>
    </row>
    <row r="20" spans="1:12" s="2" customFormat="1" ht="15" customHeight="1">
      <c r="A20" s="158" t="s">
        <v>202</v>
      </c>
      <c r="B20" s="158"/>
      <c r="C20" s="158"/>
      <c r="D20" s="158"/>
      <c r="E20" s="158"/>
      <c r="F20" s="158"/>
      <c r="G20" s="158"/>
      <c r="H20" s="158"/>
      <c r="I20" s="158"/>
      <c r="J20" s="158"/>
      <c r="K20" s="82"/>
      <c r="L20" s="82"/>
    </row>
    <row r="21" spans="1:12" s="2" customFormat="1" ht="15" customHeight="1">
      <c r="A21" s="158" t="s">
        <v>180</v>
      </c>
      <c r="B21" s="158"/>
      <c r="C21" s="158"/>
      <c r="D21" s="158"/>
      <c r="E21" s="158"/>
      <c r="F21" s="158"/>
      <c r="G21" s="158"/>
      <c r="H21" s="158"/>
      <c r="I21" s="158"/>
      <c r="J21" s="158"/>
      <c r="K21" s="158"/>
      <c r="L21" s="158"/>
    </row>
    <row r="22" spans="1:12" s="2" customFormat="1" ht="15.75">
      <c r="A22" s="155" t="s">
        <v>201</v>
      </c>
      <c r="B22" s="158"/>
      <c r="C22" s="158"/>
      <c r="D22" s="158"/>
      <c r="E22" s="158"/>
      <c r="F22" s="158"/>
      <c r="G22" s="158"/>
      <c r="H22" s="158"/>
      <c r="I22" s="52">
        <f>-Report!$E$63</f>
        <v>-1.8721461187214612</v>
      </c>
      <c r="J22" s="2" t="s">
        <v>190</v>
      </c>
      <c r="K22" s="52">
        <f>Report!$E$63</f>
        <v>1.8721461187214612</v>
      </c>
      <c r="L22" s="82" t="s">
        <v>3</v>
      </c>
    </row>
    <row r="23" spans="1:12" s="2" customFormat="1" ht="15">
      <c r="A23" s="155" t="s">
        <v>181</v>
      </c>
      <c r="B23" s="158"/>
      <c r="C23" s="158"/>
      <c r="D23" s="158"/>
      <c r="E23" s="158"/>
      <c r="F23" s="158"/>
      <c r="G23" s="158"/>
      <c r="H23" s="158"/>
      <c r="I23" s="158"/>
      <c r="J23" s="158"/>
      <c r="K23" s="158"/>
      <c r="L23" s="158"/>
    </row>
    <row r="24" spans="1:12" s="2" customFormat="1" ht="15">
      <c r="A24" s="1"/>
      <c r="B24" s="82"/>
      <c r="C24" s="82"/>
      <c r="D24" s="82"/>
      <c r="E24" s="82"/>
      <c r="F24" s="82"/>
      <c r="G24" s="82"/>
      <c r="H24" s="82"/>
      <c r="I24" s="82"/>
      <c r="J24" s="82"/>
      <c r="K24" s="82"/>
      <c r="L24" s="82"/>
    </row>
    <row r="25" spans="1:9" s="2" customFormat="1" ht="75">
      <c r="A25" s="8" t="s">
        <v>182</v>
      </c>
      <c r="B25" s="8" t="s">
        <v>63</v>
      </c>
      <c r="C25" s="8" t="s">
        <v>183</v>
      </c>
      <c r="D25" s="8" t="s">
        <v>184</v>
      </c>
      <c r="E25" s="8" t="s">
        <v>185</v>
      </c>
      <c r="F25" s="8" t="s">
        <v>186</v>
      </c>
      <c r="G25" s="8" t="s">
        <v>187</v>
      </c>
      <c r="H25" s="8" t="s">
        <v>188</v>
      </c>
      <c r="I25" s="82"/>
    </row>
    <row r="26" spans="1:8" s="89" customFormat="1" ht="15">
      <c r="A26" s="90">
        <v>7.7</v>
      </c>
      <c r="B26" s="90">
        <f>Report!$E$188</f>
        <v>11.5</v>
      </c>
      <c r="C26" s="90">
        <f>Report!$E$39-Report!$E$40</f>
        <v>0.7355999999999999</v>
      </c>
      <c r="D26" s="90">
        <f>Report!$E$40</f>
        <v>0.6766</v>
      </c>
      <c r="E26" s="90">
        <f>$I$19</f>
        <v>-1.4553769954863367</v>
      </c>
      <c r="F26" s="90">
        <f>Report!$E$40*9.81*SIN(-A26*PI()/180)</f>
        <v>-0.889326070459901</v>
      </c>
      <c r="G26" s="90">
        <f>+(Report!$E$39-Report!$E$40)*9.81*SIN((Report!$E$188-A26)*PI()/180)</f>
        <v>0.4782481059268954</v>
      </c>
      <c r="H26" s="90">
        <f>E26+F26+G26</f>
        <v>-1.8664549600193423</v>
      </c>
    </row>
    <row r="27" spans="1:8" s="89" customFormat="1" ht="15">
      <c r="A27" s="90">
        <v>-7.95</v>
      </c>
      <c r="B27" s="90">
        <f>Report!$E$188</f>
        <v>11.5</v>
      </c>
      <c r="C27" s="90">
        <f>Report!$E$39-Report!$E$40</f>
        <v>0.7355999999999999</v>
      </c>
      <c r="D27" s="90">
        <f>Report!$E$40</f>
        <v>0.6766</v>
      </c>
      <c r="E27" s="90">
        <f>$I$19</f>
        <v>-1.4553769954863367</v>
      </c>
      <c r="F27" s="90">
        <f>Report!$E$40*9.81*SIN(-A27*PI()/180)</f>
        <v>0.9180176968507342</v>
      </c>
      <c r="G27" s="90">
        <f>+(Report!$E$39-Report!$E$40)*9.81*SIN((Report!$E$188-A27)*PI()/180)</f>
        <v>2.402892011128196</v>
      </c>
      <c r="H27" s="90">
        <f>E27+F27+G27</f>
        <v>1.8655327124925938</v>
      </c>
    </row>
    <row r="28" spans="1:12" s="2" customFormat="1" ht="15">
      <c r="A28" s="155"/>
      <c r="B28" s="158"/>
      <c r="C28" s="158"/>
      <c r="D28" s="158"/>
      <c r="E28" s="158"/>
      <c r="F28" s="158"/>
      <c r="G28" s="158"/>
      <c r="H28" s="158"/>
      <c r="I28" s="158"/>
      <c r="J28" s="158"/>
      <c r="K28" s="158"/>
      <c r="L28" s="158"/>
    </row>
    <row r="29" spans="1:12" s="2" customFormat="1" ht="15">
      <c r="A29" s="155"/>
      <c r="B29" s="158"/>
      <c r="C29" s="158"/>
      <c r="D29" s="158"/>
      <c r="E29" s="158"/>
      <c r="F29" s="158"/>
      <c r="G29" s="158"/>
      <c r="H29" s="158"/>
      <c r="I29" s="158"/>
      <c r="J29" s="158"/>
      <c r="K29" s="158"/>
      <c r="L29" s="158"/>
    </row>
    <row r="30" spans="1:13" s="2" customFormat="1" ht="15.75">
      <c r="A30" s="155" t="s">
        <v>189</v>
      </c>
      <c r="B30" s="158"/>
      <c r="C30" s="158"/>
      <c r="D30" s="167"/>
      <c r="E30" s="52">
        <f>A27</f>
        <v>-7.95</v>
      </c>
      <c r="F30" s="2" t="s">
        <v>190</v>
      </c>
      <c r="G30" s="52">
        <f>A26</f>
        <v>7.7</v>
      </c>
      <c r="H30" s="158" t="s">
        <v>191</v>
      </c>
      <c r="I30" s="158"/>
      <c r="J30" s="158"/>
      <c r="K30" s="158"/>
      <c r="L30" s="158"/>
      <c r="M30" s="158"/>
    </row>
    <row r="34" spans="1:9" s="2" customFormat="1" ht="75">
      <c r="A34" s="8" t="s">
        <v>182</v>
      </c>
      <c r="B34" s="8" t="s">
        <v>63</v>
      </c>
      <c r="C34" s="8" t="s">
        <v>183</v>
      </c>
      <c r="D34" s="8" t="s">
        <v>184</v>
      </c>
      <c r="E34" s="8" t="s">
        <v>185</v>
      </c>
      <c r="F34" s="8" t="s">
        <v>186</v>
      </c>
      <c r="G34" s="8" t="s">
        <v>187</v>
      </c>
      <c r="H34" s="8" t="s">
        <v>188</v>
      </c>
      <c r="I34" s="82"/>
    </row>
    <row r="35" spans="1:9" s="2" customFormat="1" ht="15">
      <c r="A35" s="90">
        <v>10</v>
      </c>
      <c r="B35" s="90">
        <f>Report!$E$188</f>
        <v>11.5</v>
      </c>
      <c r="C35" s="90">
        <f>Report!$E$39-Report!$E$40</f>
        <v>0.7355999999999999</v>
      </c>
      <c r="D35" s="90">
        <f>Report!$E$40</f>
        <v>0.6766</v>
      </c>
      <c r="E35" s="90">
        <f>$I$19</f>
        <v>-1.4553769954863367</v>
      </c>
      <c r="F35" s="90">
        <f>Report!$E$40*9.81*SIN(-A35*PI()/180)</f>
        <v>-1.152580402262656</v>
      </c>
      <c r="G35" s="90">
        <f>+(Report!$E$39-Report!$E$40)*9.81*SIN((Report!$E$188-A35)*PI()/180)</f>
        <v>0.18889903674941327</v>
      </c>
      <c r="H35" s="90">
        <f aca="true" t="shared" si="0" ref="H35:H44">E35+F35+G35</f>
        <v>-2.4190583609995793</v>
      </c>
      <c r="I35" s="82"/>
    </row>
    <row r="36" spans="1:9" s="2" customFormat="1" ht="15">
      <c r="A36" s="90">
        <v>9</v>
      </c>
      <c r="B36" s="90">
        <f>Report!$E$188</f>
        <v>11.5</v>
      </c>
      <c r="C36" s="90">
        <f>Report!$E$39-Report!$E$40</f>
        <v>0.7355999999999999</v>
      </c>
      <c r="D36" s="90">
        <f>Report!$E$40</f>
        <v>0.6766</v>
      </c>
      <c r="E36" s="90">
        <f aca="true" t="shared" si="1" ref="E36:E55">$I$19</f>
        <v>-1.4553769954863367</v>
      </c>
      <c r="F36" s="90">
        <f>Report!$E$40*9.81*SIN(-A36*PI()/180)</f>
        <v>-1.0383253142434201</v>
      </c>
      <c r="G36" s="90">
        <f>+(Report!$E$39-Report!$E$40)*9.81*SIN((Report!$E$188-A36)*PI()/180)</f>
        <v>0.31476779340368277</v>
      </c>
      <c r="H36" s="90">
        <f t="shared" si="0"/>
        <v>-2.1789345163260743</v>
      </c>
      <c r="I36" s="82"/>
    </row>
    <row r="37" spans="1:9" s="2" customFormat="1" ht="15">
      <c r="A37" s="90">
        <v>8</v>
      </c>
      <c r="B37" s="90">
        <f>Report!$E$188</f>
        <v>11.5</v>
      </c>
      <c r="C37" s="90">
        <f>Report!$E$39-Report!$E$40</f>
        <v>0.7355999999999999</v>
      </c>
      <c r="D37" s="90">
        <f>Report!$E$40</f>
        <v>0.6766</v>
      </c>
      <c r="E37" s="90">
        <f t="shared" si="1"/>
        <v>-1.4553769954863367</v>
      </c>
      <c r="F37" s="90">
        <f>Report!$E$40*9.81*SIN(-A37*PI()/180)</f>
        <v>-0.9237539422749824</v>
      </c>
      <c r="G37" s="90">
        <f>+(Report!$E$39-Report!$E$40)*9.81*SIN((Report!$E$188-A37)*PI()/180)</f>
        <v>0.4405406687388574</v>
      </c>
      <c r="H37" s="90">
        <f t="shared" si="0"/>
        <v>-1.938590269022462</v>
      </c>
      <c r="I37" s="82"/>
    </row>
    <row r="38" spans="1:9" s="2" customFormat="1" ht="15">
      <c r="A38" s="90">
        <v>7</v>
      </c>
      <c r="B38" s="90">
        <f>Report!$E$188</f>
        <v>11.5</v>
      </c>
      <c r="C38" s="90">
        <f>Report!$E$39-Report!$E$40</f>
        <v>0.7355999999999999</v>
      </c>
      <c r="D38" s="90">
        <f>Report!$E$40</f>
        <v>0.6766</v>
      </c>
      <c r="E38" s="90">
        <f t="shared" si="1"/>
        <v>-1.4553769954863367</v>
      </c>
      <c r="F38" s="90">
        <f>Report!$E$40*9.81*SIN(-A38*PI()/180)</f>
        <v>-0.8089011859071225</v>
      </c>
      <c r="G38" s="90">
        <f>+(Report!$E$39-Report!$E$40)*9.81*SIN((Report!$E$188-A38)*PI()/180)</f>
        <v>0.5661793511187209</v>
      </c>
      <c r="H38" s="90">
        <f t="shared" si="0"/>
        <v>-1.6980988302747386</v>
      </c>
      <c r="I38" s="82"/>
    </row>
    <row r="39" spans="1:9" s="2" customFormat="1" ht="15">
      <c r="A39" s="90">
        <v>6</v>
      </c>
      <c r="B39" s="90">
        <f>Report!$E$188</f>
        <v>11.5</v>
      </c>
      <c r="C39" s="90">
        <f>Report!$E$39-Report!$E$40</f>
        <v>0.7355999999999999</v>
      </c>
      <c r="D39" s="90">
        <f>Report!$E$40</f>
        <v>0.6766</v>
      </c>
      <c r="E39" s="90">
        <f t="shared" si="1"/>
        <v>-1.4553769954863367</v>
      </c>
      <c r="F39" s="90">
        <f>Report!$E$40*9.81*SIN(-A39*PI()/180)</f>
        <v>-0.6938020304020334</v>
      </c>
      <c r="G39" s="90">
        <f>+(Report!$E$39-Report!$E$40)*9.81*SIN((Report!$E$188-A39)*PI()/180)</f>
        <v>0.691645569783531</v>
      </c>
      <c r="H39" s="90">
        <f t="shared" si="0"/>
        <v>-1.457533456104839</v>
      </c>
      <c r="I39" s="82"/>
    </row>
    <row r="40" spans="1:9" s="2" customFormat="1" ht="15">
      <c r="A40" s="90">
        <v>5</v>
      </c>
      <c r="B40" s="90">
        <f>Report!$E$188</f>
        <v>11.5</v>
      </c>
      <c r="C40" s="90">
        <f>Report!$E$39-Report!$E$40</f>
        <v>0.7355999999999999</v>
      </c>
      <c r="D40" s="90">
        <f>Report!$E$40</f>
        <v>0.6766</v>
      </c>
      <c r="E40" s="90">
        <f t="shared" si="1"/>
        <v>-1.4553769954863367</v>
      </c>
      <c r="F40" s="90">
        <f>Report!$E$40*9.81*SIN(-A40*PI()/180)</f>
        <v>-0.5784915360774727</v>
      </c>
      <c r="G40" s="90">
        <f>+(Report!$E$39-Report!$E$40)*9.81*SIN((Report!$E$188-A40)*PI()/180)</f>
        <v>0.816901106507664</v>
      </c>
      <c r="H40" s="90">
        <f t="shared" si="0"/>
        <v>-1.2169674250561453</v>
      </c>
      <c r="I40" s="82"/>
    </row>
    <row r="41" spans="1:9" s="2" customFormat="1" ht="15">
      <c r="A41" s="90">
        <v>4</v>
      </c>
      <c r="B41" s="90">
        <f>Report!$E$188</f>
        <v>11.5</v>
      </c>
      <c r="C41" s="90">
        <f>Report!$E$39-Report!$E$40</f>
        <v>0.7355999999999999</v>
      </c>
      <c r="D41" s="90">
        <f>Report!$E$40</f>
        <v>0.6766</v>
      </c>
      <c r="E41" s="90">
        <f t="shared" si="1"/>
        <v>-1.4553769954863367</v>
      </c>
      <c r="F41" s="90">
        <f>Report!$E$40*9.81*SIN(-A41*PI()/180)</f>
        <v>-0.4630048276270495</v>
      </c>
      <c r="G41" s="90">
        <f>+(Report!$E$39-Report!$E$40)*9.81*SIN((Report!$E$188-A41)*PI()/180)</f>
        <v>0.941907807241256</v>
      </c>
      <c r="H41" s="90">
        <f t="shared" si="0"/>
        <v>-0.9764740158721302</v>
      </c>
      <c r="I41" s="82"/>
    </row>
    <row r="42" spans="1:9" s="2" customFormat="1" ht="15">
      <c r="A42" s="90">
        <v>3</v>
      </c>
      <c r="B42" s="90">
        <f>Report!$E$188</f>
        <v>11.5</v>
      </c>
      <c r="C42" s="90">
        <f>Report!$E$39-Report!$E$40</f>
        <v>0.7355999999999999</v>
      </c>
      <c r="D42" s="90">
        <f>Report!$E$40</f>
        <v>0.6766</v>
      </c>
      <c r="E42" s="90">
        <f t="shared" si="1"/>
        <v>-1.4553769954863367</v>
      </c>
      <c r="F42" s="90">
        <f>Report!$E$40*9.81*SIN(-A42*PI()/180)</f>
        <v>-0.3473770834209025</v>
      </c>
      <c r="G42" s="90">
        <f>+(Report!$E$39-Report!$E$40)*9.81*SIN((Report!$E$188-A42)*PI()/180)</f>
        <v>1.0666275937322969</v>
      </c>
      <c r="H42" s="90">
        <f t="shared" si="0"/>
        <v>-0.7361264851749423</v>
      </c>
      <c r="I42" s="82"/>
    </row>
    <row r="43" spans="1:8" s="89" customFormat="1" ht="15">
      <c r="A43" s="90">
        <v>2</v>
      </c>
      <c r="B43" s="90">
        <f>Report!$E$188</f>
        <v>11.5</v>
      </c>
      <c r="C43" s="90">
        <f>Report!$E$39-Report!$E$40</f>
        <v>0.7355999999999999</v>
      </c>
      <c r="D43" s="90">
        <f>Report!$E$40</f>
        <v>0.6766</v>
      </c>
      <c r="E43" s="90">
        <f t="shared" si="1"/>
        <v>-1.4553769954863367</v>
      </c>
      <c r="F43" s="90">
        <f>Report!$E$40*9.81*SIN(-A43*PI()/180)</f>
        <v>-0.23164352479002823</v>
      </c>
      <c r="G43" s="90">
        <f>+(Report!$E$39-Report!$E$40)*9.81*SIN((Report!$E$188-A43)*PI()/180)</f>
        <v>1.1910224751256329</v>
      </c>
      <c r="H43" s="90">
        <f t="shared" si="0"/>
        <v>-0.495998045150732</v>
      </c>
    </row>
    <row r="44" spans="1:9" s="2" customFormat="1" ht="15">
      <c r="A44" s="90">
        <v>1</v>
      </c>
      <c r="B44" s="90">
        <f>Report!$E$188</f>
        <v>11.5</v>
      </c>
      <c r="C44" s="90">
        <f>Report!$E$39-Report!$E$40</f>
        <v>0.7355999999999999</v>
      </c>
      <c r="D44" s="90">
        <f>Report!$E$40</f>
        <v>0.6766</v>
      </c>
      <c r="E44" s="90">
        <f t="shared" si="1"/>
        <v>-1.4553769954863367</v>
      </c>
      <c r="F44" s="90">
        <f>Report!$E$40*9.81*SIN(-A44*PI()/180)</f>
        <v>-0.1158394052975217</v>
      </c>
      <c r="G44" s="90">
        <f>+(Report!$E$39-Report!$E$40)*9.81*SIN((Report!$E$188-A44)*PI()/180)</f>
        <v>1.3150545595353522</v>
      </c>
      <c r="H44" s="90">
        <f t="shared" si="0"/>
        <v>-0.2561618412485063</v>
      </c>
      <c r="I44" s="82"/>
    </row>
    <row r="45" spans="1:9" s="2" customFormat="1" ht="15">
      <c r="A45" s="90">
        <v>0</v>
      </c>
      <c r="B45" s="90">
        <f>Report!$E$188</f>
        <v>11.5</v>
      </c>
      <c r="C45" s="90">
        <f>Report!$E$39-Report!$E$40</f>
        <v>0.7355999999999999</v>
      </c>
      <c r="D45" s="90">
        <f>Report!$E$40</f>
        <v>0.6766</v>
      </c>
      <c r="E45" s="90">
        <f t="shared" si="1"/>
        <v>-1.4553769954863367</v>
      </c>
      <c r="F45" s="90">
        <f>Report!$E$40*9.81*SIN(-A45*PI()/180)</f>
        <v>0</v>
      </c>
      <c r="G45" s="90">
        <f>+(Report!$E$39-Report!$E$40)*9.81*SIN((Report!$E$188-A45)*PI()/180)</f>
        <v>1.438686065587017</v>
      </c>
      <c r="H45" s="90">
        <f aca="true" t="shared" si="2" ref="H45:H55">(E45+F45+G45)</f>
        <v>-0.01669092989931964</v>
      </c>
      <c r="I45" s="82"/>
    </row>
    <row r="46" spans="1:9" s="2" customFormat="1" ht="15">
      <c r="A46" s="90">
        <v>-1</v>
      </c>
      <c r="B46" s="90">
        <f>Report!$E$188</f>
        <v>11.5</v>
      </c>
      <c r="C46" s="90">
        <f>Report!$E$39-Report!$E$40</f>
        <v>0.7355999999999999</v>
      </c>
      <c r="D46" s="90">
        <f>Report!$E$40</f>
        <v>0.6766</v>
      </c>
      <c r="E46" s="90">
        <f t="shared" si="1"/>
        <v>-1.4553769954863367</v>
      </c>
      <c r="F46" s="90">
        <f>Report!$E$40*9.81*SIN(-A46*PI()/180)</f>
        <v>0.1158394052975217</v>
      </c>
      <c r="G46" s="90">
        <f>+(Report!$E$39-Report!$E$40)*9.81*SIN((Report!$E$188-A46)*PI()/180)</f>
        <v>1.5618793339262396</v>
      </c>
      <c r="H46" s="90">
        <f t="shared" si="2"/>
        <v>0.22234174373742466</v>
      </c>
      <c r="I46" s="82"/>
    </row>
    <row r="47" spans="1:9" s="2" customFormat="1" ht="15">
      <c r="A47" s="90">
        <v>-2</v>
      </c>
      <c r="B47" s="90">
        <f>Report!$E$188</f>
        <v>11.5</v>
      </c>
      <c r="C47" s="90">
        <f>Report!$E$39-Report!$E$40</f>
        <v>0.7355999999999999</v>
      </c>
      <c r="D47" s="90">
        <f>Report!$E$40</f>
        <v>0.6766</v>
      </c>
      <c r="E47" s="90">
        <f t="shared" si="1"/>
        <v>-1.4553769954863367</v>
      </c>
      <c r="F47" s="90">
        <f>Report!$E$40*9.81*SIN(-A47*PI()/180)</f>
        <v>0.23164352479002823</v>
      </c>
      <c r="G47" s="90">
        <f>+(Report!$E$39-Report!$E$40)*9.81*SIN((Report!$E$188-A47)*PI()/180)</f>
        <v>1.6845968386900831</v>
      </c>
      <c r="H47" s="90">
        <f t="shared" si="2"/>
        <v>0.4608633679937746</v>
      </c>
      <c r="I47" s="82"/>
    </row>
    <row r="48" spans="1:9" s="2" customFormat="1" ht="15">
      <c r="A48" s="90">
        <v>-3</v>
      </c>
      <c r="B48" s="90">
        <f>Report!$E$188</f>
        <v>11.5</v>
      </c>
      <c r="C48" s="90">
        <f>Report!$E$39-Report!$E$40</f>
        <v>0.7355999999999999</v>
      </c>
      <c r="D48" s="90">
        <f>Report!$E$40</f>
        <v>0.6766</v>
      </c>
      <c r="E48" s="90">
        <f t="shared" si="1"/>
        <v>-1.4553769954863367</v>
      </c>
      <c r="F48" s="90">
        <f>Report!$E$40*9.81*SIN(-A48*PI()/180)</f>
        <v>0.3473770834209025</v>
      </c>
      <c r="G48" s="90">
        <f>+(Report!$E$39-Report!$E$40)*9.81*SIN((Report!$E$188-A48)*PI()/180)</f>
        <v>1.806801198937806</v>
      </c>
      <c r="H48" s="90">
        <f t="shared" si="2"/>
        <v>0.6988012868723719</v>
      </c>
      <c r="I48" s="82"/>
    </row>
    <row r="49" spans="1:9" s="2" customFormat="1" ht="15">
      <c r="A49" s="90">
        <v>-4</v>
      </c>
      <c r="B49" s="90">
        <f>Report!$E$188</f>
        <v>11.5</v>
      </c>
      <c r="C49" s="90">
        <f>Report!$E$39-Report!$E$40</f>
        <v>0.7355999999999999</v>
      </c>
      <c r="D49" s="90">
        <f>Report!$E$40</f>
        <v>0.6766</v>
      </c>
      <c r="E49" s="90">
        <f t="shared" si="1"/>
        <v>-1.4553769954863367</v>
      </c>
      <c r="F49" s="90">
        <f>Report!$E$40*9.81*SIN(-A49*PI()/180)</f>
        <v>0.4630048276270495</v>
      </c>
      <c r="G49" s="90">
        <f>+(Report!$E$39-Report!$E$40)*9.81*SIN((Report!$E$188-A49)*PI()/180)</f>
        <v>1.9284551900374558</v>
      </c>
      <c r="H49" s="90">
        <f t="shared" si="2"/>
        <v>0.9360830221781686</v>
      </c>
      <c r="I49" s="82"/>
    </row>
    <row r="50" spans="1:9" s="2" customFormat="1" ht="15">
      <c r="A50" s="90">
        <v>-5</v>
      </c>
      <c r="B50" s="90">
        <f>Report!$E$188</f>
        <v>11.5</v>
      </c>
      <c r="C50" s="90">
        <f>Report!$E$39-Report!$E$40</f>
        <v>0.7355999999999999</v>
      </c>
      <c r="D50" s="90">
        <f>Report!$E$40</f>
        <v>0.6766</v>
      </c>
      <c r="E50" s="90">
        <f t="shared" si="1"/>
        <v>-1.4553769954863367</v>
      </c>
      <c r="F50" s="90">
        <f>Report!$E$40*9.81*SIN(-A50*PI()/180)</f>
        <v>0.5784915360774727</v>
      </c>
      <c r="G50" s="90">
        <f>+(Report!$E$39-Report!$E$40)*9.81*SIN((Report!$E$188-A50)*PI()/180)</f>
        <v>2.049521755004856</v>
      </c>
      <c r="H50" s="90">
        <f t="shared" si="2"/>
        <v>1.172636295595992</v>
      </c>
      <c r="I50" s="82"/>
    </row>
    <row r="51" spans="1:9" s="2" customFormat="1" ht="15">
      <c r="A51" s="90">
        <v>-6</v>
      </c>
      <c r="B51" s="90">
        <f>Report!$E$188</f>
        <v>11.5</v>
      </c>
      <c r="C51" s="90">
        <f>Report!$E$39-Report!$E$40</f>
        <v>0.7355999999999999</v>
      </c>
      <c r="D51" s="90">
        <f>Report!$E$40</f>
        <v>0.6766</v>
      </c>
      <c r="E51" s="90">
        <f t="shared" si="1"/>
        <v>-1.4553769954863367</v>
      </c>
      <c r="F51" s="90">
        <f>Report!$E$40*9.81*SIN(-A51*PI()/180)</f>
        <v>0.6938020304020334</v>
      </c>
      <c r="G51" s="90">
        <f>+(Report!$E$39-Report!$E$40)*9.81*SIN((Report!$E$188-A51)*PI()/180)</f>
        <v>2.1699640157915177</v>
      </c>
      <c r="H51" s="90">
        <f t="shared" si="2"/>
        <v>1.4083890507072143</v>
      </c>
      <c r="I51" s="82"/>
    </row>
    <row r="52" spans="1:9" s="2" customFormat="1" ht="15">
      <c r="A52" s="90">
        <v>-7</v>
      </c>
      <c r="B52" s="90">
        <f>Report!$E$188</f>
        <v>11.5</v>
      </c>
      <c r="C52" s="90">
        <f>Report!$E$39-Report!$E$40</f>
        <v>0.7355999999999999</v>
      </c>
      <c r="D52" s="90">
        <f>Report!$E$40</f>
        <v>0.6766</v>
      </c>
      <c r="E52" s="90">
        <f t="shared" si="1"/>
        <v>-1.4553769954863367</v>
      </c>
      <c r="F52" s="90">
        <f>Report!$E$40*9.81*SIN(-A52*PI()/180)</f>
        <v>0.8089011859071225</v>
      </c>
      <c r="G52" s="90">
        <f>+(Report!$E$39-Report!$E$40)*9.81*SIN((Report!$E$188-A52)*PI()/180)</f>
        <v>2.289745284518056</v>
      </c>
      <c r="H52" s="90">
        <f t="shared" si="2"/>
        <v>1.643269474938842</v>
      </c>
      <c r="I52" s="82"/>
    </row>
    <row r="53" spans="1:9" s="2" customFormat="1" ht="15">
      <c r="A53" s="90">
        <v>-8</v>
      </c>
      <c r="B53" s="90">
        <f>Report!$E$188</f>
        <v>11.5</v>
      </c>
      <c r="C53" s="90">
        <f>Report!$E$39-Report!$E$40</f>
        <v>0.7355999999999999</v>
      </c>
      <c r="D53" s="90">
        <f>Report!$E$40</f>
        <v>0.6766</v>
      </c>
      <c r="E53" s="90">
        <f t="shared" si="1"/>
        <v>-1.4553769954863367</v>
      </c>
      <c r="F53" s="90">
        <f>Report!$E$40*9.81*SIN(-A53*PI()/180)</f>
        <v>0.9237539422749824</v>
      </c>
      <c r="G53" s="90">
        <f>+(Report!$E$39-Report!$E$40)*9.81*SIN((Report!$E$188-A53)*PI()/180)</f>
        <v>2.40882907464967</v>
      </c>
      <c r="H53" s="90">
        <f t="shared" si="2"/>
        <v>1.8772060214383157</v>
      </c>
      <c r="I53" s="82"/>
    </row>
    <row r="54" spans="1:8" s="89" customFormat="1" ht="15">
      <c r="A54" s="90">
        <v>-9</v>
      </c>
      <c r="B54" s="90">
        <f>Report!$E$188</f>
        <v>11.5</v>
      </c>
      <c r="C54" s="90">
        <f>Report!$E$39-Report!$E$40</f>
        <v>0.7355999999999999</v>
      </c>
      <c r="D54" s="90">
        <f>Report!$E$40</f>
        <v>0.6766</v>
      </c>
      <c r="E54" s="90">
        <f t="shared" si="1"/>
        <v>-1.4553769954863367</v>
      </c>
      <c r="F54" s="90">
        <f>Report!$E$40*9.81*SIN(-A54*PI()/180)</f>
        <v>1.0383253142434201</v>
      </c>
      <c r="G54" s="90">
        <f>+(Report!$E$39-Report!$E$40)*9.81*SIN((Report!$E$188-A54)*PI()/180)</f>
        <v>2.527179112110294</v>
      </c>
      <c r="H54" s="90">
        <f t="shared" si="2"/>
        <v>2.110127430867377</v>
      </c>
    </row>
    <row r="55" spans="1:9" s="2" customFormat="1" ht="15">
      <c r="A55" s="90">
        <v>-10</v>
      </c>
      <c r="B55" s="90">
        <f>Report!$E$188</f>
        <v>11.5</v>
      </c>
      <c r="C55" s="90">
        <f>Report!$E$39-Report!$E$40</f>
        <v>0.7355999999999999</v>
      </c>
      <c r="D55" s="90">
        <f>Report!$E$40</f>
        <v>0.6766</v>
      </c>
      <c r="E55" s="90">
        <f t="shared" si="1"/>
        <v>-1.4553769954863367</v>
      </c>
      <c r="F55" s="90">
        <f>Report!$E$40*9.81*SIN(-A55*PI()/180)</f>
        <v>1.152580402262656</v>
      </c>
      <c r="G55" s="90">
        <f>+(Report!$E$39-Report!$E$40)*9.81*SIN((Report!$E$188-A55)*PI()/180)</f>
        <v>2.6447593463320356</v>
      </c>
      <c r="H55" s="90">
        <f t="shared" si="2"/>
        <v>2.341962753108355</v>
      </c>
      <c r="I55" s="82"/>
    </row>
  </sheetData>
  <mergeCells count="28">
    <mergeCell ref="A28:L28"/>
    <mergeCell ref="A29:L29"/>
    <mergeCell ref="H30:M30"/>
    <mergeCell ref="A30:D30"/>
    <mergeCell ref="A23:L23"/>
    <mergeCell ref="A20:J20"/>
    <mergeCell ref="A21:L21"/>
    <mergeCell ref="A22:H22"/>
    <mergeCell ref="A16:L16"/>
    <mergeCell ref="A17:L17"/>
    <mergeCell ref="A18:L18"/>
    <mergeCell ref="A19:H19"/>
    <mergeCell ref="A12:L12"/>
    <mergeCell ref="A13:L13"/>
    <mergeCell ref="A14:L14"/>
    <mergeCell ref="A15:L15"/>
    <mergeCell ref="A9:J9"/>
    <mergeCell ref="A10:J10"/>
    <mergeCell ref="A11:D11"/>
    <mergeCell ref="F11:L11"/>
    <mergeCell ref="A5:L5"/>
    <mergeCell ref="A6:L6"/>
    <mergeCell ref="A7:L7"/>
    <mergeCell ref="A8:L8"/>
    <mergeCell ref="A1:L1"/>
    <mergeCell ref="A2:L2"/>
    <mergeCell ref="A3:L3"/>
    <mergeCell ref="A4:L4"/>
  </mergeCells>
  <printOptions horizontalCentered="1"/>
  <pageMargins left="0.7874015748031497" right="0.7874015748031497" top="0.984251968503937" bottom="0.984251968503937" header="0.5118110236220472" footer="0.5118110236220472"/>
  <pageSetup orientation="landscape" paperSize="9" scale="67" r:id="rId2"/>
  <rowBreaks count="2" manualBreakCount="2">
    <brk id="31" max="255" man="1"/>
    <brk id="56" max="255" man="1"/>
  </rowBreaks>
  <drawing r:id="rId1"/>
</worksheet>
</file>

<file path=xl/worksheets/sheet3.xml><?xml version="1.0" encoding="utf-8"?>
<worksheet xmlns="http://schemas.openxmlformats.org/spreadsheetml/2006/main" xmlns:r="http://schemas.openxmlformats.org/officeDocument/2006/relationships">
  <dimension ref="A1:N31"/>
  <sheetViews>
    <sheetView workbookViewId="0" topLeftCell="A9">
      <selection activeCell="D15" sqref="D15:M19"/>
    </sheetView>
  </sheetViews>
  <sheetFormatPr defaultColWidth="11.421875" defaultRowHeight="12.75"/>
  <sheetData>
    <row r="1" spans="1:12" s="2" customFormat="1" ht="20.25">
      <c r="A1" s="189" t="s">
        <v>132</v>
      </c>
      <c r="B1" s="189"/>
      <c r="C1" s="189"/>
      <c r="D1" s="189"/>
      <c r="E1" s="189"/>
      <c r="F1" s="189"/>
      <c r="G1" s="189"/>
      <c r="H1" s="189"/>
      <c r="I1" s="189"/>
      <c r="J1" s="189"/>
      <c r="K1" s="189"/>
      <c r="L1" s="189"/>
    </row>
    <row r="2" spans="1:12" s="2" customFormat="1" ht="15">
      <c r="A2" s="157"/>
      <c r="B2" s="157"/>
      <c r="C2" s="157"/>
      <c r="D2" s="157"/>
      <c r="E2" s="157"/>
      <c r="F2" s="157"/>
      <c r="G2" s="157"/>
      <c r="H2" s="157"/>
      <c r="I2" s="157"/>
      <c r="J2" s="157"/>
      <c r="K2" s="157"/>
      <c r="L2" s="157"/>
    </row>
    <row r="3" spans="1:12" s="2" customFormat="1" ht="15">
      <c r="A3" s="155" t="s">
        <v>166</v>
      </c>
      <c r="B3" s="155"/>
      <c r="C3" s="155"/>
      <c r="D3" s="155"/>
      <c r="E3" s="155"/>
      <c r="F3" s="155"/>
      <c r="G3" s="155"/>
      <c r="H3" s="155"/>
      <c r="I3" s="155"/>
      <c r="J3" s="155"/>
      <c r="K3" s="155"/>
      <c r="L3" s="155"/>
    </row>
    <row r="4" spans="1:12" s="2" customFormat="1" ht="15">
      <c r="A4" s="157"/>
      <c r="B4" s="157"/>
      <c r="C4" s="157"/>
      <c r="D4" s="157"/>
      <c r="E4" s="157"/>
      <c r="F4" s="157"/>
      <c r="G4" s="157"/>
      <c r="H4" s="157"/>
      <c r="I4" s="157"/>
      <c r="J4" s="157"/>
      <c r="K4" s="157"/>
      <c r="L4" s="157"/>
    </row>
    <row r="5" spans="1:12" s="2" customFormat="1" ht="20.25">
      <c r="A5" s="192" t="s">
        <v>224</v>
      </c>
      <c r="B5" s="192"/>
      <c r="C5" s="192"/>
      <c r="D5" s="192"/>
      <c r="E5" s="192"/>
      <c r="F5" s="192"/>
      <c r="G5" s="192"/>
      <c r="H5" s="192"/>
      <c r="I5" s="192"/>
      <c r="J5" s="192"/>
      <c r="K5" s="192"/>
      <c r="L5" s="192"/>
    </row>
    <row r="6" spans="1:12" s="2" customFormat="1" ht="15.75" thickBot="1">
      <c r="A6" s="1"/>
      <c r="B6" s="1"/>
      <c r="C6" s="1"/>
      <c r="D6" s="1"/>
      <c r="E6" s="1"/>
      <c r="F6" s="1"/>
      <c r="G6" s="1"/>
      <c r="H6" s="1"/>
      <c r="I6" s="1"/>
      <c r="J6" s="1"/>
      <c r="K6" s="1"/>
      <c r="L6" s="1"/>
    </row>
    <row r="7" spans="1:14" s="2" customFormat="1" ht="16.5" thickBot="1" thickTop="1">
      <c r="A7" s="1"/>
      <c r="B7" s="1"/>
      <c r="C7" s="1"/>
      <c r="D7" s="223" t="s">
        <v>150</v>
      </c>
      <c r="E7" s="224"/>
      <c r="F7" s="225"/>
      <c r="G7" s="223" t="s">
        <v>151</v>
      </c>
      <c r="H7" s="224"/>
      <c r="I7" s="224"/>
      <c r="J7" s="223" t="s">
        <v>152</v>
      </c>
      <c r="K7" s="224"/>
      <c r="L7" s="225"/>
      <c r="M7" s="1"/>
      <c r="N7" s="1"/>
    </row>
    <row r="8" spans="3:13" s="2" customFormat="1" ht="76.5" thickBot="1" thickTop="1">
      <c r="C8" s="2" t="s">
        <v>135</v>
      </c>
      <c r="D8" s="99" t="s">
        <v>220</v>
      </c>
      <c r="E8" s="107" t="s">
        <v>221</v>
      </c>
      <c r="F8" s="108" t="s">
        <v>156</v>
      </c>
      <c r="G8" s="99" t="s">
        <v>220</v>
      </c>
      <c r="H8" s="107" t="s">
        <v>221</v>
      </c>
      <c r="I8" s="128" t="s">
        <v>222</v>
      </c>
      <c r="J8" s="99" t="s">
        <v>220</v>
      </c>
      <c r="K8" s="107" t="s">
        <v>221</v>
      </c>
      <c r="L8" s="108" t="s">
        <v>223</v>
      </c>
      <c r="M8" s="115" t="s">
        <v>143</v>
      </c>
    </row>
    <row r="9" spans="1:13" s="2" customFormat="1" ht="15.75" thickTop="1">
      <c r="A9" s="180" t="s">
        <v>62</v>
      </c>
      <c r="B9" s="66">
        <f>1000*Report!$E$33/(2*SIN(C9*PI()/180))</f>
        <v>79.8785832579957</v>
      </c>
      <c r="C9" s="18">
        <v>14.5</v>
      </c>
      <c r="D9" s="109">
        <f>1000*Report!$E$60*Report!$D$28*(((Report!$E$32*Report!$E$193*(C9*PI()/180)*TAN(C9*PI()/180)/Report!$E$33)/Report!$E$61)^2)</f>
        <v>25.764848097202375</v>
      </c>
      <c r="E9" s="101">
        <f>D9*(Report!$E$38^2+(1/3)*(Report!$F$38^3-Report!$E$38^3)/(Report!$F$38-Report!$E$38))/(Report!$F$38^2)</f>
        <v>10.113561706421837</v>
      </c>
      <c r="F9" s="133">
        <f>1000*((Report!$E$32*Report!$E$193*(C9*PI()/180)*TAN(C9*PI()/180)/Report!$E$33)/Report!$E$61)</f>
        <v>113.78558717096111</v>
      </c>
      <c r="G9" s="113">
        <f>D9/Report!$F$76</f>
        <v>2.019964090820666</v>
      </c>
      <c r="H9" s="101">
        <f>E9/Report!$F$75</f>
        <v>1.1268989771612485</v>
      </c>
      <c r="I9" s="137">
        <f>F9/SQRT(Report!$F$76)</f>
        <v>31.859964407869107</v>
      </c>
      <c r="J9" s="113">
        <f>D9/Report!$F$79</f>
        <v>1.1146903880773638</v>
      </c>
      <c r="K9" s="101">
        <f>E9/Report!$F$78</f>
        <v>1.070411382863039</v>
      </c>
      <c r="L9" s="129">
        <f>F9/SQRT(Report!$F$79)</f>
        <v>23.66740213155991</v>
      </c>
      <c r="M9" s="68">
        <f>(1/3)*(E9+H9+K9)+Report!$F$47+Report!$F$48</f>
        <v>4.703624022148707</v>
      </c>
    </row>
    <row r="10" spans="1:13" s="2" customFormat="1" ht="15">
      <c r="A10" s="177"/>
      <c r="B10" s="59">
        <f>1000*Report!$E$33/(2*SIN(C10*PI()/180))</f>
        <v>89.58561974059137</v>
      </c>
      <c r="C10" s="23">
        <v>12.9</v>
      </c>
      <c r="D10" s="110">
        <f>1000*Report!$E$60*Report!$D$28*(((Report!$E$32*Report!$E$193*(C10*PI()/180)*TAN(C10*PI()/180)/Report!$E$33)/Report!$E$61)^2)</f>
        <v>15.993437760922863</v>
      </c>
      <c r="E10" s="104">
        <f>D10*(Report!$E$38^2+(1/3)*(Report!$F$38^3-Report!$E$38^3)/(Report!$F$38-Report!$E$38))/(Report!$F$38^2)</f>
        <v>6.277957435754254</v>
      </c>
      <c r="F10" s="134">
        <f>1000*((Report!$E$32*Report!$E$193*(C10*PI()/180)*TAN(C10*PI()/180)/Report!$E$33)/Report!$E$61)</f>
        <v>89.64877800309759</v>
      </c>
      <c r="G10" s="112">
        <f>D10/Report!$F$76</f>
        <v>1.2538855204563524</v>
      </c>
      <c r="H10" s="104">
        <f>E10/Report!$F$75</f>
        <v>0.6995185295128153</v>
      </c>
      <c r="I10" s="138">
        <f>F10/SQRT(Report!$F$76)</f>
        <v>25.101657840867325</v>
      </c>
      <c r="J10" s="112">
        <f>D10/Report!$F$79</f>
        <v>0.6919400912885668</v>
      </c>
      <c r="K10" s="104">
        <f>E10/Report!$F$78</f>
        <v>0.6644540563878691</v>
      </c>
      <c r="L10" s="130">
        <f>F10/SQRT(Report!$F$79)</f>
        <v>18.6469458246443</v>
      </c>
      <c r="M10" s="41">
        <f>(1/3)*(E10+H10+K10)+Report!$F$47+Report!$F$48</f>
        <v>3.1473100072183127</v>
      </c>
    </row>
    <row r="11" spans="1:13" s="2" customFormat="1" ht="15">
      <c r="A11" s="177"/>
      <c r="B11" s="69">
        <f>1000*Report!$E$33/(2*SIN(C11*PI()/180))</f>
        <v>100.31703472509284</v>
      </c>
      <c r="C11" s="70">
        <f>Report!$E$188</f>
        <v>11.5</v>
      </c>
      <c r="D11" s="110">
        <f>1000*Report!$E$60*Report!$D$28*(((Report!$E$32*Report!$E$193*(C11*PI()/180)*TAN(C11*PI()/180)/Report!$E$33)/Report!$E$61)^2)</f>
        <v>10.029894529427162</v>
      </c>
      <c r="E11" s="104">
        <f>D11*(Report!$E$38^2+(1/3)*(Report!$F$38^3-Report!$E$38^3)/(Report!$F$38-Report!$E$38))/(Report!$F$38^2)</f>
        <v>3.937067932617808</v>
      </c>
      <c r="F11" s="134">
        <f>1000*((Report!$E$32*Report!$E$193*(C11*PI()/180)*TAN(C11*PI()/180)/Report!$E$33)/Report!$E$61)</f>
        <v>70.99399977982131</v>
      </c>
      <c r="G11" s="112">
        <f>D11/Report!$F$76</f>
        <v>0.7863437311070894</v>
      </c>
      <c r="H11" s="104">
        <f>E11/Report!$F$75</f>
        <v>0.4386859896710957</v>
      </c>
      <c r="I11" s="138">
        <f>F11/SQRT(Report!$F$76)</f>
        <v>19.878319938349964</v>
      </c>
      <c r="J11" s="112">
        <f>D11/Report!$F$79</f>
        <v>0.43393335692113677</v>
      </c>
      <c r="K11" s="104">
        <f>E11/Report!$F$78</f>
        <v>0.4166961603154306</v>
      </c>
      <c r="L11" s="130">
        <f>F11/SQRT(Report!$F$79)</f>
        <v>14.766751954202833</v>
      </c>
      <c r="M11" s="41">
        <f>(1/3)*(E11+H11+K11)+Report!$F$47+Report!$F$48</f>
        <v>2.197483360868111</v>
      </c>
    </row>
    <row r="12" spans="1:13" s="2" customFormat="1" ht="15">
      <c r="A12" s="177"/>
      <c r="B12" s="59">
        <f>1000*Report!$E$33/(2*SIN(C12*PI()/180))</f>
        <v>109.7480853197408</v>
      </c>
      <c r="C12" s="23">
        <v>10.5</v>
      </c>
      <c r="D12" s="110">
        <f>1000*Report!$E$60*Report!$D$28*(((Report!$E$32*Report!$E$193*(C12*PI()/180)*TAN(C12*PI()/180)/Report!$E$33)/Report!$E$61)^2)</f>
        <v>6.938856719218125</v>
      </c>
      <c r="E12" s="104">
        <f>D12*(Report!$E$38^2+(1/3)*(Report!$F$38^3-Report!$E$38^3)/(Report!$F$38-Report!$E$38))/(Report!$F$38^2)</f>
        <v>2.7237325575170876</v>
      </c>
      <c r="F12" s="134">
        <f>1000*((Report!$E$32*Report!$E$193*(C12*PI()/180)*TAN(C12*PI()/180)/Report!$E$33)/Report!$E$61)</f>
        <v>59.04966276765628</v>
      </c>
      <c r="G12" s="112">
        <f>D12/Report!$F$76</f>
        <v>0.544006366786701</v>
      </c>
      <c r="H12" s="104">
        <f>E12/Report!$F$75</f>
        <v>0.30349065168385037</v>
      </c>
      <c r="I12" s="138">
        <f>F12/SQRT(Report!$F$76)</f>
        <v>16.53390557494376</v>
      </c>
      <c r="J12" s="112">
        <f>D12/Report!$F$79</f>
        <v>0.300202697100253</v>
      </c>
      <c r="K12" s="104">
        <f>E12/Report!$F$78</f>
        <v>0.28827770256147</v>
      </c>
      <c r="L12" s="130">
        <f>F12/SQRT(Report!$F$79)</f>
        <v>12.282329855672506</v>
      </c>
      <c r="M12" s="41">
        <f>(1/3)*(E12+H12+K12)+Report!$F$47+Report!$F$48</f>
        <v>1.7051669705874692</v>
      </c>
    </row>
    <row r="13" spans="1:13" s="2" customFormat="1" ht="15.75" thickBot="1">
      <c r="A13" s="226"/>
      <c r="B13" s="61">
        <f>1000*Report!$E$33/(2*SIN(C13*PI()/180))</f>
        <v>119.92654735270558</v>
      </c>
      <c r="C13" s="46">
        <v>9.6</v>
      </c>
      <c r="D13" s="111">
        <f>1000*Report!$E$60*Report!$D$28*(((Report!$E$32*Report!$E$193*(C13*PI()/180)*TAN(C13*PI()/180)/Report!$E$33)/Report!$E$61)^2)</f>
        <v>4.8305539562877</v>
      </c>
      <c r="E13" s="106">
        <f>D13*(Report!$E$38^2+(1/3)*(Report!$F$38^3-Report!$E$38^3)/(Report!$F$38-Report!$E$38))/(Report!$F$38^2)</f>
        <v>1.8961534463081315</v>
      </c>
      <c r="F13" s="135">
        <f>1000*((Report!$E$32*Report!$E$193*(C13*PI()/180)*TAN(C13*PI()/180)/Report!$E$33)/Report!$E$61)</f>
        <v>49.26879385966109</v>
      </c>
      <c r="G13" s="114">
        <f>D13/Report!$F$76</f>
        <v>0.37871543017295567</v>
      </c>
      <c r="H13" s="106">
        <f>E13/Report!$F$75</f>
        <v>0.21127802857312045</v>
      </c>
      <c r="I13" s="139">
        <f>F13/SQRT(Report!$F$76)</f>
        <v>13.795262280705105</v>
      </c>
      <c r="J13" s="114">
        <f>D13/Report!$F$79</f>
        <v>0.20898908636483107</v>
      </c>
      <c r="K13" s="106">
        <f>E13/Report!$F$78</f>
        <v>0.20068738309021464</v>
      </c>
      <c r="L13" s="131">
        <f>F13/SQRT(Report!$F$79)</f>
        <v>10.247909122809506</v>
      </c>
      <c r="M13" s="73">
        <f>(1/3)*(E13+H13+K13)+Report!$F$47+Report!$F$48</f>
        <v>1.3693729526571556</v>
      </c>
    </row>
    <row r="14" spans="4:13" s="2" customFormat="1" ht="16.5" thickBot="1" thickTop="1">
      <c r="D14" s="102"/>
      <c r="E14" s="16"/>
      <c r="F14" s="136"/>
      <c r="G14" s="102"/>
      <c r="H14" s="16"/>
      <c r="I14" s="140"/>
      <c r="J14" s="102"/>
      <c r="K14" s="16"/>
      <c r="L14" s="132"/>
      <c r="M14" s="26"/>
    </row>
    <row r="15" spans="1:13" s="2" customFormat="1" ht="15.75" thickTop="1">
      <c r="A15" s="180" t="s">
        <v>145</v>
      </c>
      <c r="B15" s="77">
        <f>0.8*B17</f>
        <v>0.07127999999999997</v>
      </c>
      <c r="C15" s="18"/>
      <c r="D15" s="109">
        <f>Report!$D$198*B15/Report!$E$193</f>
        <v>8.02391562354173</v>
      </c>
      <c r="E15" s="100">
        <f>$E$11*B15/Report!$E$193</f>
        <v>3.149654346094247</v>
      </c>
      <c r="F15" s="133">
        <f>1000*SQRT(0.001*D15/(Report!$D$28*Report!$E$60))</f>
        <v>63.49896380091423</v>
      </c>
      <c r="G15" s="113">
        <f>D15/Report!$F$76</f>
        <v>0.6290749848856717</v>
      </c>
      <c r="H15" s="101">
        <f>E15/Report!$F$75</f>
        <v>0.3509487917368766</v>
      </c>
      <c r="I15" s="137">
        <f>F15/SQRT(Report!$F$76)</f>
        <v>17.779709864255985</v>
      </c>
      <c r="J15" s="113">
        <f>D15/Report!$F$79</f>
        <v>0.34714668553690947</v>
      </c>
      <c r="K15" s="101">
        <f>E15/Report!$F$78</f>
        <v>0.33335692825234453</v>
      </c>
      <c r="L15" s="129">
        <f>F15/SQRT(Report!$F$79)</f>
        <v>13.20778447059016</v>
      </c>
      <c r="M15" s="68">
        <f>(1/3)*(E15+H15+K15)+Report!$F$47+Report!$F$48</f>
        <v>1.8779866886944894</v>
      </c>
    </row>
    <row r="16" spans="1:13" s="2" customFormat="1" ht="15">
      <c r="A16" s="227"/>
      <c r="B16" s="78">
        <f>0.9*B17</f>
        <v>0.08018999999999997</v>
      </c>
      <c r="C16" s="23"/>
      <c r="D16" s="110">
        <f>Report!$D$198*B16/Report!$E$193</f>
        <v>9.026905076484447</v>
      </c>
      <c r="E16" s="103">
        <f>$E$11*B16/Report!$E$193</f>
        <v>3.543361139356028</v>
      </c>
      <c r="F16" s="134">
        <f>1000*SQRT(0.001*D16/(Report!$D$28*Report!$E$60))</f>
        <v>67.35082185291833</v>
      </c>
      <c r="G16" s="112">
        <f>D16/Report!$F$76</f>
        <v>0.7077093579963806</v>
      </c>
      <c r="H16" s="104">
        <f>E16/Report!$F$75</f>
        <v>0.3948173907039862</v>
      </c>
      <c r="I16" s="138">
        <f>F16/SQRT(Report!$F$76)</f>
        <v>18.858230118817133</v>
      </c>
      <c r="J16" s="112">
        <f>D16/Report!$F$79</f>
        <v>0.39054002122902315</v>
      </c>
      <c r="K16" s="104">
        <f>E16/Report!$F$78</f>
        <v>0.37502654428388765</v>
      </c>
      <c r="L16" s="130">
        <f>F16/SQRT(Report!$F$79)</f>
        <v>14.008970945407013</v>
      </c>
      <c r="M16" s="41">
        <f>(1/3)*(E16+H16+K16)+Report!$F$47+Report!$F$48</f>
        <v>2.0377350247813006</v>
      </c>
    </row>
    <row r="17" spans="1:13" s="2" customFormat="1" ht="15">
      <c r="A17" s="227"/>
      <c r="B17" s="79">
        <f>Report!$E$193</f>
        <v>0.08909999999999996</v>
      </c>
      <c r="C17" s="70"/>
      <c r="D17" s="110">
        <f>Report!$D$198*B17/Report!$E$193</f>
        <v>10.029894529427162</v>
      </c>
      <c r="E17" s="103">
        <f>$E$11*B17/Report!$E$193</f>
        <v>3.937067932617808</v>
      </c>
      <c r="F17" s="134">
        <f>1000*SQRT(0.001*D17/(Report!$D$28*Report!$E$60))</f>
        <v>70.99399977982131</v>
      </c>
      <c r="G17" s="112">
        <f>D17/Report!$F$76</f>
        <v>0.7863437311070894</v>
      </c>
      <c r="H17" s="104">
        <f>E17/Report!$F$75</f>
        <v>0.4386859896710957</v>
      </c>
      <c r="I17" s="138">
        <f>F17/SQRT(Report!$F$76)</f>
        <v>19.878319938349964</v>
      </c>
      <c r="J17" s="112">
        <f>D17/Report!$F$79</f>
        <v>0.43393335692113677</v>
      </c>
      <c r="K17" s="104">
        <f>E17/Report!$F$78</f>
        <v>0.4166961603154306</v>
      </c>
      <c r="L17" s="130">
        <f>F17/SQRT(Report!$F$79)</f>
        <v>14.766751954202833</v>
      </c>
      <c r="M17" s="41">
        <f>(1/3)*(E17+H17+K17)+Report!$F$47+Report!$F$48</f>
        <v>2.197483360868111</v>
      </c>
    </row>
    <row r="18" spans="1:13" s="2" customFormat="1" ht="15">
      <c r="A18" s="227"/>
      <c r="B18" s="78">
        <f>1.1*B17</f>
        <v>0.09800999999999996</v>
      </c>
      <c r="C18" s="23"/>
      <c r="D18" s="110">
        <f>Report!$D$198*B18/Report!$E$193</f>
        <v>11.03288398236988</v>
      </c>
      <c r="E18" s="103">
        <f>$E$11*B18/Report!$E$193</f>
        <v>4.330774725879589</v>
      </c>
      <c r="F18" s="134">
        <f>1000*SQRT(0.001*D18/(Report!$D$28*Report!$E$60))</f>
        <v>74.45913513606638</v>
      </c>
      <c r="G18" s="112">
        <f>D18/Report!$F$76</f>
        <v>0.8649781042177985</v>
      </c>
      <c r="H18" s="104">
        <f>E18/Report!$F$75</f>
        <v>0.4825545886382053</v>
      </c>
      <c r="I18" s="138">
        <f>F18/SQRT(Report!$F$76)</f>
        <v>20.848557838098586</v>
      </c>
      <c r="J18" s="112">
        <f>D18/Report!$F$79</f>
        <v>0.4773266926132505</v>
      </c>
      <c r="K18" s="104">
        <f>E18/Report!$F$78</f>
        <v>0.45836577634697373</v>
      </c>
      <c r="L18" s="130">
        <f>F18/SQRT(Report!$F$79)</f>
        <v>15.487500108301807</v>
      </c>
      <c r="M18" s="41">
        <f>(1/3)*(E18+H18+K18)+Report!$F$47+Report!$F$48</f>
        <v>2.3572316969549227</v>
      </c>
    </row>
    <row r="19" spans="1:13" s="2" customFormat="1" ht="15.75" thickBot="1">
      <c r="A19" s="228"/>
      <c r="B19" s="80">
        <f>1.2*B17</f>
        <v>0.10691999999999995</v>
      </c>
      <c r="C19" s="46"/>
      <c r="D19" s="111">
        <f>Report!$D$198*B19/Report!$E$193</f>
        <v>12.035873435312594</v>
      </c>
      <c r="E19" s="105">
        <f>$E$11*B19/Report!$E$193</f>
        <v>4.72448151914137</v>
      </c>
      <c r="F19" s="135">
        <f>1000*SQRT(0.001*D19/(Report!$D$28*Report!$E$60))</f>
        <v>77.77003025384985</v>
      </c>
      <c r="G19" s="114">
        <f>D19/Report!$F$76</f>
        <v>0.9436124773285073</v>
      </c>
      <c r="H19" s="106">
        <f>E19/Report!$F$75</f>
        <v>0.5264231876053148</v>
      </c>
      <c r="I19" s="139">
        <f>F19/SQRT(Report!$F$76)</f>
        <v>21.77560847107796</v>
      </c>
      <c r="J19" s="114">
        <f>D19/Report!$F$79</f>
        <v>0.5207200283053641</v>
      </c>
      <c r="K19" s="106">
        <f>E19/Report!$F$78</f>
        <v>0.5000353923785168</v>
      </c>
      <c r="L19" s="131">
        <f>F19/SQRT(Report!$F$79)</f>
        <v>16.17616629280077</v>
      </c>
      <c r="M19" s="73">
        <f>(1/3)*(E19+H19+K19)+Report!$F$47+Report!$F$48</f>
        <v>2.5169800330417336</v>
      </c>
    </row>
    <row r="20" spans="2:13" s="2" customFormat="1" ht="16.5" thickBot="1" thickTop="1">
      <c r="B20" s="65"/>
      <c r="D20" s="112"/>
      <c r="E20" s="104"/>
      <c r="F20" s="136"/>
      <c r="G20" s="112"/>
      <c r="H20" s="104"/>
      <c r="I20" s="140"/>
      <c r="J20" s="112"/>
      <c r="K20" s="104"/>
      <c r="L20" s="132"/>
      <c r="M20" s="41"/>
    </row>
    <row r="21" spans="1:13" s="2" customFormat="1" ht="15.75" thickTop="1">
      <c r="A21" s="180" t="s">
        <v>146</v>
      </c>
      <c r="B21" s="66">
        <f>0.8*B23</f>
        <v>159.20000000000002</v>
      </c>
      <c r="C21" s="18"/>
      <c r="D21" s="113">
        <f>Report!$D$198*B21/Report!$E$60</f>
        <v>8.02391562354173</v>
      </c>
      <c r="E21" s="101">
        <f>$E$11*B21/Report!$E$60</f>
        <v>3.149654346094247</v>
      </c>
      <c r="F21" s="133">
        <f>1000*SQRT(0.001*D21/(Report!$D$28*B21))</f>
        <v>70.99399977982131</v>
      </c>
      <c r="G21" s="113">
        <f>D21/Report!$F$76</f>
        <v>0.6290749848856717</v>
      </c>
      <c r="H21" s="101">
        <f>E21/Report!$F$75</f>
        <v>0.3509487917368766</v>
      </c>
      <c r="I21" s="137">
        <f>F21/SQRT(Report!$F$76)</f>
        <v>19.878319938349964</v>
      </c>
      <c r="J21" s="113">
        <f>D21/Report!$F$79</f>
        <v>0.34714668553690947</v>
      </c>
      <c r="K21" s="101">
        <f>E21/Report!$F$78</f>
        <v>0.33335692825234453</v>
      </c>
      <c r="L21" s="129">
        <f>F21/SQRT(Report!$F$79)</f>
        <v>14.766751954202833</v>
      </c>
      <c r="M21" s="68">
        <f>(1/3)*(E21+H21+K21)+Report!$F$47+Report!$F$48</f>
        <v>1.8779866886944894</v>
      </c>
    </row>
    <row r="22" spans="1:13" s="2" customFormat="1" ht="15">
      <c r="A22" s="177"/>
      <c r="B22" s="59">
        <f>0.9*B23</f>
        <v>179.1</v>
      </c>
      <c r="C22" s="23"/>
      <c r="D22" s="112">
        <f>Report!$D$198*B22/Report!$E$60</f>
        <v>9.026905076484445</v>
      </c>
      <c r="E22" s="104">
        <f>$E$11*B22/Report!$E$60</f>
        <v>3.543361139356027</v>
      </c>
      <c r="F22" s="134">
        <f>1000*SQRT(0.001*D22/(Report!$D$28*B22))</f>
        <v>70.99399977982131</v>
      </c>
      <c r="G22" s="112">
        <f>D22/Report!$F$76</f>
        <v>0.7077093579963805</v>
      </c>
      <c r="H22" s="104">
        <f>E22/Report!$F$75</f>
        <v>0.3948173907039861</v>
      </c>
      <c r="I22" s="138">
        <f>F22/SQRT(Report!$F$76)</f>
        <v>19.878319938349964</v>
      </c>
      <c r="J22" s="112">
        <f>D22/Report!$F$79</f>
        <v>0.39054002122902304</v>
      </c>
      <c r="K22" s="104">
        <f>E22/Report!$F$78</f>
        <v>0.37502654428388754</v>
      </c>
      <c r="L22" s="130">
        <f>F22/SQRT(Report!$F$79)</f>
        <v>14.766751954202833</v>
      </c>
      <c r="M22" s="41">
        <f>(1/3)*(E22+H22+K22)+Report!$F$47+Report!$F$48</f>
        <v>2.0377350247813</v>
      </c>
    </row>
    <row r="23" spans="1:13" s="2" customFormat="1" ht="15">
      <c r="A23" s="177"/>
      <c r="B23" s="69">
        <f>Report!$E$60</f>
        <v>199</v>
      </c>
      <c r="C23" s="70"/>
      <c r="D23" s="112">
        <f>Report!$D$198*B23/Report!$E$60</f>
        <v>10.029894529427162</v>
      </c>
      <c r="E23" s="104">
        <f>$E$11*B23/Report!$E$60</f>
        <v>3.9370679326178077</v>
      </c>
      <c r="F23" s="134">
        <f>1000*SQRT(0.001*D23/(Report!$D$28*B23))</f>
        <v>70.99399977982131</v>
      </c>
      <c r="G23" s="112">
        <f>D23/Report!$F$76</f>
        <v>0.7863437311070894</v>
      </c>
      <c r="H23" s="104">
        <f>E23/Report!$F$75</f>
        <v>0.4386859896710957</v>
      </c>
      <c r="I23" s="138">
        <f>F23/SQRT(Report!$F$76)</f>
        <v>19.878319938349964</v>
      </c>
      <c r="J23" s="112">
        <f>D23/Report!$F$79</f>
        <v>0.43393335692113677</v>
      </c>
      <c r="K23" s="104">
        <f>E23/Report!$F$78</f>
        <v>0.4166961603154306</v>
      </c>
      <c r="L23" s="130">
        <f>F23/SQRT(Report!$F$79)</f>
        <v>14.766751954202833</v>
      </c>
      <c r="M23" s="41">
        <f>(1/3)*(E23+H23+K23)+Report!$F$47+Report!$F$48</f>
        <v>2.197483360868111</v>
      </c>
    </row>
    <row r="24" spans="1:13" s="2" customFormat="1" ht="15">
      <c r="A24" s="177"/>
      <c r="B24" s="59">
        <f>1.1*B23</f>
        <v>218.9</v>
      </c>
      <c r="C24" s="23"/>
      <c r="D24" s="112">
        <f>Report!$D$198*B24/Report!$E$60</f>
        <v>11.03288398236988</v>
      </c>
      <c r="E24" s="104">
        <f>$E$11*B24/Report!$E$60</f>
        <v>4.330774725879589</v>
      </c>
      <c r="F24" s="134">
        <f>1000*SQRT(0.001*D24/(Report!$D$28*B24))</f>
        <v>70.99399977982131</v>
      </c>
      <c r="G24" s="112">
        <f>D24/Report!$F$76</f>
        <v>0.8649781042177985</v>
      </c>
      <c r="H24" s="104">
        <f>E24/Report!$F$75</f>
        <v>0.4825545886382053</v>
      </c>
      <c r="I24" s="138">
        <f>F24/SQRT(Report!$F$76)</f>
        <v>19.878319938349964</v>
      </c>
      <c r="J24" s="112">
        <f>D24/Report!$F$79</f>
        <v>0.4773266926132505</v>
      </c>
      <c r="K24" s="104">
        <f>E24/Report!$F$78</f>
        <v>0.45836577634697373</v>
      </c>
      <c r="L24" s="130">
        <f>F24/SQRT(Report!$F$79)</f>
        <v>14.766751954202833</v>
      </c>
      <c r="M24" s="41">
        <f>(1/3)*(E24+H24+K24)+Report!$F$47+Report!$F$48</f>
        <v>2.3572316969549227</v>
      </c>
    </row>
    <row r="25" spans="1:13" s="2" customFormat="1" ht="15.75" thickBot="1">
      <c r="A25" s="226"/>
      <c r="B25" s="61">
        <f>1.2*B23</f>
        <v>238.79999999999998</v>
      </c>
      <c r="C25" s="46"/>
      <c r="D25" s="114">
        <f>Report!$D$198*B25/Report!$E$60</f>
        <v>12.035873435312594</v>
      </c>
      <c r="E25" s="106">
        <f>$E$11*B25/Report!$E$60</f>
        <v>4.724481519141369</v>
      </c>
      <c r="F25" s="135">
        <f>1000*SQRT(0.001*D25/(Report!$D$28*B25))</f>
        <v>70.99399977982131</v>
      </c>
      <c r="G25" s="114">
        <f>D25/Report!$F$76</f>
        <v>0.9436124773285073</v>
      </c>
      <c r="H25" s="106">
        <f>E25/Report!$F$75</f>
        <v>0.5264231876053147</v>
      </c>
      <c r="I25" s="139">
        <f>F25/SQRT(Report!$F$76)</f>
        <v>19.878319938349964</v>
      </c>
      <c r="J25" s="114">
        <f>D25/Report!$F$79</f>
        <v>0.5207200283053641</v>
      </c>
      <c r="K25" s="106">
        <f>E25/Report!$F$78</f>
        <v>0.5000353923785167</v>
      </c>
      <c r="L25" s="131">
        <f>F25/SQRT(Report!$F$79)</f>
        <v>14.766751954202833</v>
      </c>
      <c r="M25" s="73">
        <f>(1/3)*(E25+H25+K25)+Report!$F$47+Report!$F$48</f>
        <v>2.5169800330417336</v>
      </c>
    </row>
    <row r="26" spans="4:13" s="2" customFormat="1" ht="16.5" thickBot="1" thickTop="1">
      <c r="D26" s="102"/>
      <c r="E26" s="16"/>
      <c r="F26" s="136"/>
      <c r="G26" s="102"/>
      <c r="H26" s="16"/>
      <c r="I26" s="140"/>
      <c r="J26" s="102"/>
      <c r="K26" s="16"/>
      <c r="L26" s="132"/>
      <c r="M26" s="26"/>
    </row>
    <row r="27" spans="1:13" s="2" customFormat="1" ht="15.75" thickTop="1">
      <c r="A27" s="180" t="s">
        <v>29</v>
      </c>
      <c r="B27" s="67">
        <f>0.8*B29</f>
        <v>16.400000000000002</v>
      </c>
      <c r="C27" s="18"/>
      <c r="D27" s="113">
        <f>Report!$D$198*(1/(B27/Report!$E$61)^2)</f>
        <v>15.671710202229935</v>
      </c>
      <c r="E27" s="101">
        <f>$E$11*(1/(B27/Report!$E$61)^2)</f>
        <v>6.151668644715323</v>
      </c>
      <c r="F27" s="133">
        <f>1000*SQRT(0.001*D27/(Report!$E$60*Report!$D$28))</f>
        <v>88.74249972477662</v>
      </c>
      <c r="G27" s="113">
        <f>D27/Report!$F$76</f>
        <v>1.228662079854827</v>
      </c>
      <c r="H27" s="101">
        <f>E27/Report!$F$75</f>
        <v>0.6854468588610868</v>
      </c>
      <c r="I27" s="137">
        <f>F27/SQRT(Report!$F$76)</f>
        <v>24.847899922937454</v>
      </c>
      <c r="J27" s="113">
        <f>D27/Report!$F$79</f>
        <v>0.6780208701892759</v>
      </c>
      <c r="K27" s="101">
        <f>E27/Report!$F$78</f>
        <v>0.65108775049286</v>
      </c>
      <c r="L27" s="129">
        <f>F27/SQRT(Report!$F$79)</f>
        <v>18.45843994275354</v>
      </c>
      <c r="M27" s="68">
        <f>(1/3)*(E27+H27+K27)+Report!$F$47+Report!$F$48</f>
        <v>3.0960677513564234</v>
      </c>
    </row>
    <row r="28" spans="1:13" s="2" customFormat="1" ht="15">
      <c r="A28" s="177"/>
      <c r="B28" s="40">
        <f>0.9*B29</f>
        <v>18.45</v>
      </c>
      <c r="C28" s="23"/>
      <c r="D28" s="112">
        <f>Report!$D$198*(1/(B28/Report!$E$61)^2)</f>
        <v>12.382585838798967</v>
      </c>
      <c r="E28" s="104">
        <f>$E$11*(1/(B28/Report!$E$61)^2)</f>
        <v>4.860577694589887</v>
      </c>
      <c r="F28" s="134">
        <f>1000*SQRT(0.001*D28/(Report!$E$60*Report!$D$28))</f>
        <v>78.88222197757923</v>
      </c>
      <c r="G28" s="112">
        <f>D28/Report!$F$76</f>
        <v>0.970794729761839</v>
      </c>
      <c r="H28" s="104">
        <f>E28/Report!$F$75</f>
        <v>0.541587641569254</v>
      </c>
      <c r="I28" s="138">
        <f>F28/SQRT(Report!$F$76)</f>
        <v>22.087022153722184</v>
      </c>
      <c r="J28" s="112">
        <f>D28/Report!$F$79</f>
        <v>0.5357201937297985</v>
      </c>
      <c r="K28" s="104">
        <f>E28/Report!$F$78</f>
        <v>0.5144397040931243</v>
      </c>
      <c r="L28" s="130">
        <f>F28/SQRT(Report!$F$79)</f>
        <v>16.407502171336482</v>
      </c>
      <c r="M28" s="41">
        <f>(1/3)*(E28+H28+K28)+Report!$F$47+Report!$F$48</f>
        <v>2.572201680084089</v>
      </c>
    </row>
    <row r="29" spans="1:13" s="2" customFormat="1" ht="15">
      <c r="A29" s="177"/>
      <c r="B29" s="71">
        <f>Report!$E$61</f>
        <v>20.5</v>
      </c>
      <c r="C29" s="70"/>
      <c r="D29" s="112">
        <f>Report!$D$198*(1/(B29/Report!$E$61)^2)</f>
        <v>10.029894529427162</v>
      </c>
      <c r="E29" s="104">
        <f>$E$11*(1/(B29/Report!$E$61)^2)</f>
        <v>3.937067932617808</v>
      </c>
      <c r="F29" s="134">
        <f>1000*SQRT(0.001*D29/(Report!$E$60*Report!$D$28))</f>
        <v>70.99399977982131</v>
      </c>
      <c r="G29" s="112">
        <f>D29/Report!$F$76</f>
        <v>0.7863437311070894</v>
      </c>
      <c r="H29" s="104">
        <f>E29/Report!$F$75</f>
        <v>0.4386859896710957</v>
      </c>
      <c r="I29" s="138">
        <f>F29/SQRT(Report!$F$76)</f>
        <v>19.878319938349964</v>
      </c>
      <c r="J29" s="112">
        <f>D29/Report!$F$79</f>
        <v>0.43393335692113677</v>
      </c>
      <c r="K29" s="104">
        <f>E29/Report!$F$78</f>
        <v>0.4166961603154306</v>
      </c>
      <c r="L29" s="130">
        <f>F29/SQRT(Report!$F$79)</f>
        <v>14.766751954202833</v>
      </c>
      <c r="M29" s="41">
        <f>(1/3)*(E29+H29+K29)+Report!$F$47+Report!$F$48</f>
        <v>2.197483360868111</v>
      </c>
    </row>
    <row r="30" spans="1:13" s="2" customFormat="1" ht="15">
      <c r="A30" s="177"/>
      <c r="B30" s="40">
        <f>1.1*B29</f>
        <v>22.55</v>
      </c>
      <c r="C30" s="23"/>
      <c r="D30" s="112">
        <f>Report!$D$198*(1/(B30/Report!$E$61)^2)</f>
        <v>8.28916903258443</v>
      </c>
      <c r="E30" s="104">
        <f>$E$11*(1/(B30/Report!$E$61)^2)</f>
        <v>3.253775150923808</v>
      </c>
      <c r="F30" s="134">
        <f>1000*SQRT(0.001*D30/(Report!$E$60*Report!$D$28))</f>
        <v>64.53999979983755</v>
      </c>
      <c r="G30" s="112">
        <f>D30/Report!$F$76</f>
        <v>0.6498708521546194</v>
      </c>
      <c r="H30" s="104">
        <f>E30/Report!$F$75</f>
        <v>0.36255040468685595</v>
      </c>
      <c r="I30" s="138">
        <f>F30/SQRT(Report!$F$76)</f>
        <v>18.07119994395451</v>
      </c>
      <c r="J30" s="112">
        <f>D30/Report!$F$79</f>
        <v>0.35862260902573284</v>
      </c>
      <c r="K30" s="104">
        <f>E30/Report!$F$78</f>
        <v>0.3443769919962236</v>
      </c>
      <c r="L30" s="130">
        <f>F30/SQRT(Report!$F$79)</f>
        <v>13.42431995836621</v>
      </c>
      <c r="M30" s="41">
        <f>(1/3)*(E30+H30+K30)+Report!$F$47+Report!$F$48</f>
        <v>1.920234182535629</v>
      </c>
    </row>
    <row r="31" spans="1:13" s="2" customFormat="1" ht="15.75" thickBot="1">
      <c r="A31" s="226"/>
      <c r="B31" s="72">
        <f>1.2*B29</f>
        <v>24.599999999999998</v>
      </c>
      <c r="C31" s="46"/>
      <c r="D31" s="114">
        <f>Report!$D$198*(1/(B31/Report!$E$61)^2)</f>
        <v>6.9652045343244176</v>
      </c>
      <c r="E31" s="106">
        <f>$E$11*(1/(B31/Report!$E$61)^2)</f>
        <v>2.734074953206811</v>
      </c>
      <c r="F31" s="135">
        <f>1000*SQRT(0.001*D31/(Report!$E$60*Report!$D$28))</f>
        <v>59.16166648318442</v>
      </c>
      <c r="G31" s="114">
        <f>D31/Report!$F$76</f>
        <v>0.5460720354910343</v>
      </c>
      <c r="H31" s="106">
        <f>E31/Report!$F$75</f>
        <v>0.30464304838270534</v>
      </c>
      <c r="I31" s="139">
        <f>F31/SQRT(Report!$F$76)</f>
        <v>16.565266615291637</v>
      </c>
      <c r="J31" s="114">
        <f>D31/Report!$F$79</f>
        <v>0.3013426089730116</v>
      </c>
      <c r="K31" s="106">
        <f>E31/Report!$F$78</f>
        <v>0.28937233355238234</v>
      </c>
      <c r="L31" s="131">
        <f>F31/SQRT(Report!$F$79)</f>
        <v>12.30562662850236</v>
      </c>
      <c r="M31" s="73">
        <f>(1/3)*(E31+H31+K31)+Report!$F$47+Report!$F$48</f>
        <v>1.7093634450472996</v>
      </c>
    </row>
    <row r="32" ht="13.5" thickTop="1"/>
  </sheetData>
  <mergeCells count="12">
    <mergeCell ref="A9:A13"/>
    <mergeCell ref="A15:A19"/>
    <mergeCell ref="A21:A25"/>
    <mergeCell ref="A27:A31"/>
    <mergeCell ref="A5:L5"/>
    <mergeCell ref="D7:F7"/>
    <mergeCell ref="G7:I7"/>
    <mergeCell ref="J7:L7"/>
    <mergeCell ref="A1:L1"/>
    <mergeCell ref="A2:L2"/>
    <mergeCell ref="A3:L3"/>
    <mergeCell ref="A4:L4"/>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75" zoomScaleNormal="75" workbookViewId="0" topLeftCell="A3">
      <selection activeCell="H153" sqref="H153"/>
    </sheetView>
  </sheetViews>
  <sheetFormatPr defaultColWidth="11.421875" defaultRowHeight="12.75"/>
  <sheetData/>
  <printOptions/>
  <pageMargins left="0.75" right="0.75" top="1" bottom="1" header="0.4921259845" footer="0.4921259845"/>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C.N.R.S. - Service Essais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Pouliquen</dc:creator>
  <cp:keywords/>
  <dc:description/>
  <cp:lastModifiedBy>Dominique Pouliquen</cp:lastModifiedBy>
  <cp:lastPrinted>2001-10-16T15:28:29Z</cp:lastPrinted>
  <dcterms:created xsi:type="dcterms:W3CDTF">2001-04-19T09:21:49Z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