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18900" windowHeight="12735" tabRatio="864" activeTab="0"/>
  </bookViews>
  <sheets>
    <sheet name="Introduction" sheetId="1" r:id="rId1"/>
    <sheet name="History" sheetId="2" r:id="rId2"/>
    <sheet name="Theory" sheetId="3" r:id="rId3"/>
    <sheet name="Variables" sheetId="4" r:id="rId4"/>
    <sheet name="SurfaceList" sheetId="5" r:id="rId5"/>
    <sheet name="Apertures" sheetId="6" r:id="rId6"/>
    <sheet name="GutRayImpacts" sheetId="7" r:id="rId7"/>
    <sheet name="Interfaces" sheetId="8" r:id="rId8"/>
    <sheet name="SurfDef" sheetId="9" r:id="rId9"/>
    <sheet name="GutCalc" sheetId="10" r:id="rId10"/>
    <sheet name="CM3CentCalc" sheetId="11" r:id="rId11"/>
    <sheet name="CM5CentCalc" sheetId="12" r:id="rId12"/>
    <sheet name="AperturesSyno" sheetId="13" r:id="rId13"/>
    <sheet name="VertexCalc" sheetId="14" r:id="rId14"/>
    <sheet name="VerticesSyno" sheetId="15" r:id="rId15"/>
    <sheet name="RayImpacts" sheetId="16" r:id="rId16"/>
    <sheet name="RayImpactsSyno" sheetId="17" r:id="rId17"/>
    <sheet name="PhotGlob" sheetId="18" r:id="rId18"/>
    <sheet name="SpecGlob" sheetId="19" r:id="rId19"/>
    <sheet name="PhotGutRay" sheetId="20" r:id="rId20"/>
    <sheet name="SpecGutRay" sheetId="21" r:id="rId21"/>
    <sheet name="CM3CentRay" sheetId="22" r:id="rId22"/>
    <sheet name="CM5CentRay" sheetId="23" r:id="rId23"/>
  </sheets>
  <externalReferences>
    <externalReference r:id="rId26"/>
  </externalReferences>
  <definedNames>
    <definedName name="_1_cos_theta">'CM5CentCalc'!$X$2:$X$65536</definedName>
    <definedName name="aCol" localSheetId="12">'AperturesSyno'!$B$12</definedName>
    <definedName name="aCol" localSheetId="4">'SurfaceList'!$B$12</definedName>
    <definedName name="aCol">'VerticesSyno'!$B$9</definedName>
    <definedName name="aEuler" localSheetId="13">'VertexCalc'!#REF!</definedName>
    <definedName name="aEuler" localSheetId="14">'VerticesSyno'!$O$2:$O$65536</definedName>
    <definedName name="aEuler">'Variables'!$B$52</definedName>
    <definedName name="Air">'Variables'!$B$115</definedName>
    <definedName name="Arm" localSheetId="16">'RayImpactsSyno'!$F$2:$F$65536</definedName>
    <definedName name="Arm" localSheetId="14">'VerticesSyno'!$E$2:$E$65536</definedName>
    <definedName name="Axe" localSheetId="5">'Apertures'!$B$50:$IV$50</definedName>
    <definedName name="Axe" localSheetId="9">'GutCalc'!$B$50:$IV$50</definedName>
    <definedName name="Axe" localSheetId="6">'GutRayImpacts'!$B$50:$IV$50</definedName>
    <definedName name="Axe" localSheetId="7">'Interfaces'!$B$50:$IV$50</definedName>
    <definedName name="Axe" localSheetId="15">'RayImpacts'!$G$50:$R$50</definedName>
    <definedName name="Axe" localSheetId="16">'RayImpactsSyno'!$H$50:$AI$50</definedName>
    <definedName name="Axe" localSheetId="8">'SurfDef'!$B$50:$IV$50</definedName>
    <definedName name="Axe" localSheetId="13">'VertexCalc'!$B$50:$IV$50</definedName>
    <definedName name="Axe" localSheetId="14">'VerticesSyno'!$B$50:$IV$50</definedName>
    <definedName name="Axe">'Variables'!$B$12</definedName>
    <definedName name="AxeSyno" localSheetId="15">'RayImpacts'!$G$53:$R$53</definedName>
    <definedName name="AxeSyno" localSheetId="13">'VertexCalc'!$B$51:$IV$51</definedName>
    <definedName name="AxeSyno">'Variables'!$B$13</definedName>
    <definedName name="bCol" localSheetId="12">'AperturesSyno'!$B$13</definedName>
    <definedName name="bCol" localSheetId="4">'SurfaceList'!$B$13</definedName>
    <definedName name="bCol">'VerticesSyno'!$B$10</definedName>
    <definedName name="bEuler" localSheetId="13">'VertexCalc'!#REF!</definedName>
    <definedName name="bEuler" localSheetId="14">'VerticesSyno'!$P$2:$P$65536</definedName>
    <definedName name="bEuler">'Variables'!$B$53</definedName>
    <definedName name="cCol" localSheetId="12">'AperturesSyno'!$B$14</definedName>
    <definedName name="cCol" localSheetId="4">'SurfaceList'!$B$14</definedName>
    <definedName name="cCol">'VerticesSyno'!$B$11</definedName>
    <definedName name="cEuler" localSheetId="13">'VertexCalc'!#REF!</definedName>
    <definedName name="cEuler" localSheetId="14">'VerticesSyno'!$Q$2:$Q$65536</definedName>
    <definedName name="cEuler">'Variables'!$B$54</definedName>
    <definedName name="Check">'Interfaces'!$X$2:$X$65536</definedName>
    <definedName name="CompName" localSheetId="12">'AperturesSyno'!$D$2:$D$65536</definedName>
    <definedName name="CompName" localSheetId="10">'CM3CentCalc'!$D$2:$D$65536</definedName>
    <definedName name="CompName" localSheetId="11">'CM5CentCalc'!$D$2:$D$65536</definedName>
    <definedName name="CompName" localSheetId="9">'GutCalc'!$D$2:$D$65536</definedName>
    <definedName name="CompName" localSheetId="6">'GutRayImpacts'!$D$2:$D$65536</definedName>
    <definedName name="CompName" localSheetId="7">'Interfaces'!$D$2:$D$65536</definedName>
    <definedName name="CompName" localSheetId="15">'RayImpacts'!$D$2:$D$65536</definedName>
    <definedName name="CompName" localSheetId="16">'RayImpactsSyno'!$D$2:$D$65536</definedName>
    <definedName name="CompName" localSheetId="4">'SurfaceList'!$D$2:$D$65536</definedName>
    <definedName name="CompName" localSheetId="8">'SurfDef'!$D$2:$D$65536</definedName>
    <definedName name="CompName" localSheetId="14">'VerticesSyno'!$D$2:$D$65536</definedName>
    <definedName name="CompName">'Variables'!$B$5</definedName>
    <definedName name="Csag" localSheetId="5">'Apertures'!$J$2:$J$65536</definedName>
    <definedName name="Csag">'Variables'!$B$108</definedName>
    <definedName name="Ctang" localSheetId="5">'Apertures'!$K$2:$K$65536</definedName>
    <definedName name="Ctang">'Variables'!$B$109</definedName>
    <definedName name="Description">'Variables'!$B$4:$B$65536</definedName>
    <definedName name="Dia" localSheetId="12">'AperturesSyno'!$J$2:$J$65536</definedName>
    <definedName name="Dia" localSheetId="4">'SurfaceList'!$J$2:$J$65536</definedName>
    <definedName name="Dia">'Variables'!$B$16</definedName>
    <definedName name="DiffMod" localSheetId="10">'CM3CentCalc'!$L$2:$L$65536</definedName>
    <definedName name="DiffMod" localSheetId="11">'CM5CentCalc'!$L$2:$L$65536</definedName>
    <definedName name="DiffMod" localSheetId="3">'Variables'!$B$100</definedName>
    <definedName name="DiffMod">'GutCalc'!$M$2:$M$65536</definedName>
    <definedName name="DowlDir" localSheetId="7">'Interfaces'!$G$2:$G$65536</definedName>
    <definedName name="DowlDir" localSheetId="8">'SurfDef'!$G$2:$G$65536</definedName>
    <definedName name="DowlDir">'Variables'!$B$33</definedName>
    <definedName name="DowlSep" localSheetId="7">'Interfaces'!$B$14</definedName>
    <definedName name="DowlSep" localSheetId="8">'SurfDef'!$B$12</definedName>
    <definedName name="DowlSep">'Variables'!$B$27</definedName>
    <definedName name="drayMod" localSheetId="10">'CM3CentCalc'!$S$2:$S$65536</definedName>
    <definedName name="drayMod" localSheetId="11">'CM5CentCalc'!$S$2:$S$65536</definedName>
    <definedName name="dRayMod" localSheetId="3">'Variables'!$B$107</definedName>
    <definedName name="drayMod">'GutCalc'!$T$2:$T$65536</definedName>
    <definedName name="dXray" localSheetId="10">'CM3CentCalc'!$P$2:$P$65536</definedName>
    <definedName name="dXray" localSheetId="11">'CM5CentCalc'!$P$2:$P$65536</definedName>
    <definedName name="dXray" localSheetId="3">'Variables'!$B$104</definedName>
    <definedName name="dXray">'GutCalc'!$Q$2:$Q$65536</definedName>
    <definedName name="dYray" localSheetId="10">'CM3CentCalc'!$Q$2:$Q$65536</definedName>
    <definedName name="dYray" localSheetId="11">'CM5CentCalc'!$Q$2:$Q$65536</definedName>
    <definedName name="dYray" localSheetId="3">'Variables'!$B$105</definedName>
    <definedName name="dYray">'GutCalc'!$R$2:$R$65536</definedName>
    <definedName name="dZray" localSheetId="10">'CM3CentCalc'!$R$2:$R$65536</definedName>
    <definedName name="dZray" localSheetId="11">'CM5CentCalc'!$R$2:$R$65536</definedName>
    <definedName name="dZray" localSheetId="3">'Variables'!$B$106</definedName>
    <definedName name="dZray">'GutCalc'!$S$2:$S$65536</definedName>
    <definedName name="EllipsX" localSheetId="12">'AperturesSyno'!$K$2:$K$65536</definedName>
    <definedName name="EllipsX" localSheetId="4">'SurfaceList'!$K$2:$K$65536</definedName>
    <definedName name="EllipsX">'Variables'!$B$17</definedName>
    <definedName name="EllipsY" localSheetId="12">'AperturesSyno'!$L$2:$L$65536</definedName>
    <definedName name="EllipsY" localSheetId="4">'SurfaceList'!$L$2:$L$65536</definedName>
    <definedName name="EllipsY">'Variables'!$B$18</definedName>
    <definedName name="Flag" localSheetId="5">'Apertures'!$F$2:$F$65536</definedName>
    <definedName name="Flag" localSheetId="12">'AperturesSyno'!$F$2:$F$65536</definedName>
    <definedName name="Flag" localSheetId="10">'CM3CentCalc'!$E$2:$E$65536</definedName>
    <definedName name="Flag" localSheetId="11">'CM5CentCalc'!$E$2:$E$65536</definedName>
    <definedName name="Flag" localSheetId="9">'GutCalc'!$F$2:$F$65536</definedName>
    <definedName name="Flag" localSheetId="6">'GutRayImpacts'!$F$2:$F$65536</definedName>
    <definedName name="Flag" localSheetId="7">'Interfaces'!$H$2:$H$65536</definedName>
    <definedName name="Flag" localSheetId="15">'RayImpacts'!$F$2:$F$65536</definedName>
    <definedName name="Flag" localSheetId="4">'SurfaceList'!$F$2:$F$65536</definedName>
    <definedName name="Flag" localSheetId="8">'SurfDef'!$H$2:$H$65536</definedName>
    <definedName name="Flag" localSheetId="13">'VertexCalc'!$F$2:$F$65536</definedName>
    <definedName name="Flag" localSheetId="14">'VerticesSyno'!$F$2:$F$65536</definedName>
    <definedName name="Flag">'Variables'!$B$7</definedName>
    <definedName name="ID" localSheetId="10">'CM3CentCalc'!$B$2</definedName>
    <definedName name="ID" localSheetId="11">'CM5CentCalc'!$B$2</definedName>
    <definedName name="ID" localSheetId="3">'Variables'!$B$2</definedName>
    <definedName name="ID" localSheetId="13">'VertexCalc'!$B$2</definedName>
    <definedName name="ID">'GutCalc'!$B$2</definedName>
    <definedName name="IndexCol" localSheetId="14">'VerticesSyno'!$B$17</definedName>
    <definedName name="IndexCol">'Variables'!$B$113</definedName>
    <definedName name="LeftHandCorr" localSheetId="7">'Interfaces'!$D$57</definedName>
    <definedName name="LeftHandCorr" localSheetId="8">'SurfDef'!$D$62</definedName>
    <definedName name="LeftHandCorr" localSheetId="13">'VertexCalc'!$B$40</definedName>
    <definedName name="LeftHandCorr">'Variables'!$B$30</definedName>
    <definedName name="Line" localSheetId="12">'AperturesSyno'!$H$2:$H$65536</definedName>
    <definedName name="Line" localSheetId="4">'SurfaceList'!$H$2:$H$65536</definedName>
    <definedName name="Line" localSheetId="3">'Variables'!$B$9</definedName>
    <definedName name="Line" localSheetId="14">'VerticesSyno'!$H$2:$H$65536</definedName>
    <definedName name="Line">'RayImpactsSyno'!$H$2:$H$65536</definedName>
    <definedName name="Line0" localSheetId="3">'Variables'!$B$85</definedName>
    <definedName name="Line0" localSheetId="14">'VerticesSyno'!$B$4</definedName>
    <definedName name="Line0">'RayImpactsSyno'!$B$7</definedName>
    <definedName name="Line0Phot" localSheetId="12">'AperturesSyno'!$B$4</definedName>
    <definedName name="Line0Phot" localSheetId="4">'SurfaceList'!$B$4</definedName>
    <definedName name="Line0Phot" localSheetId="14">'VerticesSyno'!$B$4</definedName>
    <definedName name="Line0Phot">'Variables'!$B$86</definedName>
    <definedName name="Line0Spec" localSheetId="12">'AperturesSyno'!$B$5</definedName>
    <definedName name="Line0Spec" localSheetId="4">'SurfaceList'!$B$5</definedName>
    <definedName name="Line0Spec" localSheetId="14">'VerticesSyno'!$B$5</definedName>
    <definedName name="Line0Spec">'Variables'!$B$87</definedName>
    <definedName name="Line0SpecLo" localSheetId="12">'AperturesSyno'!$B$6</definedName>
    <definedName name="Line0SpecLo" localSheetId="4">'SurfaceList'!$B$6</definedName>
    <definedName name="Line0SpecLo" localSheetId="14">'VerticesSyno'!#REF!</definedName>
    <definedName name="Line0SpecLo">'Variables'!#REF!</definedName>
    <definedName name="Line0SpecUp" localSheetId="12">'AperturesSyno'!$B$5</definedName>
    <definedName name="Line0SpecUp" localSheetId="4">'SurfaceList'!$B$5</definedName>
    <definedName name="Line0SpecUp" localSheetId="14">'VerticesSyno'!$B$5</definedName>
    <definedName name="Line0SpecUp">'Variables'!$B$87</definedName>
    <definedName name="ListLine" localSheetId="14">'VerticesSyno'!$I$2:$I$65536</definedName>
    <definedName name="ListLine">'Variables'!$B$114</definedName>
    <definedName name="ListLine0P" localSheetId="14">'VerticesSyno'!$B$15</definedName>
    <definedName name="ListLine0P">'Variables'!$B$111</definedName>
    <definedName name="ListLine0Phot" localSheetId="14">'VerticesSyno'!$B$15</definedName>
    <definedName name="ListLine0Phot">'Variables'!$B$111</definedName>
    <definedName name="ListLine0S" localSheetId="14">'VerticesSyno'!$B$16</definedName>
    <definedName name="ListLine0S">'Variables'!$B$112</definedName>
    <definedName name="ListLine0Spec" localSheetId="14">'VerticesSyno'!$B$16</definedName>
    <definedName name="ListLine0Spec">'Variables'!$B$112</definedName>
    <definedName name="Local" localSheetId="6">'GutRayImpacts'!$B$51:$IV$51</definedName>
    <definedName name="Local" localSheetId="8">'SurfDef'!$B$51:$IV$51</definedName>
    <definedName name="Local" localSheetId="13">'VertexCalc'!$B$52:$IV$52</definedName>
    <definedName name="Local">'Variables'!$B$14</definedName>
    <definedName name="Name">'Variables'!$B$1</definedName>
    <definedName name="NextIndex" localSheetId="13">'VertexCalc'!$N$2:$N$65536</definedName>
    <definedName name="NextIndex" localSheetId="14">'VerticesSyno'!$K$2:$K$65536</definedName>
    <definedName name="NextIndex">'Variables'!$B$110</definedName>
    <definedName name="NormDir" localSheetId="13">'VertexCalc'!$M$2:$M$65536</definedName>
    <definedName name="NormDir">'Variables'!$B$32</definedName>
    <definedName name="NormDirCorr" localSheetId="8">'SurfDef'!$D$63</definedName>
    <definedName name="NormDirCorr" localSheetId="13">'VertexCalc'!$B$41</definedName>
    <definedName name="NormDirCorr">'Variables'!$B$31</definedName>
    <definedName name="normDOTsag">'CM5CentCalc'!$AB$2:$AB$65536</definedName>
    <definedName name="OffsetX" localSheetId="12">'AperturesSyno'!$O$2:$O$65536</definedName>
    <definedName name="OffsetX" localSheetId="4">'SurfaceList'!$O$2:$O$65536</definedName>
    <definedName name="OffsetX">'Variables'!$B$21</definedName>
    <definedName name="OffsetY" localSheetId="12">'AperturesSyno'!$P$2:$P$65536</definedName>
    <definedName name="OffsetY" localSheetId="4">'SurfaceList'!$P$2:$P$65536</definedName>
    <definedName name="OffsetY">'Variables'!$B$22</definedName>
    <definedName name="Ray" localSheetId="10">'CM3CentCalc'!$B$5</definedName>
    <definedName name="Ray" localSheetId="11">'CM5CentCalc'!$B$5</definedName>
    <definedName name="Ray" localSheetId="9">'GutCalc'!$B$5</definedName>
    <definedName name="Ray" localSheetId="15">'RayImpacts'!$G$52:$R$52</definedName>
    <definedName name="Ray" localSheetId="16">'RayImpactsSyno'!$H$52:$AI$52</definedName>
    <definedName name="Ray">'Variables'!$B$10</definedName>
    <definedName name="RectX" localSheetId="12">'AperturesSyno'!$M$2:$M$65536</definedName>
    <definedName name="RectX" localSheetId="4">'SurfaceList'!$M$2:$M$65536</definedName>
    <definedName name="RectX">'Variables'!$B$19</definedName>
    <definedName name="RectY" localSheetId="12">'AperturesSyno'!$N$2:$N$65536</definedName>
    <definedName name="RectY" localSheetId="4">'SurfaceList'!$N$2:$N$65536</definedName>
    <definedName name="RectY">'Variables'!$B$20</definedName>
    <definedName name="SpigLength" localSheetId="7">'Interfaces'!$B$7</definedName>
    <definedName name="SpigLength" localSheetId="8">'SurfDef'!$B$7</definedName>
    <definedName name="SpigLength">'Variables'!$B$26</definedName>
    <definedName name="SurfNum" localSheetId="12">'AperturesSyno'!$G$2:$G$65536</definedName>
    <definedName name="SurfNum" localSheetId="4">'SurfaceList'!$G$2:$G$65536</definedName>
    <definedName name="SurfNum" localSheetId="3">'Variables'!$B$8</definedName>
    <definedName name="SurfNum" localSheetId="14">'VerticesSyno'!$G$2:$G$65536</definedName>
    <definedName name="SurfNum">'RayImpactsSyno'!$G$2:$G$65536</definedName>
    <definedName name="Syst" localSheetId="9">'GutCalc'!$B$51:$IV$51</definedName>
    <definedName name="Syst" localSheetId="15">'RayImpacts'!$G$51:$R$51</definedName>
    <definedName name="Syst" localSheetId="16">'RayImpactsSyno'!$H$51:$AI$51</definedName>
    <definedName name="Syst">'Variables'!$B$11</definedName>
    <definedName name="System" localSheetId="12">'AperturesSyno'!$E$2:$E$65536</definedName>
    <definedName name="System" localSheetId="9">'GutCalc'!$E$2:$E$65536</definedName>
    <definedName name="System" localSheetId="6">'GutRayImpacts'!$E$2:$E$65536</definedName>
    <definedName name="System" localSheetId="15">'RayImpacts'!$E$2:$E$65536</definedName>
    <definedName name="System" localSheetId="16">'RayImpactsSyno'!$E$2:$E$65536</definedName>
    <definedName name="System" localSheetId="4">'SurfaceList'!$E$2:$E$65536</definedName>
    <definedName name="System" localSheetId="14">'VerticesSyno'!$E$2:$E$65536</definedName>
    <definedName name="System">'Variables'!$B$6</definedName>
    <definedName name="System_Part">'RayImpactsSyno'!$C$2:$C$65536</definedName>
    <definedName name="SystemPart" localSheetId="12">'AperturesSyno'!$C$2:$C$65536</definedName>
    <definedName name="SystemPart" localSheetId="10">'CM3CentCalc'!$C$2:$C$65536</definedName>
    <definedName name="SystemPart" localSheetId="11">'CM5CentCalc'!$C$2:$C$65536</definedName>
    <definedName name="SystemPart" localSheetId="9">'GutCalc'!$C$2:$C$65536</definedName>
    <definedName name="SystemPart" localSheetId="6">'GutRayImpacts'!$C$2:$C$65536</definedName>
    <definedName name="SystemPart" localSheetId="7">'Interfaces'!$C$2:$C$65536</definedName>
    <definedName name="SystemPart" localSheetId="15">'RayImpacts'!$C$2:$C$65536</definedName>
    <definedName name="SystemPart" localSheetId="4">'SurfaceList'!$C$2:$C$65536</definedName>
    <definedName name="SystemPart" localSheetId="8">'SurfDef'!$C$2:$C$65536</definedName>
    <definedName name="SystemPart" localSheetId="14">'VerticesSyno'!$C$2:$C$65536</definedName>
    <definedName name="SystemPart">'Variables'!$B$4</definedName>
    <definedName name="Theta" localSheetId="11">'CM5CentCalc'!$W$2:$W$65536</definedName>
    <definedName name="Theta" localSheetId="3">'Variables'!$B$28</definedName>
    <definedName name="Theta">'CM3CentCalc'!$W$2:$W$65536</definedName>
    <definedName name="Thick" localSheetId="8">'SurfDef'!$B$8</definedName>
    <definedName name="Thick" localSheetId="3">'Variables'!$B$24</definedName>
    <definedName name="Thick">'Interfaces'!$B$10</definedName>
    <definedName name="Thin" localSheetId="8">'SurfDef'!$B$9</definedName>
    <definedName name="Thin" localSheetId="3">'Variables'!$B$25</definedName>
    <definedName name="Thin">'Interfaces'!$B$11</definedName>
    <definedName name="ThisCol" localSheetId="5">'Apertures'!$B$1:$IV$1</definedName>
    <definedName name="ThisCol" localSheetId="12">'AperturesSyno'!$B$1:$IV$1</definedName>
    <definedName name="ThisCol" localSheetId="9">'GutCalc'!$B$1:$IV$1</definedName>
    <definedName name="ThisCol" localSheetId="6">'GutRayImpacts'!$B$1:$IV$1</definedName>
    <definedName name="ThisCol" localSheetId="7">'Interfaces'!$B$1:$IV$1</definedName>
    <definedName name="ThisCol" localSheetId="15">'RayImpacts'!$B$1:$IV$1</definedName>
    <definedName name="ThisCol" localSheetId="16">'RayImpactsSyno'!$B$1:$IV$1</definedName>
    <definedName name="ThisCol" localSheetId="8">'SurfDef'!$B$1:$IV$1</definedName>
    <definedName name="ThisCol" localSheetId="13">'VertexCalc'!$B$1:$IV$1</definedName>
    <definedName name="ThisCol" localSheetId="14">'VerticesSyno'!$B$1:$IV$1</definedName>
    <definedName name="ThisCol">'Variables'!$B$3</definedName>
    <definedName name="ThMirr" localSheetId="7">'Interfaces'!$F$2:$F$65536</definedName>
    <definedName name="ThMirr" localSheetId="8">'SurfDef'!$F$2:$F$65536</definedName>
    <definedName name="ThMirr">'Variables'!$B$23</definedName>
    <definedName name="Type" localSheetId="5">'Apertures'!$G$2:$G$65536</definedName>
    <definedName name="Type" localSheetId="12">'AperturesSyno'!$I$2:$I$65536</definedName>
    <definedName name="Type" localSheetId="4">'SurfaceList'!$I$2:$I$65536</definedName>
    <definedName name="Type">'Variables'!$B$15</definedName>
    <definedName name="UpFlag" localSheetId="9">'GutCalc'!$X$2:$X$65536</definedName>
    <definedName name="UpFlag">'Variables'!$B$29</definedName>
    <definedName name="X0" localSheetId="15">'RayImpacts'!$B$10</definedName>
    <definedName name="X0" localSheetId="13">'VertexCalc'!$B$14</definedName>
    <definedName name="X0">'Variables'!$B$94</definedName>
    <definedName name="Xax">'Variables'!$B$55</definedName>
    <definedName name="xAxis" localSheetId="13">'VertexCalc'!$J$2:$J$65536</definedName>
    <definedName name="Xaxis">'Variables'!$B$55</definedName>
    <definedName name="XCM3Cent" localSheetId="10">'CM3CentCalc'!$F$2:$F$65536</definedName>
    <definedName name="XCM3Cent" localSheetId="15">'RayImpacts'!$M$2:$M$65536</definedName>
    <definedName name="XCM3Cent" localSheetId="16">'RayImpactsSyno'!$O$2:$O$65536</definedName>
    <definedName name="XCM3cent">'Variables'!$B$46</definedName>
    <definedName name="XCM5Cent" localSheetId="11">'CM5CentCalc'!$F$2:$F$65536</definedName>
    <definedName name="XCM5Cent" localSheetId="15">'RayImpacts'!$P$2:$P$65536</definedName>
    <definedName name="XCM5Cent" localSheetId="16">'RayImpactsSyno'!$R$2:$R$65536</definedName>
    <definedName name="XCM5cent">'Variables'!$B$49</definedName>
    <definedName name="Xcol" localSheetId="12">'AperturesSyno'!$B$9</definedName>
    <definedName name="Xcol" localSheetId="16">'RayImpactsSyno'!$B$9</definedName>
    <definedName name="Xcol" localSheetId="4">'SurfaceList'!$B$9</definedName>
    <definedName name="Xcol" localSheetId="14">'VerticesSyno'!$B$6</definedName>
    <definedName name="Xcol">'Variables'!$B$88</definedName>
    <definedName name="Xdiff" localSheetId="10">'CM3CentCalc'!$I$2:$I$65536</definedName>
    <definedName name="Xdiff" localSheetId="11">'CM5CentCalc'!$I$2:$I$65536</definedName>
    <definedName name="Xdiff" localSheetId="3">'Variables'!$B$97</definedName>
    <definedName name="Xdiff">'GutCalc'!$J$2:$J$65536</definedName>
    <definedName name="Xdowl" localSheetId="7">'Interfaces'!$U$2:$U$65536</definedName>
    <definedName name="Xdowl" localSheetId="8">'SurfDef'!$U$2:$U$65536</definedName>
    <definedName name="Xdowl">'Variables'!$B$82</definedName>
    <definedName name="Xfact" localSheetId="15">'RayImpacts'!$B$13</definedName>
    <definedName name="Xfact" localSheetId="18">'[1]Variables'!#REF!</definedName>
    <definedName name="Xfact" localSheetId="20">'[1]Variables'!#REF!</definedName>
    <definedName name="Xfact" localSheetId="13">'VertexCalc'!$B$17</definedName>
    <definedName name="Xfact">'Variables'!$B$91</definedName>
    <definedName name="Xgut" localSheetId="9">'GutCalc'!$G$2:$G$65536</definedName>
    <definedName name="Xgut" localSheetId="15">'RayImpacts'!$S$2:$S$65536</definedName>
    <definedName name="Xgut" localSheetId="16">'RayImpactsSyno'!$I$2:$I$65536</definedName>
    <definedName name="Xgut">'Variables'!$B$40</definedName>
    <definedName name="XGutPhot" localSheetId="16">'RayImpactsSyno'!$I$2:$I$65536</definedName>
    <definedName name="XgutPhot">'Variables'!$B$40</definedName>
    <definedName name="XGutSpec">'Variables'!$B$43</definedName>
    <definedName name="XGutSpecLo" localSheetId="16">'RayImpactsSyno'!#REF!</definedName>
    <definedName name="XGutSpecLo">'Variables'!#REF!</definedName>
    <definedName name="XGutSpecUp" localSheetId="16">'RayImpactsSyno'!$L$2:$L$65536</definedName>
    <definedName name="XGutSpecUp">'Variables'!$B$43</definedName>
    <definedName name="XM3Cent" localSheetId="10">'CM3CentCalc'!$F$2:$F$65536</definedName>
    <definedName name="XM3Cent" localSheetId="11">'CM5CentCalc'!$F$2:$F$65536</definedName>
    <definedName name="XM3Cent" localSheetId="15">'RayImpacts'!$M$2:$M$65536</definedName>
    <definedName name="XM3Cent" localSheetId="16">'RayImpactsSyno'!$O$2:$O$65536</definedName>
    <definedName name="XM3cent">'Variables'!$B$46</definedName>
    <definedName name="XM5Cent" localSheetId="11">'CM5CentCalc'!$F$2:$F$65536</definedName>
    <definedName name="XM5Cent" localSheetId="15">'RayImpacts'!$P$2:$P$65536</definedName>
    <definedName name="XM5Cent" localSheetId="16">'RayImpactsSyno'!$R$2:$R$65536</definedName>
    <definedName name="XM5cent">'Variables'!$B$49</definedName>
    <definedName name="Xmirr" localSheetId="7">'Interfaces'!$I$2:$I$65536</definedName>
    <definedName name="Xmirr" localSheetId="8">'SurfDef'!$I$2:$I$65536</definedName>
    <definedName name="Xmirr" localSheetId="13">'VertexCalc'!$G$2:$G$65536</definedName>
    <definedName name="Xmirr">'Variables'!$B$67</definedName>
    <definedName name="Xnorm" localSheetId="10">'CM3CentCalc'!$T$2:$T$65536</definedName>
    <definedName name="Xnorm" localSheetId="11">'CM5CentCalc'!$T$2:$T$65536</definedName>
    <definedName name="Xnorm" localSheetId="9">'GutCalc'!$U$2:$U$65536</definedName>
    <definedName name="Xnorm" localSheetId="7">'Interfaces'!$L$2:$L$65536</definedName>
    <definedName name="Xnorm" localSheetId="8">'SurfDef'!$L$2:$L$65536</definedName>
    <definedName name="Xnorm" localSheetId="13">'VertexCalc'!$P$2:$P$65536</definedName>
    <definedName name="xNorm" localSheetId="14">'VerticesSyno'!$R$2:$R$65536</definedName>
    <definedName name="Xnorm">'Variables'!$B$73</definedName>
    <definedName name="XnormP">'VertexCalc'!$J$2:$J$65536</definedName>
    <definedName name="XPhotGut" localSheetId="15">'RayImpacts'!$G$2:$G$65536</definedName>
    <definedName name="XPhotGut" localSheetId="16">'RayImpactsSyno'!$I$2:$I$65536</definedName>
    <definedName name="XPhotGut">'Variables'!$B$34</definedName>
    <definedName name="Xray" localSheetId="10">'CM3CentCalc'!$M$2:$M$65536</definedName>
    <definedName name="Xray" localSheetId="11">'CM5CentCalc'!$M$2:$M$65536</definedName>
    <definedName name="Xray" localSheetId="3">'Variables'!$B$101</definedName>
    <definedName name="Xray">'GutCalc'!$N$2:$N$65536</definedName>
    <definedName name="Xsag" localSheetId="10">'CM3CentCalc'!$Y$2:$Y$65536</definedName>
    <definedName name="Xsag" localSheetId="11">'CM5CentCalc'!$Y$2:$Y$65536</definedName>
    <definedName name="Xsag" localSheetId="7">'Interfaces'!$R$2:$R$65536</definedName>
    <definedName name="Xsag" localSheetId="8">'SurfDef'!$R$2:$R$65536</definedName>
    <definedName name="Xsag" localSheetId="13">'VertexCalc'!$S$2:$S$65536</definedName>
    <definedName name="xSag" localSheetId="14">'VerticesSyno'!$X$2:$X$65536</definedName>
    <definedName name="Xsag">'Variables'!$B$64</definedName>
    <definedName name="XsagM">'Variables'!$B$79</definedName>
    <definedName name="XSpecGut" localSheetId="15">'RayImpacts'!$J$2:$J$65536</definedName>
    <definedName name="XSpecGut" localSheetId="16">'RayImpactsSyno'!$L$2:$L$65536</definedName>
    <definedName name="XSpecGut">'Variables'!$B$37</definedName>
    <definedName name="XSpecLoGut" localSheetId="15">'RayImpacts'!#REF!</definedName>
    <definedName name="XSpecLoGut" localSheetId="16">'RayImpactsSyno'!#REF!</definedName>
    <definedName name="XSpecLoGut">'Variables'!#REF!</definedName>
    <definedName name="XSpecUpGut" localSheetId="15">'RayImpacts'!$J$2:$J$65536</definedName>
    <definedName name="XSpecUpGut" localSheetId="16">'RayImpactsSyno'!$L$2:$L$65536</definedName>
    <definedName name="XSpecUpGut">'Variables'!$B$37:$IV$37</definedName>
    <definedName name="Xspig" localSheetId="7">'Interfaces'!$O$2:$O$65536</definedName>
    <definedName name="Xspig" localSheetId="8">'SurfDef'!$O$2:$O$65536</definedName>
    <definedName name="Xspig">'Variables'!$B$76</definedName>
    <definedName name="Xspire" localSheetId="18">'[1]GutCalc'!#REF!</definedName>
    <definedName name="Xspire" localSheetId="20">'[1]GutCalc'!#REF!</definedName>
    <definedName name="Xspire">'GutCalc'!#REF!</definedName>
    <definedName name="Xsyn">'GutCalc'!$G$2:$G$65536</definedName>
    <definedName name="Xtang" localSheetId="13">'VertexCalc'!$V$2:$V$65536</definedName>
    <definedName name="xTang" localSheetId="14">'VerticesSyno'!$U$2:$U$65536</definedName>
    <definedName name="Xtang">'Variables'!$B$61</definedName>
    <definedName name="Xvert" localSheetId="18">'[1]Variables'!#REF!</definedName>
    <definedName name="Xvert" localSheetId="20">'[1]Variables'!#REF!</definedName>
    <definedName name="Xvert" localSheetId="14">'VerticesSyno'!$L$2:$L$65536</definedName>
    <definedName name="Xvert">'Variables'!#REF!</definedName>
    <definedName name="Xvertex" localSheetId="18">'[1]Variables'!#REF!</definedName>
    <definedName name="Xvertex" localSheetId="20">'[1]Variables'!#REF!</definedName>
    <definedName name="Xvertex" localSheetId="13">'VertexCalc'!$G$2:$G$65536</definedName>
    <definedName name="Xvertex">'Variables'!$B$58</definedName>
    <definedName name="Y0" localSheetId="15">'RayImpacts'!$B$11</definedName>
    <definedName name="Y0" localSheetId="13">'VertexCalc'!$B$15</definedName>
    <definedName name="Y0">'Variables'!$B$95</definedName>
    <definedName name="Yax">'Variables'!$B$56</definedName>
    <definedName name="yAxis" localSheetId="13">'VertexCalc'!$K$2:$K$65536</definedName>
    <definedName name="Yaxis">'Variables'!$B$56</definedName>
    <definedName name="YCM3Cent" localSheetId="10">'CM3CentCalc'!$G$2:$G$65536</definedName>
    <definedName name="YCM3Cent" localSheetId="15">'RayImpacts'!$N$2:$N$65536</definedName>
    <definedName name="YCM3Cent" localSheetId="16">'RayImpactsSyno'!$P$2:$P$65536</definedName>
    <definedName name="YCM3cent">'Variables'!$B$47</definedName>
    <definedName name="YCM5Cent" localSheetId="11">'CM5CentCalc'!$G$2:$G$65536</definedName>
    <definedName name="YCM5Cent" localSheetId="15">'RayImpacts'!$Q$2:$Q$65536</definedName>
    <definedName name="YCM5Cent" localSheetId="16">'RayImpactsSyno'!$S$2:$S$65536</definedName>
    <definedName name="YCM5cent">'Variables'!$B$50</definedName>
    <definedName name="Ycol" localSheetId="12">'AperturesSyno'!$B$10</definedName>
    <definedName name="Ycol" localSheetId="16">'RayImpactsSyno'!$B$10</definedName>
    <definedName name="Ycol" localSheetId="4">'SurfaceList'!$B$10</definedName>
    <definedName name="Ycol" localSheetId="14">'VerticesSyno'!$B$7</definedName>
    <definedName name="Ycol">'Variables'!$B$89</definedName>
    <definedName name="Ydiff" localSheetId="10">'CM3CentCalc'!$J$2:$J$65536</definedName>
    <definedName name="Ydiff" localSheetId="11">'CM5CentCalc'!$J$2:$J$65536</definedName>
    <definedName name="Ydiff" localSheetId="3">'Variables'!$B$98</definedName>
    <definedName name="Ydiff">'GutCalc'!$K$2:$K$65536</definedName>
    <definedName name="Ydowl" localSheetId="7">'Interfaces'!$V$2:$V$65536</definedName>
    <definedName name="Ydowl" localSheetId="8">'SurfDef'!$V$2:$V$65536</definedName>
    <definedName name="Ydowl">'Variables'!$B$83</definedName>
    <definedName name="Yfact" localSheetId="15">'RayImpacts'!$B$14</definedName>
    <definedName name="Yfact" localSheetId="18">'[1]Variables'!#REF!</definedName>
    <definedName name="Yfact" localSheetId="20">'[1]Variables'!#REF!</definedName>
    <definedName name="Yfact" localSheetId="13">'VertexCalc'!$B$18</definedName>
    <definedName name="Yfact">'Variables'!$B$92</definedName>
    <definedName name="Ygut" localSheetId="9">'GutCalc'!$H$2:$H$65536</definedName>
    <definedName name="Ygut" localSheetId="15">'RayImpacts'!$T$2:$T$65536</definedName>
    <definedName name="Ygut" localSheetId="16">'RayImpactsSyno'!$J$2:$J$65536</definedName>
    <definedName name="Ygut">'Variables'!$B$41</definedName>
    <definedName name="YGutPhot" localSheetId="16">'RayImpactsSyno'!$J$2:$J$65536</definedName>
    <definedName name="YgutPhot">'Variables'!$B$41</definedName>
    <definedName name="YGutSpec">'Variables'!$B$44</definedName>
    <definedName name="YGutSpecLo" localSheetId="16">'RayImpactsSyno'!#REF!</definedName>
    <definedName name="YGutSpecLo">'Variables'!#REF!</definedName>
    <definedName name="YGutSpecUp" localSheetId="16">'RayImpactsSyno'!$M$2:$M$65536</definedName>
    <definedName name="YGutSpecUp">'Variables'!$B$44</definedName>
    <definedName name="YM3Cent" localSheetId="10">'CM3CentCalc'!$G$2:$G$65536</definedName>
    <definedName name="YM3Cent" localSheetId="11">'CM5CentCalc'!$G$2:$G$65536</definedName>
    <definedName name="YM3Cent" localSheetId="15">'RayImpacts'!$N$2:$N$65536</definedName>
    <definedName name="YM3Cent" localSheetId="16">'RayImpactsSyno'!$P$2:$P$65536</definedName>
    <definedName name="YM3cent">'Variables'!$B$47</definedName>
    <definedName name="YM5Cent" localSheetId="11">'CM5CentCalc'!$G$2:$G$65536</definedName>
    <definedName name="YM5Cent" localSheetId="15">'RayImpacts'!$Q$2:$Q$65536</definedName>
    <definedName name="YM5Cent" localSheetId="16">'RayImpactsSyno'!$S$2:$S$65536</definedName>
    <definedName name="YM5cent">'Variables'!$B$50</definedName>
    <definedName name="Ymirr" localSheetId="7">'Interfaces'!$J$2:$J$65536</definedName>
    <definedName name="Ymirr" localSheetId="8">'SurfDef'!$J$2:$J$65536</definedName>
    <definedName name="Ymirr" localSheetId="13">'VertexCalc'!$H$2:$H$65536</definedName>
    <definedName name="Ymirr">'Variables'!$B$68</definedName>
    <definedName name="Ynorm" localSheetId="10">'CM3CentCalc'!$U$2:$U$65536</definedName>
    <definedName name="Ynorm" localSheetId="11">'CM5CentCalc'!$U$2:$U$65536</definedName>
    <definedName name="Ynorm" localSheetId="9">'GutCalc'!$V$2:$V$65536</definedName>
    <definedName name="Ynorm" localSheetId="7">'Interfaces'!$M$2:$M$65536</definedName>
    <definedName name="Ynorm" localSheetId="8">'SurfDef'!$M$2:$M$65536</definedName>
    <definedName name="Ynorm" localSheetId="13">'VertexCalc'!$Q$2:$Q$65536</definedName>
    <definedName name="yNorm" localSheetId="14">'VerticesSyno'!$S$2:$S$65536</definedName>
    <definedName name="Ynorm">'Variables'!$B$74</definedName>
    <definedName name="YnormP">'VertexCalc'!$K$2:$K$65536</definedName>
    <definedName name="YPhotGut" localSheetId="15">'RayImpacts'!$H$2:$H$65536</definedName>
    <definedName name="YPhotGut" localSheetId="16">'RayImpactsSyno'!$J$2:$J$65536</definedName>
    <definedName name="YPhotGut">'Variables'!$B$35</definedName>
    <definedName name="Yray" localSheetId="10">'CM3CentCalc'!$N$2:$N$65536</definedName>
    <definedName name="Yray" localSheetId="11">'CM5CentCalc'!$N$2:$N$65536</definedName>
    <definedName name="Yray" localSheetId="3">'Variables'!$B$102</definedName>
    <definedName name="Yray">'GutCalc'!$O$2:$O$65536</definedName>
    <definedName name="Ysag" localSheetId="10">'CM3CentCalc'!$Z$2:$Z$65536</definedName>
    <definedName name="Ysag" localSheetId="11">'CM5CentCalc'!$Z$2:$Z$65536</definedName>
    <definedName name="Ysag" localSheetId="7">'Interfaces'!$S$2:$S$65536</definedName>
    <definedName name="Ysag" localSheetId="8">'SurfDef'!$S$2:$S$65536</definedName>
    <definedName name="Ysag" localSheetId="13">'VertexCalc'!$T$2:$T$65536</definedName>
    <definedName name="ySag" localSheetId="14">'VerticesSyno'!$Y$2:$Y$65536</definedName>
    <definedName name="Ysag">'Variables'!$B$65</definedName>
    <definedName name="YsagM">'Variables'!$B$80</definedName>
    <definedName name="YSpecGut" localSheetId="15">'RayImpacts'!$K$2:$K$65536</definedName>
    <definedName name="YSpecGut" localSheetId="16">'RayImpactsSyno'!$M$2:$M$65536</definedName>
    <definedName name="YSpecGut">'Variables'!$B$38</definedName>
    <definedName name="YSpecLoGut" localSheetId="15">'RayImpacts'!#REF!</definedName>
    <definedName name="YSpecLoGut" localSheetId="16">'RayImpactsSyno'!#REF!</definedName>
    <definedName name="YSpecLoGut">'Variables'!#REF!</definedName>
    <definedName name="YSpecUpGut" localSheetId="15">'RayImpacts'!$K$2:$K$65536</definedName>
    <definedName name="YSpecUpGut" localSheetId="16">'RayImpactsSyno'!$M$2:$M$65536</definedName>
    <definedName name="YSpecUpGut">'Variables'!$B$38:$IV$38</definedName>
    <definedName name="Yspig" localSheetId="7">'Interfaces'!$P$2:$P$65536</definedName>
    <definedName name="Yspig" localSheetId="8">'SurfDef'!$P$2:$P$65536</definedName>
    <definedName name="Yspig">'Variables'!$B$77</definedName>
    <definedName name="Yspire" localSheetId="18">'[1]GutCalc'!#REF!</definedName>
    <definedName name="Yspire" localSheetId="20">'[1]GutCalc'!#REF!</definedName>
    <definedName name="Yspire">'GutCalc'!#REF!</definedName>
    <definedName name="Ysyn">'GutCalc'!$H$2:$H$65536</definedName>
    <definedName name="Ytang" localSheetId="13">'VertexCalc'!$W$2:$W$65536</definedName>
    <definedName name="yTang" localSheetId="14">'VerticesSyno'!$V$2:$V$65536</definedName>
    <definedName name="Ytang">'Variables'!$B$62</definedName>
    <definedName name="Yvert" localSheetId="18">'[1]Variables'!#REF!</definedName>
    <definedName name="Yvert" localSheetId="20">'[1]Variables'!#REF!</definedName>
    <definedName name="Yvert" localSheetId="14">'VerticesSyno'!$M$2:$M$65536</definedName>
    <definedName name="Yvert">'Variables'!#REF!</definedName>
    <definedName name="Yvertex" localSheetId="18">'[1]Variables'!#REF!</definedName>
    <definedName name="Yvertex" localSheetId="20">'[1]Variables'!#REF!</definedName>
    <definedName name="Yvertex" localSheetId="13">'VertexCalc'!$H$2:$H$65536</definedName>
    <definedName name="Yvertex">'Variables'!$B$59</definedName>
    <definedName name="Z0" localSheetId="15">'RayImpacts'!$B$12</definedName>
    <definedName name="Z0" localSheetId="13">'VertexCalc'!$B$16</definedName>
    <definedName name="Z0">'Variables'!$B$96</definedName>
    <definedName name="Zax">'Variables'!$B$57</definedName>
    <definedName name="zAxis" localSheetId="13">'VertexCalc'!$L$2:$L$65536</definedName>
    <definedName name="Zaxis">'Variables'!$B$57</definedName>
    <definedName name="ZCM3Cent" localSheetId="10">'CM3CentCalc'!$H$2:$H$65536</definedName>
    <definedName name="ZCM3Cent" localSheetId="15">'RayImpacts'!$O$2:$O$65536</definedName>
    <definedName name="ZCM3Cent" localSheetId="16">'RayImpactsSyno'!$Q$2:$Q$65536</definedName>
    <definedName name="ZCM3cent">'Variables'!$B$48</definedName>
    <definedName name="ZCM5Cent" localSheetId="11">'CM5CentCalc'!$H$2:$H$65536</definedName>
    <definedName name="ZCM5Cent" localSheetId="15">'RayImpacts'!$R$2:$R$65536</definedName>
    <definedName name="ZCM5Cent" localSheetId="16">'RayImpactsSyno'!$T$2:$T$65536</definedName>
    <definedName name="ZCM5cent">'Variables'!$B$51</definedName>
    <definedName name="Zcol" localSheetId="12">'AperturesSyno'!$B$11</definedName>
    <definedName name="Zcol" localSheetId="16">'RayImpactsSyno'!$B$11</definedName>
    <definedName name="Zcol" localSheetId="4">'SurfaceList'!$B$11</definedName>
    <definedName name="Zcol" localSheetId="14">'VerticesSyno'!$B$8</definedName>
    <definedName name="Zcol">'Variables'!$B$90</definedName>
    <definedName name="Zdiff" localSheetId="10">'CM3CentCalc'!$K$2:$K$65536</definedName>
    <definedName name="Zdiff" localSheetId="11">'CM5CentCalc'!$K$2:$K$65536</definedName>
    <definedName name="Zdiff" localSheetId="3">'Variables'!$B$99</definedName>
    <definedName name="Zdiff">'GutCalc'!$L$2:$L$65536</definedName>
    <definedName name="Zdowl" localSheetId="7">'Interfaces'!$W$2:$W$65536</definedName>
    <definedName name="Zdowl" localSheetId="8">'SurfDef'!$W$2:$W$65536</definedName>
    <definedName name="Zdowl">'Variables'!$B$84</definedName>
    <definedName name="Zfact" localSheetId="15">'RayImpacts'!$B$15</definedName>
    <definedName name="Zfact" localSheetId="18">'[1]Variables'!#REF!</definedName>
    <definedName name="Zfact" localSheetId="20">'[1]Variables'!#REF!</definedName>
    <definedName name="Zfact" localSheetId="13">'VertexCalc'!$B$19</definedName>
    <definedName name="Zfact">'Variables'!$B$93</definedName>
    <definedName name="Zgut" localSheetId="9">'GutCalc'!$I$2:$I$65536</definedName>
    <definedName name="Zgut" localSheetId="15">'RayImpacts'!$U$2:$U$65536</definedName>
    <definedName name="Zgut" localSheetId="16">'RayImpactsSyno'!$K$2:$K$65536</definedName>
    <definedName name="Zgut">'Variables'!$B$42</definedName>
    <definedName name="ZGutPhot" localSheetId="16">'RayImpactsSyno'!$K$2:$K$65536</definedName>
    <definedName name="ZgutPhot">'Variables'!$B$42</definedName>
    <definedName name="ZGutSpec">'Variables'!$B$45</definedName>
    <definedName name="ZGutSpecLo" localSheetId="16">'RayImpactsSyno'!#REF!</definedName>
    <definedName name="ZGutSpecLo">'Variables'!#REF!</definedName>
    <definedName name="ZGutSpecUp" localSheetId="16">'RayImpactsSyno'!$N$2:$N$65536</definedName>
    <definedName name="ZGutSpecUp">'Variables'!$B$45</definedName>
    <definedName name="ZM3Cent" localSheetId="10">'CM3CentCalc'!$H$2:$H$65536</definedName>
    <definedName name="ZM3Cent" localSheetId="11">'CM5CentCalc'!$H$2:$H$65536</definedName>
    <definedName name="ZM3Cent" localSheetId="15">'RayImpacts'!$O$2:$O$65536</definedName>
    <definedName name="ZM3Cent" localSheetId="16">'RayImpactsSyno'!$Q$2:$Q$65536</definedName>
    <definedName name="ZM3cent">'Variables'!$B$48</definedName>
    <definedName name="ZM5Cent" localSheetId="11">'CM5CentCalc'!$H$2:$H$65536</definedName>
    <definedName name="ZM5Cent" localSheetId="15">'RayImpacts'!$R$2:$R$65536</definedName>
    <definedName name="ZM5Cent" localSheetId="16">'RayImpactsSyno'!$T$2:$T$65536</definedName>
    <definedName name="ZM5cent">'Variables'!$B$51</definedName>
    <definedName name="Zmirr" localSheetId="7">'Interfaces'!$K$2:$K$65536</definedName>
    <definedName name="Zmirr" localSheetId="8">'SurfDef'!$K$2:$K$65536</definedName>
    <definedName name="Zmirr" localSheetId="13">'VertexCalc'!$I$2:$I$65536</definedName>
    <definedName name="Zmirr">'Variables'!$B$69</definedName>
    <definedName name="Znorm" localSheetId="10">'CM3CentCalc'!$V$2:$V$65536</definedName>
    <definedName name="Znorm" localSheetId="11">'CM5CentCalc'!$V$2:$V$65536</definedName>
    <definedName name="Znorm" localSheetId="9">'GutCalc'!$W$2:$W$65536</definedName>
    <definedName name="Znorm" localSheetId="7">'Interfaces'!$N$2:$N$65536</definedName>
    <definedName name="Znorm" localSheetId="8">'SurfDef'!$N$2:$N$65536</definedName>
    <definedName name="Znorm" localSheetId="13">'VertexCalc'!$R$2:$R$65536</definedName>
    <definedName name="zNorm" localSheetId="14">'VerticesSyno'!$T$2:$T$65536</definedName>
    <definedName name="Znorm">'Variables'!$B$75</definedName>
    <definedName name="ZnormP">'VertexCalc'!$L$2:$L$65536</definedName>
    <definedName name="ZPhotGut" localSheetId="15">'RayImpacts'!$I$2:$I$65536</definedName>
    <definedName name="ZPhotGut" localSheetId="16">'RayImpactsSyno'!$K$2:$K$65536</definedName>
    <definedName name="ZPhotGut">'Variables'!$B$36</definedName>
    <definedName name="Zray" localSheetId="10">'CM3CentCalc'!$O$2:$O$65536</definedName>
    <definedName name="Zray" localSheetId="11">'CM5CentCalc'!$O$2:$O$65536</definedName>
    <definedName name="Zray" localSheetId="3">'Variables'!$B$103</definedName>
    <definedName name="Zray">'GutCalc'!$P$2:$P$65536</definedName>
    <definedName name="zSag" localSheetId="10">'CM3CentCalc'!$AA$2:$AA$65536</definedName>
    <definedName name="Zsag" localSheetId="11">'CM5CentCalc'!$AA$2:$AA$65536</definedName>
    <definedName name="Zsag" localSheetId="7">'Interfaces'!$T$2:$T$65536</definedName>
    <definedName name="Zsag" localSheetId="8">'SurfDef'!$T$2:$T$65536</definedName>
    <definedName name="Zsag" localSheetId="13">'VertexCalc'!$U$2:$U$65536</definedName>
    <definedName name="zSag" localSheetId="14">'VerticesSyno'!$Z$2:$Z$65536</definedName>
    <definedName name="Zsag">'Variables'!$B$66</definedName>
    <definedName name="ZsagM">'Variables'!$B$81</definedName>
    <definedName name="ZSpecGut" localSheetId="15">'RayImpacts'!$L$2:$L$65536</definedName>
    <definedName name="ZSpecGut" localSheetId="16">'RayImpactsSyno'!$N$2:$N$65536</definedName>
    <definedName name="ZSpecGut">'Variables'!$B$39</definedName>
    <definedName name="ZSpecLoGut" localSheetId="15">'RayImpacts'!#REF!</definedName>
    <definedName name="ZSpecLoGut" localSheetId="16">'RayImpactsSyno'!#REF!</definedName>
    <definedName name="ZSpecLoGut">'Variables'!#REF!</definedName>
    <definedName name="ZSpecUpGut" localSheetId="15">'RayImpacts'!$L$2:$L$65536</definedName>
    <definedName name="ZSpecUpGut" localSheetId="16">'RayImpactsSyno'!$N$2:$N$65536</definedName>
    <definedName name="ZSpecUpGut">'Variables'!$B$39:$IV$39</definedName>
    <definedName name="Zspig" localSheetId="7">'Interfaces'!$Q$2:$Q$65536</definedName>
    <definedName name="Zspig" localSheetId="8">'SurfDef'!$Q$2:$Q$65536</definedName>
    <definedName name="Zspig">'Variables'!$B$78</definedName>
    <definedName name="Zspire" localSheetId="18">'[1]GutCalc'!#REF!</definedName>
    <definedName name="Zspire" localSheetId="20">'[1]GutCalc'!#REF!</definedName>
    <definedName name="Zspire">'GutCalc'!#REF!</definedName>
    <definedName name="Zsyn">'GutCalc'!$I$2:$I$65536</definedName>
    <definedName name="Ztang" localSheetId="13">'VertexCalc'!$X$2:$X$65536</definedName>
    <definedName name="zTang" localSheetId="14">'VerticesSyno'!$W$2:$W$65536</definedName>
    <definedName name="Ztang">'Variables'!$B$63</definedName>
    <definedName name="Zvert" localSheetId="18">'[1]Variables'!#REF!</definedName>
    <definedName name="Zvert" localSheetId="20">'[1]Variables'!#REF!</definedName>
    <definedName name="Zvert" localSheetId="14">'VerticesSyno'!$N$2:$N$65536</definedName>
    <definedName name="Zvert">'Variables'!#REF!</definedName>
    <definedName name="Zvertex" localSheetId="18">'[1]Variables'!#REF!</definedName>
    <definedName name="Zvertex" localSheetId="20">'[1]Variables'!#REF!</definedName>
    <definedName name="Zvertex" localSheetId="13">'VertexCalc'!$I$2:$I$65536</definedName>
    <definedName name="Zvertex">'Variables'!$B$60</definedName>
  </definedNames>
  <calcPr fullCalcOnLoad="1"/>
</workbook>
</file>

<file path=xl/sharedStrings.xml><?xml version="1.0" encoding="utf-8"?>
<sst xmlns="http://schemas.openxmlformats.org/spreadsheetml/2006/main" count="3929" uniqueCount="675">
  <si>
    <t>Name</t>
  </si>
  <si>
    <t>Description</t>
  </si>
  <si>
    <t>CompName</t>
  </si>
  <si>
    <t>Ray</t>
  </si>
  <si>
    <t>Xvert</t>
  </si>
  <si>
    <t>Yvert</t>
  </si>
  <si>
    <t>Zvert</t>
  </si>
  <si>
    <t>Gut ray impact coordinates</t>
  </si>
  <si>
    <t>Xspig</t>
  </si>
  <si>
    <t>Yspig</t>
  </si>
  <si>
    <t>Zspig</t>
  </si>
  <si>
    <t>Xnorm</t>
  </si>
  <si>
    <t>Ynorm</t>
  </si>
  <si>
    <t>Znorm</t>
  </si>
  <si>
    <t>X</t>
  </si>
  <si>
    <t>Xmirr</t>
  </si>
  <si>
    <t>Ymirr</t>
  </si>
  <si>
    <t>Zmirr</t>
  </si>
  <si>
    <t>Xsag</t>
  </si>
  <si>
    <t>Ysag</t>
  </si>
  <si>
    <t>Zsag</t>
  </si>
  <si>
    <t>Xdowl</t>
  </si>
  <si>
    <t>Ydowl</t>
  </si>
  <si>
    <t>Zdowl</t>
  </si>
  <si>
    <t>Mirror normal vector (spigot vector)</t>
  </si>
  <si>
    <t>Point along spigot vector</t>
  </si>
  <si>
    <t>Mirror sagittal vector (pointing towards dowl)</t>
  </si>
  <si>
    <t>Point in direction of dowl</t>
  </si>
  <si>
    <t>---</t>
  </si>
  <si>
    <t>ID?</t>
  </si>
  <si>
    <t>The</t>
  </si>
  <si>
    <t>current</t>
  </si>
  <si>
    <t>lens</t>
  </si>
  <si>
    <t>ID</t>
  </si>
  <si>
    <t>is:</t>
  </si>
  <si>
    <t>SPIRE</t>
  </si>
  <si>
    <t>PHOT</t>
  </si>
  <si>
    <t>TIME</t>
  </si>
  <si>
    <t>GRAY</t>
  </si>
  <si>
    <t>SURF</t>
  </si>
  <si>
    <t>Z1</t>
  </si>
  <si>
    <t>GLOBAL</t>
  </si>
  <si>
    <t>RAYTRACE</t>
  </si>
  <si>
    <t>ANALYSIS</t>
  </si>
  <si>
    <t>RAY</t>
  </si>
  <si>
    <t>DATA</t>
  </si>
  <si>
    <t>IN</t>
  </si>
  <si>
    <t>COORDINATE</t>
  </si>
  <si>
    <t>SYSTEM</t>
  </si>
  <si>
    <t>OF</t>
  </si>
  <si>
    <t>SURFACE</t>
  </si>
  <si>
    <t>NO.</t>
  </si>
  <si>
    <t>FRACT.</t>
  </si>
  <si>
    <t>OBJECT</t>
  </si>
  <si>
    <t>HEIGHT</t>
  </si>
  <si>
    <t>HBAR</t>
  </si>
  <si>
    <t>GBAR</t>
  </si>
  <si>
    <t>ENTRANCE</t>
  </si>
  <si>
    <t>PUPIL</t>
  </si>
  <si>
    <t>COORD.</t>
  </si>
  <si>
    <t>YEN</t>
  </si>
  <si>
    <t>XEN</t>
  </si>
  <si>
    <t>COLOR</t>
  </si>
  <si>
    <t>NUMBER</t>
  </si>
  <si>
    <t>VECTORS</t>
  </si>
  <si>
    <t>(X</t>
  </si>
  <si>
    <t>DIR</t>
  </si>
  <si>
    <t>TAN)</t>
  </si>
  <si>
    <t>(Y</t>
  </si>
  <si>
    <t>Y</t>
  </si>
  <si>
    <t>Z</t>
  </si>
  <si>
    <t>ZZ</t>
  </si>
  <si>
    <t>HH</t>
  </si>
  <si>
    <t>__________________________________________________________________________</t>
  </si>
  <si>
    <t>POF</t>
  </si>
  <si>
    <t>C</t>
  </si>
  <si>
    <t>Z2</t>
  </si>
  <si>
    <t>Z3</t>
  </si>
  <si>
    <t>SurfNum</t>
  </si>
  <si>
    <t>Line</t>
  </si>
  <si>
    <t>Dummy</t>
  </si>
  <si>
    <t>M1</t>
  </si>
  <si>
    <t>M2</t>
  </si>
  <si>
    <t>CFP</t>
  </si>
  <si>
    <t>CM3</t>
  </si>
  <si>
    <t>Line0</t>
  </si>
  <si>
    <t>CM4</t>
  </si>
  <si>
    <t>CM5</t>
  </si>
  <si>
    <t>Xcol</t>
  </si>
  <si>
    <t>c</t>
  </si>
  <si>
    <t>PM6</t>
  </si>
  <si>
    <t>Ycol</t>
  </si>
  <si>
    <t>d</t>
  </si>
  <si>
    <t>PM7</t>
  </si>
  <si>
    <t>Zcol</t>
  </si>
  <si>
    <t>e</t>
  </si>
  <si>
    <t>PM8</t>
  </si>
  <si>
    <t>PCS</t>
  </si>
  <si>
    <t>PM9</t>
  </si>
  <si>
    <t>X0</t>
  </si>
  <si>
    <t>PDIC1</t>
  </si>
  <si>
    <t>Y0</t>
  </si>
  <si>
    <t>PM10</t>
  </si>
  <si>
    <t>Z0</t>
  </si>
  <si>
    <t>PSW</t>
  </si>
  <si>
    <t>PDIC2</t>
  </si>
  <si>
    <t>PMW</t>
  </si>
  <si>
    <t>PM11</t>
  </si>
  <si>
    <t>PLW</t>
  </si>
  <si>
    <t>Telescope</t>
  </si>
  <si>
    <t>Common optics</t>
  </si>
  <si>
    <t>Photometer optics</t>
  </si>
  <si>
    <t>Short wave</t>
  </si>
  <si>
    <t>Medium wave</t>
  </si>
  <si>
    <t>Long wave</t>
  </si>
  <si>
    <t>Ignore</t>
  </si>
  <si>
    <t>SystemPart</t>
  </si>
  <si>
    <t>Tow. tel</t>
  </si>
  <si>
    <t>Tow. Spectro</t>
  </si>
  <si>
    <t>Tow. PAX</t>
  </si>
  <si>
    <t>Xsyno</t>
  </si>
  <si>
    <t>Ysyno</t>
  </si>
  <si>
    <t>SPIRE coordinates</t>
  </si>
  <si>
    <t>where:</t>
  </si>
  <si>
    <t>Axis directions:</t>
  </si>
  <si>
    <t>Xdiff</t>
  </si>
  <si>
    <t>Ydiff</t>
  </si>
  <si>
    <t>Zdiff</t>
  </si>
  <si>
    <t>DiffMod</t>
  </si>
  <si>
    <t>Xray</t>
  </si>
  <si>
    <t>Yray</t>
  </si>
  <si>
    <t>Zray</t>
  </si>
  <si>
    <t>dXray</t>
  </si>
  <si>
    <t>dYray</t>
  </si>
  <si>
    <t>dZray</t>
  </si>
  <si>
    <t>drayMod</t>
  </si>
  <si>
    <t>Gut</t>
  </si>
  <si>
    <t>dRayMod</t>
  </si>
  <si>
    <t>Line of first surface in listing</t>
  </si>
  <si>
    <t>Column of each coordinate in listing</t>
  </si>
  <si>
    <t>Offset of SPIRE origin with respect to Synopsys origin</t>
  </si>
  <si>
    <t>Difference between ray impact coordinates</t>
  </si>
  <si>
    <t>Modulo of difference vector</t>
  </si>
  <si>
    <t>Unit ray vector</t>
  </si>
  <si>
    <t>Difference between unit ray vectors</t>
  </si>
  <si>
    <t>Flag</t>
  </si>
  <si>
    <t>Hole</t>
  </si>
  <si>
    <t>Det</t>
  </si>
  <si>
    <t>!GRAY</t>
  </si>
  <si>
    <t>SPEC</t>
  </si>
  <si>
    <t>GLOB</t>
  </si>
  <si>
    <t>LENS</t>
  </si>
  <si>
    <t>SPECIFICATIONS:</t>
  </si>
  <si>
    <t>SPECIFICATIONS</t>
  </si>
  <si>
    <t>______________________________________________________________________________</t>
  </si>
  <si>
    <t>DISTANCE</t>
  </si>
  <si>
    <t>(TH0)</t>
  </si>
  <si>
    <t>INFINITE</t>
  </si>
  <si>
    <t>FOCAL</t>
  </si>
  <si>
    <t>LENGTH</t>
  </si>
  <si>
    <t>(FOCL)</t>
  </si>
  <si>
    <t>(YPP0)</t>
  </si>
  <si>
    <t>BACK</t>
  </si>
  <si>
    <t>MARG</t>
  </si>
  <si>
    <t>(YMP1)</t>
  </si>
  <si>
    <t>IMAGE</t>
  </si>
  <si>
    <t>(BACK)</t>
  </si>
  <si>
    <t>ANGLE</t>
  </si>
  <si>
    <t>(UMP0)</t>
  </si>
  <si>
    <t>CELL</t>
  </si>
  <si>
    <t>(TOTL)</t>
  </si>
  <si>
    <t>CHIEF</t>
  </si>
  <si>
    <t>(YPP1)</t>
  </si>
  <si>
    <t>F/NUMBER</t>
  </si>
  <si>
    <t>(FNUM)</t>
  </si>
  <si>
    <t>(UPP0)</t>
  </si>
  <si>
    <t>GAUSSIAN</t>
  </si>
  <si>
    <t>HT(GIHT)</t>
  </si>
  <si>
    <t>ENTR</t>
  </si>
  <si>
    <t>SEMI-APERTURE</t>
  </si>
  <si>
    <t>EXIT</t>
  </si>
  <si>
    <t>LOCATION</t>
  </si>
  <si>
    <t>X-OBJECT</t>
  </si>
  <si>
    <t>(XPP0)</t>
  </si>
  <si>
    <t>X-MARG</t>
  </si>
  <si>
    <t>(XMP1)</t>
  </si>
  <si>
    <t>X-CHIEF</t>
  </si>
  <si>
    <t>HT</t>
  </si>
  <si>
    <t>(XPP1)</t>
  </si>
  <si>
    <t>(VMP0)</t>
  </si>
  <si>
    <t>ANGLE(VPP0)</t>
  </si>
  <si>
    <t>WAVL</t>
  </si>
  <si>
    <t>(uM)</t>
  </si>
  <si>
    <t>WEIGHTS</t>
  </si>
  <si>
    <t>ORDER</t>
  </si>
  <si>
    <t>UNITS</t>
  </si>
  <si>
    <t>MM</t>
  </si>
  <si>
    <t>APERTURE</t>
  </si>
  <si>
    <t>STOP</t>
  </si>
  <si>
    <t>(APS)</t>
  </si>
  <si>
    <t>REAL</t>
  </si>
  <si>
    <t>OPTION</t>
  </si>
  <si>
    <t>ON</t>
  </si>
  <si>
    <t>MODE</t>
  </si>
  <si>
    <t>MAGNIFICATION</t>
  </si>
  <si>
    <t>VIGNETTING</t>
  </si>
  <si>
    <t>(VIG)</t>
  </si>
  <si>
    <t>OFF</t>
  </si>
  <si>
    <t>POLARIZATION</t>
  </si>
  <si>
    <t>AND</t>
  </si>
  <si>
    <t>COATINGS</t>
  </si>
  <si>
    <t>ARE</t>
  </si>
  <si>
    <t>IGNORED.</t>
  </si>
  <si>
    <t>RADIUS</t>
  </si>
  <si>
    <t>THICKNESS</t>
  </si>
  <si>
    <t>MEDIUM</t>
  </si>
  <si>
    <t>INDEX</t>
  </si>
  <si>
    <t>V-NUMBER</t>
  </si>
  <si>
    <t>AIR</t>
  </si>
  <si>
    <t>O</t>
  </si>
  <si>
    <t>APS</t>
  </si>
  <si>
    <t>IMG</t>
  </si>
  <si>
    <t>KEY</t>
  </si>
  <si>
    <t>TO</t>
  </si>
  <si>
    <t>SYMBOLS</t>
  </si>
  <si>
    <t>______________</t>
  </si>
  <si>
    <t>A</t>
  </si>
  <si>
    <t>HAS</t>
  </si>
  <si>
    <t>TILTS</t>
  </si>
  <si>
    <t>DECENTERS</t>
  </si>
  <si>
    <t>B</t>
  </si>
  <si>
    <t>TAG</t>
  </si>
  <si>
    <t>G</t>
  </si>
  <si>
    <t>IS</t>
  </si>
  <si>
    <t>COORDINATES</t>
  </si>
  <si>
    <t>L</t>
  </si>
  <si>
    <t>LOCAL</t>
  </si>
  <si>
    <t>SPECIAL</t>
  </si>
  <si>
    <t>TYPE</t>
  </si>
  <si>
    <t>P</t>
  </si>
  <si>
    <t>ITEM</t>
  </si>
  <si>
    <t>SUBJECT</t>
  </si>
  <si>
    <t>PICKUP</t>
  </si>
  <si>
    <t>S</t>
  </si>
  <si>
    <t>SOLVE</t>
  </si>
  <si>
    <t>--</t>
  </si>
  <si>
    <t>CONIC</t>
  </si>
  <si>
    <t>CONSTANT</t>
  </si>
  <si>
    <t>(CC)</t>
  </si>
  <si>
    <t>SEMI-MAJOR</t>
  </si>
  <si>
    <t>AXIS</t>
  </si>
  <si>
    <t>(b)</t>
  </si>
  <si>
    <t>SEMI-MINOR</t>
  </si>
  <si>
    <t>(a)</t>
  </si>
  <si>
    <t>_______________</t>
  </si>
  <si>
    <t>TORIC</t>
  </si>
  <si>
    <t>RX</t>
  </si>
  <si>
    <t>TILT</t>
  </si>
  <si>
    <t>DECENTER</t>
  </si>
  <si>
    <t>LEFT-HANDED</t>
  </si>
  <si>
    <t>_______________________________________________________________________________</t>
  </si>
  <si>
    <t>ALPHA</t>
  </si>
  <si>
    <t>BETA</t>
  </si>
  <si>
    <t>GAMMA</t>
  </si>
  <si>
    <t>REL</t>
  </si>
  <si>
    <t>TYPES</t>
  </si>
  <si>
    <t>____________________</t>
  </si>
  <si>
    <t>GLB</t>
  </si>
  <si>
    <t>LOC</t>
  </si>
  <si>
    <t>RELATIVE</t>
  </si>
  <si>
    <t>REM</t>
  </si>
  <si>
    <t>REMOTE</t>
  </si>
  <si>
    <t>MESSAGES</t>
  </si>
  <si>
    <t>UNDO</t>
  </si>
  <si>
    <t>TILTS/DECENTERS</t>
  </si>
  <si>
    <t>FROM</t>
  </si>
  <si>
    <t>NOTES</t>
  </si>
  <si>
    <t>Unless</t>
  </si>
  <si>
    <t>noted,</t>
  </si>
  <si>
    <t>Euler</t>
  </si>
  <si>
    <t>angles</t>
  </si>
  <si>
    <t>are</t>
  </si>
  <si>
    <t>taken</t>
  </si>
  <si>
    <t>in</t>
  </si>
  <si>
    <t>the</t>
  </si>
  <si>
    <t>order</t>
  </si>
  <si>
    <t>alpha,</t>
  </si>
  <si>
    <t>beta,</t>
  </si>
  <si>
    <t>gamma</t>
  </si>
  <si>
    <t>xTang</t>
  </si>
  <si>
    <t>Ytang</t>
  </si>
  <si>
    <t>Xtang</t>
  </si>
  <si>
    <t>Ztang</t>
  </si>
  <si>
    <t>XsagM</t>
  </si>
  <si>
    <t>YsagM</t>
  </si>
  <si>
    <t>ZsagM</t>
  </si>
  <si>
    <t>Surface vertex axis direction vector</t>
  </si>
  <si>
    <t>Surface vertex tangential vector</t>
  </si>
  <si>
    <t>Surface vertex sagittal vector</t>
  </si>
  <si>
    <t>aEuler</t>
  </si>
  <si>
    <t>bEuler</t>
  </si>
  <si>
    <t>cEuler</t>
  </si>
  <si>
    <t>Surface orientation Euler angles</t>
  </si>
  <si>
    <t>aCol</t>
  </si>
  <si>
    <t>bCol</t>
  </si>
  <si>
    <t>cCol</t>
  </si>
  <si>
    <t>f</t>
  </si>
  <si>
    <t>g</t>
  </si>
  <si>
    <t>h</t>
  </si>
  <si>
    <t>xNorm</t>
  </si>
  <si>
    <t>yNorm</t>
  </si>
  <si>
    <t>zNorm</t>
  </si>
  <si>
    <t>yTang</t>
  </si>
  <si>
    <t>zTang</t>
  </si>
  <si>
    <t>xSag</t>
  </si>
  <si>
    <t>ySag</t>
  </si>
  <si>
    <t>zSag</t>
  </si>
  <si>
    <t>TangDotNorm</t>
  </si>
  <si>
    <t>SagDotNorm</t>
  </si>
  <si>
    <t>SagDotTan</t>
  </si>
  <si>
    <t>Xaxis</t>
  </si>
  <si>
    <t>Yaxis</t>
  </si>
  <si>
    <t>Zaxis</t>
  </si>
  <si>
    <t>SpigLength</t>
  </si>
  <si>
    <t>DowlSep</t>
  </si>
  <si>
    <t>Distance to spigot point</t>
  </si>
  <si>
    <t>Distance to dowl point</t>
  </si>
  <si>
    <t>Theta</t>
  </si>
  <si>
    <t>Angle between surface vertex normal and spigot axis</t>
  </si>
  <si>
    <t>1-cos(theta)</t>
  </si>
  <si>
    <t>normDOTsag</t>
  </si>
  <si>
    <t>UpFlag</t>
  </si>
  <si>
    <t>Direction of exiting ray, 1 for +X</t>
  </si>
  <si>
    <t>LeftHandCorr</t>
  </si>
  <si>
    <t>NormDirCorr</t>
  </si>
  <si>
    <t>Factor applied to Zspire to transform LHS to RHS</t>
  </si>
  <si>
    <t>Factor applied to VertexNormal to point it up (+X)</t>
  </si>
  <si>
    <t>Check</t>
  </si>
  <si>
    <t>Mirror surface coordinate</t>
  </si>
  <si>
    <t>Norm</t>
  </si>
  <si>
    <t>Sag</t>
  </si>
  <si>
    <t>Tang</t>
  </si>
  <si>
    <t>SYNO</t>
  </si>
  <si>
    <t>Directions</t>
  </si>
  <si>
    <t>(BOLPHT154C)</t>
  </si>
  <si>
    <t>System identification number</t>
  </si>
  <si>
    <t>Calculations based on identification numbers:</t>
  </si>
  <si>
    <t>Filename</t>
  </si>
  <si>
    <t>Date</t>
  </si>
  <si>
    <t>Comments</t>
  </si>
  <si>
    <t>SPIREconfig01</t>
  </si>
  <si>
    <t>SPIREconfig02</t>
  </si>
  <si>
    <t>Corrected error in jumping from detector back to dichroic. Added dummy for normal on primary. Corrected sign of normals (norm = ray out - ray in).</t>
  </si>
  <si>
    <t>SPIREconfig03</t>
  </si>
  <si>
    <t>Reviewed 'comments' sheet.</t>
  </si>
  <si>
    <t>SPIREconfigPhot03</t>
  </si>
  <si>
    <t>Separate file for Phot and Spec</t>
  </si>
  <si>
    <t>SPIREconfigPhot10</t>
  </si>
  <si>
    <t>Spigot axes calculated. Transformation to IID-B ("MSSL") coordinates.</t>
  </si>
  <si>
    <t>SPIREconfigPhot11</t>
  </si>
  <si>
    <t>SPIREconfigPhot12</t>
  </si>
  <si>
    <t>Corrected Euler calculations, dowls added</t>
  </si>
  <si>
    <t>SPIREconfigPhot13</t>
  </si>
  <si>
    <t>SPIREconfigPhot20</t>
  </si>
  <si>
    <t>Entirely renovated. Error in dowl calculation eliminated.</t>
  </si>
  <si>
    <t>VertexCalc!Zsag</t>
  </si>
  <si>
    <t>VertexCalc!Xsag*COS(Theta)-VertexCalc!Ysag*SIN(Theta)</t>
  </si>
  <si>
    <t>VertexCalc!Xsag*SIN(Theta)+VertexCalc!Ysag*COS(Theta)</t>
  </si>
  <si>
    <t xml:space="preserve">Xsag = </t>
  </si>
  <si>
    <t xml:space="preserve">Ysag = </t>
  </si>
  <si>
    <t xml:space="preserve">Zsag = </t>
  </si>
  <si>
    <t xml:space="preserve">Theta = </t>
  </si>
  <si>
    <t>ACOS((Xnorm*VertexCalc!Xnorm+Ynorm*VertexCalc!Ynorm)</t>
  </si>
  <si>
    <t>/(RACINE(Xnorm^2+Ynorm^2)*RACINE(VertexCalc!Xnorm^2+VertexCalc!Ynorm^2)))</t>
  </si>
  <si>
    <t>*SIGNE(Xnorm*Ynorm))</t>
  </si>
  <si>
    <t xml:space="preserve">Xmirr = </t>
  </si>
  <si>
    <t xml:space="preserve">Ymirr = </t>
  </si>
  <si>
    <t xml:space="preserve">Zmirr = </t>
  </si>
  <si>
    <t xml:space="preserve">Ynorm = </t>
  </si>
  <si>
    <t xml:space="preserve">Znorm = </t>
  </si>
  <si>
    <t xml:space="preserve">Xnorm = </t>
  </si>
  <si>
    <t>VertexCalc!Xnorm*(Interfaces!Xmirr-VertexCalc!Xmirr)</t>
  </si>
  <si>
    <t>VertexCalc!Xsag*(Interfaces!Xmirr-VertexCalc!Xmirr)</t>
  </si>
  <si>
    <t>VertexCalc!Xtang*(Interfaces!Xmirr-VertexCalc!Xmirr)</t>
  </si>
  <si>
    <t>VertexCalc!Xnorm*Interfaces!Xnorm+VertexCalc!Ynorm*Interfaces!Ynorm</t>
  </si>
  <si>
    <t>VertexCalc!Xsag*Interfaces!Xnorm+VertexCalc!Ysag*Interfaces!Ynorm</t>
  </si>
  <si>
    <t>VertexCalc!Xtang*Interfaces!Xnorm+VertexCalc!Ytang*Interfaces!Ynorm</t>
  </si>
  <si>
    <t>SPIREconfigPhot21</t>
  </si>
  <si>
    <t>Improved precision for interfaces</t>
  </si>
  <si>
    <t>Xvertex</t>
  </si>
  <si>
    <t>Yvertex</t>
  </si>
  <si>
    <t>Zvertex</t>
  </si>
  <si>
    <t>Surface vertex coordinates used in VertexCalc</t>
  </si>
  <si>
    <t>NormDir</t>
  </si>
  <si>
    <t>Automatically determined normal direction factor</t>
  </si>
  <si>
    <t>Correct spigot direction (modify automatic sign calculation) and dowl direction (add flag).</t>
  </si>
  <si>
    <t>SPIREconfigPhot22</t>
  </si>
  <si>
    <t>DowlDir</t>
  </si>
  <si>
    <t>Manually entered factor (+/-1) to determine dowl direction (gen tow bench)</t>
  </si>
  <si>
    <t>SPIREconfigPhot23</t>
  </si>
  <si>
    <t>norm and sag vectors in Interfaces sheet has correct directions (towards spigot and towards dowl)</t>
  </si>
  <si>
    <t>SPIREconfigPhot24</t>
  </si>
  <si>
    <t>(BOLPHT155)</t>
  </si>
  <si>
    <t>11-MAY-01</t>
  </si>
  <si>
    <t>BOLPHT155: new telescope. Includes comprative calculations</t>
  </si>
  <si>
    <t>SPIREconfigPhot25</t>
  </si>
  <si>
    <t>Cleaned up: Comparative calculations removed</t>
  </si>
  <si>
    <t>SPECTRO</t>
  </si>
  <si>
    <t>ABG</t>
  </si>
  <si>
    <t>COINCIDENT</t>
  </si>
  <si>
    <t>WITH</t>
  </si>
  <si>
    <t>Spectrometer optics</t>
  </si>
  <si>
    <t>SM6</t>
  </si>
  <si>
    <t>SCS</t>
  </si>
  <si>
    <t>SM7</t>
  </si>
  <si>
    <t>SM8A</t>
  </si>
  <si>
    <t>Upper arm</t>
  </si>
  <si>
    <t>SBS1</t>
  </si>
  <si>
    <t>SM9A</t>
  </si>
  <si>
    <t>SM10A</t>
  </si>
  <si>
    <t>SBS2</t>
  </si>
  <si>
    <t>SM11A</t>
  </si>
  <si>
    <t>SM12A</t>
  </si>
  <si>
    <t>SSW</t>
  </si>
  <si>
    <t>Lower arm</t>
  </si>
  <si>
    <t>SM9B</t>
  </si>
  <si>
    <t>SM10B</t>
  </si>
  <si>
    <t>SM11B</t>
  </si>
  <si>
    <t>SM12B</t>
  </si>
  <si>
    <t>SLW</t>
  </si>
  <si>
    <t>Phot</t>
  </si>
  <si>
    <t>System</t>
  </si>
  <si>
    <t>Ray traced system: Phot, SpecUp, SpecLo</t>
  </si>
  <si>
    <t>Line0Phot</t>
  </si>
  <si>
    <t>IDPhot</t>
  </si>
  <si>
    <t>SM8B</t>
  </si>
  <si>
    <t>XgutPhot</t>
  </si>
  <si>
    <t>YgutPhot</t>
  </si>
  <si>
    <t>ZgutPhot</t>
  </si>
  <si>
    <t>x</t>
  </si>
  <si>
    <t>y</t>
  </si>
  <si>
    <t>z</t>
  </si>
  <si>
    <t>Axe</t>
  </si>
  <si>
    <t>AxeSyno</t>
  </si>
  <si>
    <t>Syst</t>
  </si>
  <si>
    <t>Cent</t>
  </si>
  <si>
    <t>XPhotGut</t>
  </si>
  <si>
    <t>YPhotGut</t>
  </si>
  <si>
    <t>ZPhotGut</t>
  </si>
  <si>
    <t>X=X0+Xfact*Zsyno</t>
  </si>
  <si>
    <t>Y=Y0+Yfact*Xsyno</t>
  </si>
  <si>
    <t>Z=Z0+Zfact*Ysyno</t>
  </si>
  <si>
    <t>Xfact</t>
  </si>
  <si>
    <t>Yfact</t>
  </si>
  <si>
    <t>Zfact</t>
  </si>
  <si>
    <t>Direction correction for SPIRE (RHS) with respect to Syno (LHS) co-ordinates</t>
  </si>
  <si>
    <t>Local</t>
  </si>
  <si>
    <t>Vert</t>
  </si>
  <si>
    <t>XnormP</t>
  </si>
  <si>
    <t>YnormP</t>
  </si>
  <si>
    <t>ZnormP</t>
  </si>
  <si>
    <t>Preliminary mirror normal vectors, to calculate NormDir</t>
  </si>
  <si>
    <t>SPIRE vertex coordinates</t>
  </si>
  <si>
    <t>X=Xfact*Zsyno</t>
  </si>
  <si>
    <t>Y=Yfact*Xsyno</t>
  </si>
  <si>
    <t>Z=Zfact*Ysyno</t>
  </si>
  <si>
    <t xml:space="preserve">NormDir rotates local axes </t>
  </si>
  <si>
    <t>about local Sag vector:</t>
  </si>
  <si>
    <t>Norm=Norm*NormDir</t>
  </si>
  <si>
    <t>Sag=Sag</t>
  </si>
  <si>
    <t>SPIRE local axes direction vectors</t>
  </si>
  <si>
    <t>Tang is inveresed for RHS</t>
  </si>
  <si>
    <t>Tang=-1*Tang*NormDir</t>
  </si>
  <si>
    <t>ThMirr</t>
  </si>
  <si>
    <t>Mirror thickness</t>
  </si>
  <si>
    <t>Thick</t>
  </si>
  <si>
    <t>Thin</t>
  </si>
  <si>
    <t>Thickness of thick mirrors (CM3, CM5, PM7, PM9)</t>
  </si>
  <si>
    <t>Thickness of other mirrors</t>
  </si>
  <si>
    <t>Dowl separation</t>
  </si>
  <si>
    <t>NB: All dimensions are for operational conditions (4K)</t>
  </si>
  <si>
    <t>SPIREconfig30</t>
  </si>
  <si>
    <t>SPIREconfig31</t>
  </si>
  <si>
    <t>Official release of Revised version</t>
  </si>
  <si>
    <t>Revised version, Euler calculation corrected, spig and dowl coordinates give positions on interface surface. Phot and Spec in same file. Draft</t>
  </si>
  <si>
    <t>SPIREconfig32</t>
  </si>
  <si>
    <t>Corrected SM8B spigot co-ordinates</t>
  </si>
  <si>
    <t>Global data</t>
  </si>
  <si>
    <t>Gut ray</t>
  </si>
  <si>
    <t>M3Cent ray</t>
  </si>
  <si>
    <t>M5Cent ray</t>
  </si>
  <si>
    <t>Glob</t>
  </si>
  <si>
    <t>GutRay</t>
  </si>
  <si>
    <t>SPIREconfig33</t>
  </si>
  <si>
    <t>BOLSP502: new telescope in spectrometer.</t>
  </si>
  <si>
    <t>SPIREconfig34</t>
  </si>
  <si>
    <t>CAP</t>
  </si>
  <si>
    <t>CLEAR</t>
  </si>
  <si>
    <t>(Y-coordinate</t>
  </si>
  <si>
    <t>only)</t>
  </si>
  <si>
    <t>OR</t>
  </si>
  <si>
    <t>R-APER.</t>
  </si>
  <si>
    <t>Y-APER.</t>
  </si>
  <si>
    <t>REMARK</t>
  </si>
  <si>
    <t>X-OFFSET</t>
  </si>
  <si>
    <t>Y-OFFSET</t>
  </si>
  <si>
    <t>__________________________________________________________________</t>
  </si>
  <si>
    <t>Soft</t>
  </si>
  <si>
    <t>CAO</t>
  </si>
  <si>
    <t>User</t>
  </si>
  <si>
    <t>RAO</t>
  </si>
  <si>
    <t>EAO</t>
  </si>
  <si>
    <t>NOTE:</t>
  </si>
  <si>
    <t>CAO,</t>
  </si>
  <si>
    <t>CAI,</t>
  </si>
  <si>
    <t>EAO,</t>
  </si>
  <si>
    <t>and</t>
  </si>
  <si>
    <t>EAI</t>
  </si>
  <si>
    <t>input</t>
  </si>
  <si>
    <t>is</t>
  </si>
  <si>
    <t>semi-aperture.</t>
  </si>
  <si>
    <t>RAI</t>
  </si>
  <si>
    <t>full</t>
  </si>
  <si>
    <t>aperture.</t>
  </si>
  <si>
    <t>Type</t>
  </si>
  <si>
    <t>Aperture type</t>
  </si>
  <si>
    <t>Dia</t>
  </si>
  <si>
    <t>EllipsX</t>
  </si>
  <si>
    <t>EllipsY</t>
  </si>
  <si>
    <t>RectX</t>
  </si>
  <si>
    <t>RectY</t>
  </si>
  <si>
    <t>OffsetX</t>
  </si>
  <si>
    <t>OffsetY</t>
  </si>
  <si>
    <t>UNUSUAL</t>
  </si>
  <si>
    <t>_______________________________________________________________________</t>
  </si>
  <si>
    <t>POLYGON</t>
  </si>
  <si>
    <t>VERTICES</t>
  </si>
  <si>
    <t>(OUTSIDE)</t>
  </si>
  <si>
    <t>Dia or Dsag</t>
  </si>
  <si>
    <t>Dtang</t>
  </si>
  <si>
    <t>Csag</t>
  </si>
  <si>
    <t>Ctang</t>
  </si>
  <si>
    <t>SPIREconfig35</t>
  </si>
  <si>
    <t>**</t>
  </si>
  <si>
    <t>SCAL</t>
  </si>
  <si>
    <t>Line0Spec</t>
  </si>
  <si>
    <t>Spec</t>
  </si>
  <si>
    <t>a</t>
  </si>
  <si>
    <t>b</t>
  </si>
  <si>
    <t>XSpecGut</t>
  </si>
  <si>
    <t>YSpecGut</t>
  </si>
  <si>
    <t>ZSpecGut</t>
  </si>
  <si>
    <t>XGutSpec</t>
  </si>
  <si>
    <t>YGutSpec</t>
  </si>
  <si>
    <t>ZGutSpec</t>
  </si>
  <si>
    <t>ThisCol</t>
  </si>
  <si>
    <t>Column identification label</t>
  </si>
  <si>
    <t>SPIREconfig36</t>
  </si>
  <si>
    <t>Added aperture data.</t>
  </si>
  <si>
    <t>Legend</t>
  </si>
  <si>
    <t>Type = Circ</t>
  </si>
  <si>
    <t>Type = Ellips</t>
  </si>
  <si>
    <t>Type = Rect</t>
  </si>
  <si>
    <t>Local co-ordinates of aperure centre</t>
  </si>
  <si>
    <t>Xc</t>
  </si>
  <si>
    <t>Yc</t>
  </si>
  <si>
    <t>Zc</t>
  </si>
  <si>
    <t>BOLSP503: lower half included.</t>
  </si>
  <si>
    <t>Further improvements and corrections for implementation of spectrometer upper and lower half includibg SCAL.  Corrected Euler calculations in spec part (-cEuler replaces cEuler).</t>
  </si>
  <si>
    <t>SPIREconfig37</t>
  </si>
  <si>
    <t>NB: Re-corrected  Euler calculations (cEuler replaces -cEuler). See my correspondence and notes of 11-13/7/01.</t>
  </si>
  <si>
    <t>IDSpec</t>
  </si>
  <si>
    <t>PMA</t>
  </si>
  <si>
    <t>BOLSPECGLOB03</t>
  </si>
  <si>
    <t>*********************</t>
  </si>
  <si>
    <t>MACRO</t>
  </si>
  <si>
    <t>LIST</t>
  </si>
  <si>
    <t>**************************</t>
  </si>
  <si>
    <t>!bolgutglob01</t>
  </si>
  <si>
    <t>coords</t>
  </si>
  <si>
    <t>of</t>
  </si>
  <si>
    <t>gut</t>
  </si>
  <si>
    <t>ray</t>
  </si>
  <si>
    <t>impacts</t>
  </si>
  <si>
    <t>!</t>
  </si>
  <si>
    <t>to</t>
  </si>
  <si>
    <t>import</t>
  </si>
  <si>
    <t>into</t>
  </si>
  <si>
    <t>XL</t>
  </si>
  <si>
    <t>!bolspecglob01</t>
  </si>
  <si>
    <t>Clob</t>
  </si>
  <si>
    <t>surface</t>
  </si>
  <si>
    <t>summits</t>
  </si>
  <si>
    <t>Include</t>
  </si>
  <si>
    <t>listing</t>
  </si>
  <si>
    <t>Switch</t>
  </si>
  <si>
    <t>ON,</t>
  </si>
  <si>
    <t>list</t>
  </si>
  <si>
    <t>macro</t>
  </si>
  <si>
    <t>at</t>
  </si>
  <si>
    <t>end</t>
  </si>
  <si>
    <t>on</t>
  </si>
  <si>
    <t>fnm:</t>
  </si>
  <si>
    <t>specglob.txt</t>
  </si>
  <si>
    <t>!Origin</t>
  </si>
  <si>
    <t>surf</t>
  </si>
  <si>
    <t>num</t>
  </si>
  <si>
    <t>z1</t>
  </si>
  <si>
    <t>=</t>
  </si>
  <si>
    <t>pon</t>
  </si>
  <si>
    <t>fnm</t>
  </si>
  <si>
    <t>id?</t>
  </si>
  <si>
    <t>time</t>
  </si>
  <si>
    <t>!gray</t>
  </si>
  <si>
    <t>spec</t>
  </si>
  <si>
    <t>glob</t>
  </si>
  <si>
    <t>cap</t>
  </si>
  <si>
    <t>pma</t>
  </si>
  <si>
    <t>bolspecglob03</t>
  </si>
  <si>
    <t>pof</t>
  </si>
  <si>
    <t>************************************************************</t>
  </si>
  <si>
    <t>SPIREconfig38</t>
  </si>
  <si>
    <t>(BOLPHT155D)</t>
  </si>
  <si>
    <t>Bolsp505: Cold-stop dimensions, SM12 dimensions, det rotation. Bolpht155d: Cold-stop dimension</t>
  </si>
  <si>
    <t>(BOLSP508)</t>
  </si>
  <si>
    <t>LDPE</t>
  </si>
  <si>
    <t>SRTA1</t>
  </si>
  <si>
    <t>SRTA2</t>
  </si>
  <si>
    <t>SFLA</t>
  </si>
  <si>
    <t>SRTB1</t>
  </si>
  <si>
    <t>SRTB2</t>
  </si>
  <si>
    <t>SFLB</t>
  </si>
  <si>
    <t>BOLGUTGLOB03</t>
  </si>
  <si>
    <t>for</t>
  </si>
  <si>
    <t>non</t>
  </si>
  <si>
    <t>Add</t>
  </si>
  <si>
    <t>file</t>
  </si>
  <si>
    <t>gutray.txt</t>
  </si>
  <si>
    <t>!Ray</t>
  </si>
  <si>
    <t>coordinates:</t>
  </si>
  <si>
    <t>z2</t>
  </si>
  <si>
    <t>H,</t>
  </si>
  <si>
    <t>z3</t>
  </si>
  <si>
    <t>!M3</t>
  </si>
  <si>
    <t>!M5</t>
  </si>
  <si>
    <t>!z2</t>
  </si>
  <si>
    <t>!z3</t>
  </si>
  <si>
    <t>gray</t>
  </si>
  <si>
    <t>bolgutglob03</t>
  </si>
  <si>
    <t>Mirror</t>
  </si>
  <si>
    <t>CM3Cent</t>
  </si>
  <si>
    <t>XCM3cent</t>
  </si>
  <si>
    <t>Ray centred on CM3, impact coordinates</t>
  </si>
  <si>
    <t>YCM3cent</t>
  </si>
  <si>
    <t>ZCM3cent</t>
  </si>
  <si>
    <t>Ray centred on CM5, impact coordinates</t>
  </si>
  <si>
    <t>YCM5cent</t>
  </si>
  <si>
    <t>ZCM5cent</t>
  </si>
  <si>
    <t>XCM5cent</t>
  </si>
  <si>
    <t>CM5Cent</t>
  </si>
  <si>
    <t>SPIREconfig39</t>
  </si>
  <si>
    <t>off</t>
  </si>
  <si>
    <t>NextIndex</t>
  </si>
  <si>
    <t>Refractive index following the surface</t>
  </si>
  <si>
    <t>GlobalCoords</t>
  </si>
  <si>
    <t>Listing</t>
  </si>
  <si>
    <t>IndexCol</t>
  </si>
  <si>
    <t>ListLine0Phot</t>
  </si>
  <si>
    <t>ListLine0Spec</t>
  </si>
  <si>
    <t>ListLine</t>
  </si>
  <si>
    <t>Air</t>
  </si>
  <si>
    <t>CM3CentRay</t>
  </si>
  <si>
    <t>CM5CentRay</t>
  </si>
  <si>
    <t>!Gut</t>
  </si>
  <si>
    <t xml:space="preserve">Bolsp509. No SM11 gamma rotation, RT replaces CC, Sdet rotation (zero global). NormDir for holes correctly calculated and normal and sag unit vectors added in Apertures sheet. </t>
  </si>
</sst>
</file>

<file path=xl/styles.xml><?xml version="1.0" encoding="utf-8"?>
<styleSheet xmlns="http://schemas.openxmlformats.org/spreadsheetml/2006/main">
  <numFmts count="22">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000"/>
    <numFmt numFmtId="165" formatCode="0.000"/>
    <numFmt numFmtId="166" formatCode="0.00000"/>
    <numFmt numFmtId="167" formatCode="0.000000"/>
    <numFmt numFmtId="168" formatCode="0.0000000"/>
    <numFmt numFmtId="169" formatCode="0.00000000"/>
    <numFmt numFmtId="170" formatCode="0.000000000"/>
    <numFmt numFmtId="171" formatCode="0.0000000000"/>
    <numFmt numFmtId="172" formatCode="0.00000000000"/>
    <numFmt numFmtId="173" formatCode="0.000000000000"/>
    <numFmt numFmtId="174" formatCode="0.0000000000000"/>
    <numFmt numFmtId="175" formatCode="0.000E+00"/>
    <numFmt numFmtId="176" formatCode="0.0E+00"/>
    <numFmt numFmtId="177" formatCode="0.0"/>
  </numFmts>
  <fonts count="9">
    <font>
      <sz val="10"/>
      <name val="Times New Roman"/>
      <family val="0"/>
    </font>
    <font>
      <b/>
      <sz val="10"/>
      <name val="Times New Roman"/>
      <family val="0"/>
    </font>
    <font>
      <i/>
      <sz val="10"/>
      <name val="Times New Roman"/>
      <family val="0"/>
    </font>
    <font>
      <b/>
      <i/>
      <sz val="10"/>
      <name val="Times New Roman"/>
      <family val="0"/>
    </font>
    <font>
      <sz val="10"/>
      <name val="Times"/>
      <family val="0"/>
    </font>
    <font>
      <sz val="14"/>
      <name val="Times New Roman"/>
      <family val="1"/>
    </font>
    <font>
      <sz val="20"/>
      <name val="Times New Roman"/>
      <family val="1"/>
    </font>
    <font>
      <u val="single"/>
      <sz val="10"/>
      <color indexed="12"/>
      <name val="Times New Roman"/>
      <family val="0"/>
    </font>
    <font>
      <u val="single"/>
      <sz val="10"/>
      <color indexed="36"/>
      <name val="Times New Roman"/>
      <family val="0"/>
    </font>
  </fonts>
  <fills count="2">
    <fill>
      <patternFill/>
    </fill>
    <fill>
      <patternFill patternType="gray125"/>
    </fill>
  </fills>
  <borders count="16">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141">
    <xf numFmtId="0" fontId="0" fillId="0" borderId="0" xfId="0" applyAlignment="1">
      <alignment/>
    </xf>
    <xf numFmtId="0" fontId="0" fillId="0" borderId="0" xfId="21" applyFont="1">
      <alignment/>
      <protection/>
    </xf>
    <xf numFmtId="15" fontId="0" fillId="0" borderId="0" xfId="21" applyNumberFormat="1" applyFont="1">
      <alignment/>
      <protection/>
    </xf>
    <xf numFmtId="21" fontId="0" fillId="0" borderId="0" xfId="21" applyNumberFormat="1" applyFont="1">
      <alignment/>
      <protection/>
    </xf>
    <xf numFmtId="11" fontId="0" fillId="0" borderId="0" xfId="21" applyNumberFormat="1" applyFont="1">
      <alignment/>
      <protection/>
    </xf>
    <xf numFmtId="0" fontId="1" fillId="0" borderId="0" xfId="21" applyFont="1">
      <alignment/>
      <protection/>
    </xf>
    <xf numFmtId="0" fontId="1" fillId="0" borderId="0" xfId="21" applyFont="1" applyAlignment="1">
      <alignment horizontal="center"/>
      <protection/>
    </xf>
    <xf numFmtId="164" fontId="1" fillId="0" borderId="0" xfId="21" applyNumberFormat="1" applyFont="1" applyAlignment="1">
      <alignment horizontal="center"/>
      <protection/>
    </xf>
    <xf numFmtId="0" fontId="0" fillId="0" borderId="0" xfId="21" applyFont="1" applyAlignment="1">
      <alignment horizontal="center"/>
      <protection/>
    </xf>
    <xf numFmtId="164" fontId="0" fillId="0" borderId="0" xfId="21" applyNumberFormat="1" applyFont="1" applyAlignment="1">
      <alignment horizontal="center"/>
      <protection/>
    </xf>
    <xf numFmtId="0" fontId="0" fillId="0" borderId="1" xfId="21" applyFont="1" applyBorder="1">
      <alignment/>
      <protection/>
    </xf>
    <xf numFmtId="0" fontId="0" fillId="0" borderId="2" xfId="21" applyFont="1" applyBorder="1">
      <alignment/>
      <protection/>
    </xf>
    <xf numFmtId="0" fontId="0" fillId="0" borderId="2" xfId="21" applyFont="1" applyBorder="1" applyAlignment="1">
      <alignment horizontal="center"/>
      <protection/>
    </xf>
    <xf numFmtId="164" fontId="0" fillId="0" borderId="2" xfId="21" applyNumberFormat="1" applyFont="1" applyBorder="1" applyAlignment="1">
      <alignment horizontal="center"/>
      <protection/>
    </xf>
    <xf numFmtId="0" fontId="0" fillId="0" borderId="3" xfId="21" applyFont="1" applyBorder="1">
      <alignment/>
      <protection/>
    </xf>
    <xf numFmtId="0" fontId="0" fillId="0" borderId="4" xfId="21" applyFont="1" applyBorder="1">
      <alignment/>
      <protection/>
    </xf>
    <xf numFmtId="0" fontId="0" fillId="0" borderId="4" xfId="21" applyFont="1" applyBorder="1" applyAlignment="1">
      <alignment horizontal="center"/>
      <protection/>
    </xf>
    <xf numFmtId="164" fontId="0" fillId="0" borderId="4" xfId="21" applyNumberFormat="1" applyFont="1" applyBorder="1" applyAlignment="1">
      <alignment horizontal="center"/>
      <protection/>
    </xf>
    <xf numFmtId="0" fontId="0" fillId="0" borderId="5" xfId="21" applyFont="1" applyBorder="1">
      <alignment/>
      <protection/>
    </xf>
    <xf numFmtId="0" fontId="0" fillId="0" borderId="0" xfId="21" applyFont="1" applyBorder="1">
      <alignment/>
      <protection/>
    </xf>
    <xf numFmtId="0" fontId="0" fillId="0" borderId="0" xfId="21" applyFont="1" applyBorder="1" applyAlignment="1">
      <alignment horizontal="center"/>
      <protection/>
    </xf>
    <xf numFmtId="164" fontId="0" fillId="0" borderId="0" xfId="21" applyNumberFormat="1" applyFont="1" applyBorder="1" applyAlignment="1">
      <alignment horizontal="center"/>
      <protection/>
    </xf>
    <xf numFmtId="0" fontId="0" fillId="0" borderId="0" xfId="21" applyFont="1" applyAlignment="1">
      <alignment horizontal="left"/>
      <protection/>
    </xf>
    <xf numFmtId="0" fontId="2" fillId="0" borderId="0" xfId="21" applyFont="1">
      <alignment/>
      <protection/>
    </xf>
    <xf numFmtId="0" fontId="0" fillId="0" borderId="6" xfId="21" applyFont="1" applyBorder="1">
      <alignment/>
      <protection/>
    </xf>
    <xf numFmtId="0" fontId="1" fillId="0" borderId="0" xfId="21" applyFont="1" applyBorder="1">
      <alignment/>
      <protection/>
    </xf>
    <xf numFmtId="0" fontId="1" fillId="0" borderId="0" xfId="21" applyFont="1" applyBorder="1" applyAlignment="1">
      <alignment horizontal="center"/>
      <protection/>
    </xf>
    <xf numFmtId="164" fontId="1" fillId="0" borderId="0" xfId="21" applyNumberFormat="1" applyFont="1" applyBorder="1" applyAlignment="1">
      <alignment horizontal="center"/>
      <protection/>
    </xf>
    <xf numFmtId="0" fontId="0" fillId="0" borderId="0" xfId="21" applyFont="1" applyBorder="1" applyAlignment="1">
      <alignment horizontal="left"/>
      <protection/>
    </xf>
    <xf numFmtId="0" fontId="2" fillId="0" borderId="0" xfId="21" applyFont="1" applyBorder="1">
      <alignment/>
      <protection/>
    </xf>
    <xf numFmtId="165" fontId="0" fillId="0" borderId="0" xfId="21" applyNumberFormat="1" applyFont="1" applyAlignment="1">
      <alignment horizontal="center"/>
      <protection/>
    </xf>
    <xf numFmtId="165" fontId="2" fillId="0" borderId="0" xfId="21" applyNumberFormat="1" applyFont="1" applyAlignment="1">
      <alignment horizontal="center"/>
      <protection/>
    </xf>
    <xf numFmtId="165" fontId="1" fillId="0" borderId="0" xfId="21" applyNumberFormat="1" applyFont="1" applyAlignment="1">
      <alignment horizontal="center"/>
      <protection/>
    </xf>
    <xf numFmtId="176" fontId="1" fillId="0" borderId="0" xfId="21" applyNumberFormat="1" applyFont="1" applyAlignment="1">
      <alignment horizontal="center"/>
      <protection/>
    </xf>
    <xf numFmtId="176" fontId="0" fillId="0" borderId="0" xfId="21" applyNumberFormat="1" applyFont="1" applyAlignment="1">
      <alignment horizontal="center"/>
      <protection/>
    </xf>
    <xf numFmtId="176" fontId="0" fillId="0" borderId="0" xfId="21" applyNumberFormat="1" applyFont="1">
      <alignment/>
      <protection/>
    </xf>
    <xf numFmtId="0" fontId="1" fillId="0" borderId="5" xfId="21" applyFont="1" applyBorder="1">
      <alignment/>
      <protection/>
    </xf>
    <xf numFmtId="0" fontId="1" fillId="0" borderId="3" xfId="21" applyFont="1" applyBorder="1">
      <alignment/>
      <protection/>
    </xf>
    <xf numFmtId="0" fontId="1" fillId="0" borderId="4" xfId="21" applyFont="1" applyBorder="1">
      <alignment/>
      <protection/>
    </xf>
    <xf numFmtId="164" fontId="1" fillId="0" borderId="4" xfId="21" applyNumberFormat="1" applyFont="1" applyBorder="1" applyAlignment="1">
      <alignment horizontal="center"/>
      <protection/>
    </xf>
    <xf numFmtId="0" fontId="1" fillId="0" borderId="4" xfId="21" applyFont="1" applyBorder="1" applyAlignment="1">
      <alignment horizontal="center"/>
      <protection/>
    </xf>
    <xf numFmtId="165" fontId="1" fillId="0" borderId="1" xfId="21" applyNumberFormat="1" applyFont="1" applyBorder="1" applyAlignment="1">
      <alignment horizontal="center"/>
      <protection/>
    </xf>
    <xf numFmtId="165" fontId="1" fillId="0" borderId="2" xfId="21" applyNumberFormat="1" applyFont="1" applyBorder="1" applyAlignment="1">
      <alignment horizontal="center"/>
      <protection/>
    </xf>
    <xf numFmtId="165" fontId="1" fillId="0" borderId="7" xfId="21" applyNumberFormat="1" applyFont="1" applyBorder="1" applyAlignment="1">
      <alignment horizontal="center"/>
      <protection/>
    </xf>
    <xf numFmtId="165" fontId="0" fillId="0" borderId="5" xfId="21" applyNumberFormat="1" applyFont="1" applyBorder="1" applyAlignment="1">
      <alignment horizontal="center"/>
      <protection/>
    </xf>
    <xf numFmtId="165" fontId="0" fillId="0" borderId="0" xfId="21" applyNumberFormat="1" applyFont="1" applyBorder="1" applyAlignment="1">
      <alignment horizontal="center"/>
      <protection/>
    </xf>
    <xf numFmtId="165" fontId="0" fillId="0" borderId="8" xfId="21" applyNumberFormat="1" applyFont="1" applyBorder="1" applyAlignment="1">
      <alignment horizontal="center"/>
      <protection/>
    </xf>
    <xf numFmtId="165" fontId="0" fillId="0" borderId="1" xfId="21" applyNumberFormat="1" applyFont="1" applyBorder="1" applyAlignment="1">
      <alignment horizontal="center"/>
      <protection/>
    </xf>
    <xf numFmtId="165" fontId="0" fillId="0" borderId="2" xfId="21" applyNumberFormat="1" applyFont="1" applyBorder="1" applyAlignment="1">
      <alignment horizontal="center"/>
      <protection/>
    </xf>
    <xf numFmtId="165" fontId="0" fillId="0" borderId="7" xfId="21" applyNumberFormat="1" applyFont="1" applyBorder="1" applyAlignment="1">
      <alignment horizontal="center"/>
      <protection/>
    </xf>
    <xf numFmtId="165" fontId="0" fillId="0" borderId="3" xfId="21" applyNumberFormat="1" applyFont="1" applyBorder="1" applyAlignment="1">
      <alignment horizontal="center"/>
      <protection/>
    </xf>
    <xf numFmtId="165" fontId="0" fillId="0" borderId="4" xfId="21" applyNumberFormat="1" applyFont="1" applyBorder="1" applyAlignment="1">
      <alignment horizontal="center"/>
      <protection/>
    </xf>
    <xf numFmtId="165" fontId="0" fillId="0" borderId="9" xfId="21" applyNumberFormat="1" applyFont="1" applyBorder="1" applyAlignment="1">
      <alignment horizontal="center"/>
      <protection/>
    </xf>
    <xf numFmtId="165" fontId="1" fillId="0" borderId="0" xfId="21" applyNumberFormat="1" applyFont="1">
      <alignment/>
      <protection/>
    </xf>
    <xf numFmtId="165" fontId="1" fillId="0" borderId="0" xfId="21" applyNumberFormat="1" applyFont="1" applyBorder="1" applyAlignment="1">
      <alignment horizontal="center"/>
      <protection/>
    </xf>
    <xf numFmtId="165" fontId="0" fillId="0" borderId="0" xfId="21" applyNumberFormat="1" applyFont="1">
      <alignment/>
      <protection/>
    </xf>
    <xf numFmtId="165" fontId="0" fillId="0" borderId="2" xfId="21" applyNumberFormat="1" applyFont="1" applyBorder="1">
      <alignment/>
      <protection/>
    </xf>
    <xf numFmtId="165" fontId="0" fillId="0" borderId="4" xfId="21" applyNumberFormat="1" applyFont="1" applyBorder="1">
      <alignment/>
      <protection/>
    </xf>
    <xf numFmtId="165" fontId="0" fillId="0" borderId="6" xfId="21" applyNumberFormat="1" applyFont="1" applyBorder="1">
      <alignment/>
      <protection/>
    </xf>
    <xf numFmtId="165" fontId="0" fillId="0" borderId="0" xfId="21" applyNumberFormat="1" applyFont="1" applyBorder="1">
      <alignment/>
      <protection/>
    </xf>
    <xf numFmtId="165" fontId="2" fillId="0" borderId="0" xfId="21" applyNumberFormat="1" applyFont="1">
      <alignment/>
      <protection/>
    </xf>
    <xf numFmtId="176" fontId="0" fillId="0" borderId="2" xfId="21" applyNumberFormat="1" applyFont="1" applyBorder="1" applyAlignment="1">
      <alignment horizontal="center"/>
      <protection/>
    </xf>
    <xf numFmtId="176" fontId="0" fillId="0" borderId="4" xfId="21" applyNumberFormat="1" applyFont="1" applyBorder="1" applyAlignment="1">
      <alignment horizontal="center"/>
      <protection/>
    </xf>
    <xf numFmtId="176" fontId="1" fillId="0" borderId="0" xfId="21" applyNumberFormat="1" applyFont="1" applyBorder="1" applyAlignment="1">
      <alignment horizontal="center"/>
      <protection/>
    </xf>
    <xf numFmtId="176" fontId="0" fillId="0" borderId="0" xfId="21" applyNumberFormat="1" applyFont="1" applyBorder="1" applyAlignment="1">
      <alignment horizontal="center"/>
      <protection/>
    </xf>
    <xf numFmtId="165" fontId="1" fillId="0" borderId="4" xfId="21" applyNumberFormat="1" applyFont="1" applyBorder="1" applyAlignment="1">
      <alignment horizontal="center"/>
      <protection/>
    </xf>
    <xf numFmtId="176" fontId="1" fillId="0" borderId="4" xfId="21" applyNumberFormat="1" applyFont="1" applyBorder="1" applyAlignment="1">
      <alignment horizontal="center"/>
      <protection/>
    </xf>
    <xf numFmtId="165" fontId="1" fillId="0" borderId="9" xfId="21" applyNumberFormat="1" applyFont="1" applyBorder="1" applyAlignment="1">
      <alignment horizontal="center"/>
      <protection/>
    </xf>
    <xf numFmtId="165" fontId="2" fillId="0" borderId="0" xfId="21" applyNumberFormat="1" applyFont="1" applyBorder="1" applyAlignment="1">
      <alignment horizontal="center"/>
      <protection/>
    </xf>
    <xf numFmtId="0" fontId="1" fillId="0" borderId="0" xfId="21" applyFont="1" applyAlignment="1">
      <alignment vertical="top"/>
      <protection/>
    </xf>
    <xf numFmtId="0" fontId="1" fillId="0" borderId="0" xfId="21" applyFont="1" applyAlignment="1">
      <alignment horizontal="left" vertical="top"/>
      <protection/>
    </xf>
    <xf numFmtId="49" fontId="1" fillId="0" borderId="0" xfId="21" applyNumberFormat="1" applyFont="1" applyAlignment="1">
      <alignment wrapText="1"/>
      <protection/>
    </xf>
    <xf numFmtId="0" fontId="0" fillId="0" borderId="0" xfId="21" applyFont="1" applyAlignment="1">
      <alignment vertical="top"/>
      <protection/>
    </xf>
    <xf numFmtId="0" fontId="0" fillId="0" borderId="0" xfId="21" applyFont="1" applyAlignment="1">
      <alignment horizontal="left" vertical="top"/>
      <protection/>
    </xf>
    <xf numFmtId="49" fontId="0" fillId="0" borderId="0" xfId="21" applyNumberFormat="1" applyFont="1" applyAlignment="1">
      <alignment wrapText="1"/>
      <protection/>
    </xf>
    <xf numFmtId="0" fontId="0" fillId="0" borderId="0" xfId="0" applyAlignment="1">
      <alignment horizontal="right"/>
    </xf>
    <xf numFmtId="165" fontId="0" fillId="0" borderId="0" xfId="21" applyNumberFormat="1" applyFont="1" applyBorder="1" applyAlignment="1">
      <alignment horizontal="left"/>
      <protection/>
    </xf>
    <xf numFmtId="165" fontId="1" fillId="0" borderId="8" xfId="21" applyNumberFormat="1" applyFont="1" applyBorder="1" applyAlignment="1">
      <alignment horizontal="center"/>
      <protection/>
    </xf>
    <xf numFmtId="0" fontId="0" fillId="0" borderId="0" xfId="0" applyBorder="1" applyAlignment="1">
      <alignment/>
    </xf>
    <xf numFmtId="167" fontId="1" fillId="0" borderId="1" xfId="21" applyNumberFormat="1" applyFont="1" applyBorder="1" applyAlignment="1">
      <alignment horizontal="center"/>
      <protection/>
    </xf>
    <xf numFmtId="167" fontId="1" fillId="0" borderId="2" xfId="21" applyNumberFormat="1" applyFont="1" applyBorder="1" applyAlignment="1">
      <alignment horizontal="center"/>
      <protection/>
    </xf>
    <xf numFmtId="167" fontId="1" fillId="0" borderId="7" xfId="21" applyNumberFormat="1" applyFont="1" applyBorder="1" applyAlignment="1">
      <alignment horizontal="center"/>
      <protection/>
    </xf>
    <xf numFmtId="167" fontId="1" fillId="0" borderId="0" xfId="21" applyNumberFormat="1" applyFont="1" applyAlignment="1">
      <alignment horizontal="center"/>
      <protection/>
    </xf>
    <xf numFmtId="167" fontId="0" fillId="0" borderId="5" xfId="21" applyNumberFormat="1" applyFont="1" applyBorder="1" applyAlignment="1">
      <alignment horizontal="center"/>
      <protection/>
    </xf>
    <xf numFmtId="167" fontId="0" fillId="0" borderId="0" xfId="21" applyNumberFormat="1" applyFont="1" applyBorder="1" applyAlignment="1">
      <alignment horizontal="center"/>
      <protection/>
    </xf>
    <xf numFmtId="167" fontId="0" fillId="0" borderId="8" xfId="21" applyNumberFormat="1" applyFont="1" applyBorder="1" applyAlignment="1">
      <alignment horizontal="center"/>
      <protection/>
    </xf>
    <xf numFmtId="167" fontId="0" fillId="0" borderId="0" xfId="21" applyNumberFormat="1" applyFont="1" applyAlignment="1">
      <alignment horizontal="center"/>
      <protection/>
    </xf>
    <xf numFmtId="167" fontId="0" fillId="0" borderId="1" xfId="21" applyNumberFormat="1" applyFont="1" applyBorder="1" applyAlignment="1">
      <alignment horizontal="center"/>
      <protection/>
    </xf>
    <xf numFmtId="167" fontId="0" fillId="0" borderId="2" xfId="21" applyNumberFormat="1" applyFont="1" applyBorder="1" applyAlignment="1">
      <alignment horizontal="center"/>
      <protection/>
    </xf>
    <xf numFmtId="167" fontId="0" fillId="0" borderId="7" xfId="21" applyNumberFormat="1" applyFont="1" applyBorder="1" applyAlignment="1">
      <alignment horizontal="center"/>
      <protection/>
    </xf>
    <xf numFmtId="167" fontId="0" fillId="0" borderId="3" xfId="21" applyNumberFormat="1" applyFont="1" applyBorder="1" applyAlignment="1">
      <alignment horizontal="center"/>
      <protection/>
    </xf>
    <xf numFmtId="167" fontId="0" fillId="0" borderId="4" xfId="21" applyNumberFormat="1" applyFont="1" applyBorder="1" applyAlignment="1">
      <alignment horizontal="center"/>
      <protection/>
    </xf>
    <xf numFmtId="167" fontId="0" fillId="0" borderId="9" xfId="21" applyNumberFormat="1" applyFont="1" applyBorder="1" applyAlignment="1">
      <alignment horizontal="center"/>
      <protection/>
    </xf>
    <xf numFmtId="167" fontId="1" fillId="0" borderId="0" xfId="21" applyNumberFormat="1" applyFont="1" applyBorder="1" applyAlignment="1">
      <alignment horizontal="center"/>
      <protection/>
    </xf>
    <xf numFmtId="167" fontId="0" fillId="0" borderId="0" xfId="21" applyNumberFormat="1" applyFont="1">
      <alignment/>
      <protection/>
    </xf>
    <xf numFmtId="165" fontId="0" fillId="0" borderId="0" xfId="21" applyNumberFormat="1" applyFont="1" applyAlignment="1">
      <alignment horizontal="left"/>
      <protection/>
    </xf>
    <xf numFmtId="165" fontId="2" fillId="0" borderId="0" xfId="21" applyNumberFormat="1" applyFont="1" applyAlignment="1">
      <alignment horizontal="left"/>
      <protection/>
    </xf>
    <xf numFmtId="165" fontId="0" fillId="0" borderId="10" xfId="21" applyNumberFormat="1" applyFont="1" applyBorder="1" applyAlignment="1">
      <alignment horizontal="center"/>
      <protection/>
    </xf>
    <xf numFmtId="165" fontId="0" fillId="0" borderId="11" xfId="21" applyNumberFormat="1" applyFont="1" applyBorder="1" applyAlignment="1">
      <alignment horizontal="center"/>
      <protection/>
    </xf>
    <xf numFmtId="165" fontId="0" fillId="0" borderId="12" xfId="21" applyNumberFormat="1" applyFont="1" applyBorder="1" applyAlignment="1">
      <alignment horizontal="center"/>
      <protection/>
    </xf>
    <xf numFmtId="0" fontId="2" fillId="0" borderId="0" xfId="21" applyFont="1" applyBorder="1" applyAlignment="1">
      <alignment horizontal="center"/>
      <protection/>
    </xf>
    <xf numFmtId="0" fontId="0" fillId="0" borderId="13" xfId="21" applyFont="1" applyBorder="1">
      <alignment/>
      <protection/>
    </xf>
    <xf numFmtId="0" fontId="1" fillId="0" borderId="0" xfId="21" applyNumberFormat="1" applyFont="1" applyBorder="1" applyAlignment="1">
      <alignment horizontal="center"/>
      <protection/>
    </xf>
    <xf numFmtId="0" fontId="1" fillId="0" borderId="0" xfId="21" applyNumberFormat="1" applyFont="1" applyAlignment="1">
      <alignment horizontal="center"/>
      <protection/>
    </xf>
    <xf numFmtId="0" fontId="1" fillId="0" borderId="0" xfId="21" applyNumberFormat="1" applyFont="1" applyBorder="1">
      <alignment/>
      <protection/>
    </xf>
    <xf numFmtId="0" fontId="1" fillId="0" borderId="0" xfId="21" applyNumberFormat="1" applyFont="1">
      <alignment/>
      <protection/>
    </xf>
    <xf numFmtId="0" fontId="1" fillId="0" borderId="11" xfId="21" applyFont="1" applyBorder="1">
      <alignment/>
      <protection/>
    </xf>
    <xf numFmtId="0" fontId="0" fillId="0" borderId="10" xfId="21" applyFont="1" applyBorder="1">
      <alignment/>
      <protection/>
    </xf>
    <xf numFmtId="0" fontId="0" fillId="0" borderId="11" xfId="21" applyFont="1" applyBorder="1">
      <alignment/>
      <protection/>
    </xf>
    <xf numFmtId="0" fontId="0" fillId="0" borderId="12" xfId="21" applyFont="1" applyBorder="1">
      <alignment/>
      <protection/>
    </xf>
    <xf numFmtId="0" fontId="6" fillId="0" borderId="0" xfId="21" applyFont="1" applyBorder="1">
      <alignment/>
      <protection/>
    </xf>
    <xf numFmtId="0" fontId="0" fillId="0" borderId="7" xfId="21" applyFont="1" applyBorder="1">
      <alignment/>
      <protection/>
    </xf>
    <xf numFmtId="0" fontId="0" fillId="0" borderId="9" xfId="21" applyFont="1" applyBorder="1">
      <alignment/>
      <protection/>
    </xf>
    <xf numFmtId="0" fontId="0" fillId="0" borderId="8" xfId="21" applyFont="1" applyBorder="1">
      <alignment/>
      <protection/>
    </xf>
    <xf numFmtId="0" fontId="1" fillId="0" borderId="0" xfId="21" applyFont="1" applyAlignment="1">
      <alignment horizontal="left"/>
      <protection/>
    </xf>
    <xf numFmtId="165" fontId="1" fillId="0" borderId="11" xfId="21" applyNumberFormat="1" applyFont="1" applyBorder="1" applyAlignment="1">
      <alignment horizontal="center"/>
      <protection/>
    </xf>
    <xf numFmtId="0" fontId="1" fillId="0" borderId="7" xfId="21" applyFont="1" applyBorder="1" applyAlignment="1">
      <alignment horizontal="center"/>
      <protection/>
    </xf>
    <xf numFmtId="165" fontId="1" fillId="0" borderId="0" xfId="21" applyNumberFormat="1" applyFont="1" applyAlignment="1">
      <alignment horizontal="left"/>
      <protection/>
    </xf>
    <xf numFmtId="0" fontId="0" fillId="0" borderId="0" xfId="21" applyNumberFormat="1" applyFont="1">
      <alignment/>
      <protection/>
    </xf>
    <xf numFmtId="166" fontId="1" fillId="0" borderId="0" xfId="21" applyNumberFormat="1" applyFont="1" applyAlignment="1">
      <alignment horizontal="center"/>
      <protection/>
    </xf>
    <xf numFmtId="166" fontId="0" fillId="0" borderId="0" xfId="21" applyNumberFormat="1" applyFont="1" applyBorder="1" applyAlignment="1">
      <alignment horizontal="center"/>
      <protection/>
    </xf>
    <xf numFmtId="166" fontId="1" fillId="0" borderId="1" xfId="21" applyNumberFormat="1" applyFont="1" applyBorder="1" applyAlignment="1">
      <alignment horizontal="center"/>
      <protection/>
    </xf>
    <xf numFmtId="166" fontId="1" fillId="0" borderId="2" xfId="21" applyNumberFormat="1" applyFont="1" applyBorder="1" applyAlignment="1">
      <alignment horizontal="center"/>
      <protection/>
    </xf>
    <xf numFmtId="166" fontId="1" fillId="0" borderId="7" xfId="21" applyNumberFormat="1" applyFont="1" applyBorder="1" applyAlignment="1">
      <alignment horizontal="center"/>
      <protection/>
    </xf>
    <xf numFmtId="166" fontId="0" fillId="0" borderId="5" xfId="21" applyNumberFormat="1" applyFont="1" applyBorder="1" applyAlignment="1">
      <alignment horizontal="center"/>
      <protection/>
    </xf>
    <xf numFmtId="166" fontId="0" fillId="0" borderId="8" xfId="21" applyNumberFormat="1" applyFont="1" applyBorder="1" applyAlignment="1">
      <alignment horizontal="center"/>
      <protection/>
    </xf>
    <xf numFmtId="166" fontId="0" fillId="0" borderId="3" xfId="21" applyNumberFormat="1" applyFont="1" applyBorder="1" applyAlignment="1">
      <alignment horizontal="center"/>
      <protection/>
    </xf>
    <xf numFmtId="166" fontId="0" fillId="0" borderId="4" xfId="21" applyNumberFormat="1" applyFont="1" applyBorder="1" applyAlignment="1">
      <alignment horizontal="center"/>
      <protection/>
    </xf>
    <xf numFmtId="166" fontId="0" fillId="0" borderId="9" xfId="21" applyNumberFormat="1" applyFont="1" applyBorder="1" applyAlignment="1">
      <alignment horizontal="center"/>
      <protection/>
    </xf>
    <xf numFmtId="166" fontId="0" fillId="0" borderId="2" xfId="21" applyNumberFormat="1" applyFont="1" applyBorder="1" applyAlignment="1">
      <alignment horizontal="center"/>
      <protection/>
    </xf>
    <xf numFmtId="166" fontId="0" fillId="0" borderId="1" xfId="21" applyNumberFormat="1" applyFont="1" applyBorder="1" applyAlignment="1">
      <alignment horizontal="center"/>
      <protection/>
    </xf>
    <xf numFmtId="166" fontId="0" fillId="0" borderId="7" xfId="21" applyNumberFormat="1" applyFont="1" applyBorder="1" applyAlignment="1">
      <alignment horizontal="center"/>
      <protection/>
    </xf>
    <xf numFmtId="165" fontId="0" fillId="0" borderId="14" xfId="21" applyNumberFormat="1" applyFont="1" applyBorder="1" applyAlignment="1">
      <alignment horizontal="center"/>
      <protection/>
    </xf>
    <xf numFmtId="165" fontId="0" fillId="0" borderId="13" xfId="21" applyNumberFormat="1" applyFont="1" applyBorder="1" applyAlignment="1">
      <alignment horizontal="center"/>
      <protection/>
    </xf>
    <xf numFmtId="165" fontId="0" fillId="0" borderId="15" xfId="21" applyNumberFormat="1" applyFont="1" applyBorder="1" applyAlignment="1">
      <alignment horizontal="center"/>
      <protection/>
    </xf>
    <xf numFmtId="166" fontId="0" fillId="0" borderId="13" xfId="21" applyNumberFormat="1" applyFont="1" applyBorder="1" applyAlignment="1">
      <alignment horizontal="center"/>
      <protection/>
    </xf>
    <xf numFmtId="166" fontId="0" fillId="0" borderId="14" xfId="21" applyNumberFormat="1" applyFont="1" applyBorder="1" applyAlignment="1">
      <alignment horizontal="center"/>
      <protection/>
    </xf>
    <xf numFmtId="166" fontId="0" fillId="0" borderId="15" xfId="21" applyNumberFormat="1" applyFont="1" applyBorder="1" applyAlignment="1">
      <alignment horizontal="center"/>
      <protection/>
    </xf>
    <xf numFmtId="166" fontId="1" fillId="0" borderId="0" xfId="21" applyNumberFormat="1" applyFont="1">
      <alignment/>
      <protection/>
    </xf>
    <xf numFmtId="166" fontId="0" fillId="0" borderId="0" xfId="21" applyNumberFormat="1" applyFont="1">
      <alignment/>
      <protection/>
    </xf>
    <xf numFmtId="166" fontId="0" fillId="0" borderId="0" xfId="21" applyNumberFormat="1" applyFont="1" applyBorder="1">
      <alignment/>
      <protection/>
    </xf>
  </cellXfs>
  <cellStyles count="9">
    <cellStyle name="Normal" xfId="0"/>
    <cellStyle name="Hyperlink" xfId="15"/>
    <cellStyle name="Followed Hyperlink" xfId="16"/>
    <cellStyle name="Comma" xfId="17"/>
    <cellStyle name="Comma [0]" xfId="18"/>
    <cellStyle name="Currency" xfId="19"/>
    <cellStyle name="Currency [0]" xfId="20"/>
    <cellStyle name="Normal_Feuil1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31</xdr:row>
      <xdr:rowOff>95250</xdr:rowOff>
    </xdr:from>
    <xdr:to>
      <xdr:col>6</xdr:col>
      <xdr:colOff>323850</xdr:colOff>
      <xdr:row>63</xdr:row>
      <xdr:rowOff>152400</xdr:rowOff>
    </xdr:to>
    <xdr:sp>
      <xdr:nvSpPr>
        <xdr:cNvPr id="1" name="TextBox 1"/>
        <xdr:cNvSpPr txBox="1">
          <a:spLocks noChangeArrowheads="1"/>
        </xdr:cNvSpPr>
      </xdr:nvSpPr>
      <xdr:spPr>
        <a:xfrm>
          <a:off x="581025" y="5114925"/>
          <a:ext cx="5095875" cy="5238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Contents:
</a:t>
          </a:r>
          <a:r>
            <a:rPr lang="en-US" cap="none" sz="1000" b="0" i="0" u="none" baseline="0">
              <a:latin typeface="Times New Roman"/>
              <a:ea typeface="Times New Roman"/>
              <a:cs typeface="Times New Roman"/>
            </a:rPr>
            <a:t>
The file contains the following spreadsheets:
</a:t>
          </a:r>
          <a:r>
            <a:rPr lang="en-US" cap="none" sz="1000" b="1" i="0" u="none" baseline="0">
              <a:latin typeface="Times New Roman"/>
              <a:ea typeface="Times New Roman"/>
              <a:cs typeface="Times New Roman"/>
            </a:rPr>
            <a:t>Introduction:</a:t>
          </a:r>
          <a:r>
            <a:rPr lang="en-US" cap="none" sz="1000" b="0" i="0" u="none" baseline="0">
              <a:latin typeface="Times New Roman"/>
              <a:ea typeface="Times New Roman"/>
              <a:cs typeface="Times New Roman"/>
            </a:rPr>
            <a:t> This sheet.
</a:t>
          </a:r>
          <a:r>
            <a:rPr lang="en-US" cap="none" sz="1000" b="1" i="0" u="none" baseline="0">
              <a:latin typeface="Times New Roman"/>
              <a:ea typeface="Times New Roman"/>
              <a:cs typeface="Times New Roman"/>
            </a:rPr>
            <a:t>History: </a:t>
          </a:r>
          <a:r>
            <a:rPr lang="en-US" cap="none" sz="1000" b="0" i="0" u="none" baseline="0">
              <a:latin typeface="Times New Roman"/>
              <a:ea typeface="Times New Roman"/>
              <a:cs typeface="Times New Roman"/>
            </a:rPr>
            <a:t>Evolution history of the file
</a:t>
          </a:r>
          <a:r>
            <a:rPr lang="en-US" cap="none" sz="1000" b="1" i="0" u="none" baseline="0">
              <a:latin typeface="Times New Roman"/>
              <a:ea typeface="Times New Roman"/>
              <a:cs typeface="Times New Roman"/>
            </a:rPr>
            <a:t>Theory:</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Variables:</a:t>
          </a:r>
          <a:r>
            <a:rPr lang="en-US" cap="none" sz="1000" b="0" i="0" u="none" baseline="0">
              <a:latin typeface="Times New Roman"/>
              <a:ea typeface="Times New Roman"/>
              <a:cs typeface="Times New Roman"/>
            </a:rPr>
            <a:t> List of variables
</a:t>
          </a:r>
          <a:r>
            <a:rPr lang="en-US" cap="none" sz="1000" b="1" i="0" u="none" baseline="0">
              <a:latin typeface="Times New Roman"/>
              <a:ea typeface="Times New Roman"/>
              <a:cs typeface="Times New Roman"/>
            </a:rPr>
            <a:t>SurfaceList:</a:t>
          </a:r>
          <a:r>
            <a:rPr lang="en-US" cap="none" sz="1000" b="0" i="0" u="none" baseline="0">
              <a:latin typeface="Times New Roman"/>
              <a:ea typeface="Times New Roman"/>
              <a:cs typeface="Times New Roman"/>
            </a:rPr>
            <a:t> List of surface names and numbers used throughout
</a:t>
          </a:r>
          <a:r>
            <a:rPr lang="en-US" cap="none" sz="1000" b="0" i="1" u="none" baseline="0">
              <a:latin typeface="Times New Roman"/>
              <a:ea typeface="Times New Roman"/>
              <a:cs typeface="Times New Roman"/>
            </a:rPr>
            <a:t>Final results:</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Apertures:</a:t>
          </a:r>
          <a:r>
            <a:rPr lang="en-US" cap="none" sz="1000" b="0" i="0" u="none" baseline="0">
              <a:latin typeface="Times New Roman"/>
              <a:ea typeface="Times New Roman"/>
              <a:cs typeface="Times New Roman"/>
            </a:rPr>
            <a:t> Dimensions and decenters of apertures in local coordinates
</a:t>
          </a:r>
          <a:r>
            <a:rPr lang="en-US" cap="none" sz="1000" b="1" i="0" u="none" baseline="0">
              <a:latin typeface="Times New Roman"/>
              <a:ea typeface="Times New Roman"/>
              <a:cs typeface="Times New Roman"/>
            </a:rPr>
            <a:t>GutRayImpacts: </a:t>
          </a:r>
          <a:r>
            <a:rPr lang="en-US" cap="none" sz="1000" b="0" i="0" u="none" baseline="0">
              <a:latin typeface="Times New Roman"/>
              <a:ea typeface="Times New Roman"/>
              <a:cs typeface="Times New Roman"/>
            </a:rPr>
            <a:t>Coordinates of gut ray impacts on each surface
</a:t>
          </a:r>
          <a:r>
            <a:rPr lang="en-US" cap="none" sz="1000" b="1" i="0" u="none" baseline="0">
              <a:latin typeface="Times New Roman"/>
              <a:ea typeface="Times New Roman"/>
              <a:cs typeface="Times New Roman"/>
            </a:rPr>
            <a:t>Interfaces:</a:t>
          </a:r>
          <a:r>
            <a:rPr lang="en-US" cap="none" sz="1000" b="0" i="0" u="none" baseline="0">
              <a:latin typeface="Times New Roman"/>
              <a:ea typeface="Times New Roman"/>
              <a:cs typeface="Times New Roman"/>
            </a:rPr>
            <a:t> Coordinates defining mirror interfaces in global coordinates</a:t>
          </a:r>
          <a:r>
            <a:rPr lang="en-US" cap="none" sz="1000" b="1" i="0" u="none" baseline="0">
              <a:latin typeface="Times New Roman"/>
              <a:ea typeface="Times New Roman"/>
              <a:cs typeface="Times New Roman"/>
            </a:rPr>
            <a:t>
SurfDef:</a:t>
          </a:r>
          <a:r>
            <a:rPr lang="en-US" cap="none" sz="1000" b="0" i="0" u="none" baseline="0">
              <a:latin typeface="Times New Roman"/>
              <a:ea typeface="Times New Roman"/>
              <a:cs typeface="Times New Roman"/>
            </a:rPr>
            <a:t> Coordinates defining mirror interfaces in local coordinates
</a:t>
          </a:r>
          <a:r>
            <a:rPr lang="en-US" cap="none" sz="1000" b="0" i="1" u="none" baseline="0">
              <a:latin typeface="Times New Roman"/>
              <a:ea typeface="Times New Roman"/>
              <a:cs typeface="Times New Roman"/>
            </a:rPr>
            <a:t>Intermediate calculations:</a:t>
          </a:r>
          <a:r>
            <a:rPr lang="en-US" cap="none" sz="1000" b="1" i="0" u="none" baseline="0">
              <a:latin typeface="Times New Roman"/>
              <a:ea typeface="Times New Roman"/>
              <a:cs typeface="Times New Roman"/>
            </a:rPr>
            <a:t>
GutCalc:</a:t>
          </a:r>
          <a:r>
            <a:rPr lang="en-US" cap="none" sz="1000" b="0" i="0" u="none" baseline="0">
              <a:latin typeface="Times New Roman"/>
              <a:ea typeface="Times New Roman"/>
              <a:cs typeface="Times New Roman"/>
            </a:rPr>
            <a:t> Calculating surface normal vectors at gut ray impacts</a:t>
          </a:r>
          <a:r>
            <a:rPr lang="en-US" cap="none" sz="1000" b="1" i="0" u="none" baseline="0">
              <a:latin typeface="Times New Roman"/>
              <a:ea typeface="Times New Roman"/>
              <a:cs typeface="Times New Roman"/>
            </a:rPr>
            <a:t>
M3CentCalc: </a:t>
          </a:r>
          <a:r>
            <a:rPr lang="en-US" cap="none" sz="1000" b="0" i="0" u="none" baseline="0">
              <a:latin typeface="Times New Roman"/>
              <a:ea typeface="Times New Roman"/>
              <a:cs typeface="Times New Roman"/>
            </a:rPr>
            <a:t>Calculating surface normal vectors at centre of M3</a:t>
          </a:r>
          <a:r>
            <a:rPr lang="en-US" cap="none" sz="1000" b="1" i="0" u="none" baseline="0">
              <a:latin typeface="Times New Roman"/>
              <a:ea typeface="Times New Roman"/>
              <a:cs typeface="Times New Roman"/>
            </a:rPr>
            <a:t>
M5CentCalc: </a:t>
          </a:r>
          <a:r>
            <a:rPr lang="en-US" cap="none" sz="1000" b="0" i="0" u="none" baseline="0">
              <a:latin typeface="Times New Roman"/>
              <a:ea typeface="Times New Roman"/>
              <a:cs typeface="Times New Roman"/>
            </a:rPr>
            <a:t>Calculating surface normal vectors at centre of M5
</a:t>
          </a:r>
          <a:r>
            <a:rPr lang="en-US" cap="none" sz="1000" b="1" i="0" u="none" baseline="0">
              <a:latin typeface="Times New Roman"/>
              <a:ea typeface="Times New Roman"/>
              <a:cs typeface="Times New Roman"/>
            </a:rPr>
            <a:t>AperturesSyno:</a:t>
          </a:r>
          <a:r>
            <a:rPr lang="en-US" cap="none" sz="1000" b="0" i="0" u="none" baseline="0">
              <a:latin typeface="Times New Roman"/>
              <a:ea typeface="Times New Roman"/>
              <a:cs typeface="Times New Roman"/>
            </a:rPr>
            <a:t> Read aperture data from SYNO output</a:t>
          </a:r>
          <a:r>
            <a:rPr lang="en-US" cap="none" sz="1000" b="1" i="0" u="none" baseline="0">
              <a:latin typeface="Times New Roman"/>
              <a:ea typeface="Times New Roman"/>
              <a:cs typeface="Times New Roman"/>
            </a:rPr>
            <a:t>
VertexCalc: </a:t>
          </a:r>
          <a:r>
            <a:rPr lang="en-US" cap="none" sz="1000" b="0" i="0" u="none" baseline="0">
              <a:latin typeface="Times New Roman"/>
              <a:ea typeface="Times New Roman"/>
              <a:cs typeface="Times New Roman"/>
            </a:rPr>
            <a:t>Transform vertex data into instrument coordinates</a:t>
          </a:r>
          <a:r>
            <a:rPr lang="en-US" cap="none" sz="1000" b="1" i="0" u="none" baseline="0">
              <a:latin typeface="Times New Roman"/>
              <a:ea typeface="Times New Roman"/>
              <a:cs typeface="Times New Roman"/>
            </a:rPr>
            <a:t>
VerticesSyno: </a:t>
          </a:r>
          <a:r>
            <a:rPr lang="en-US" cap="none" sz="1000" b="0" i="0" u="none" baseline="0">
              <a:latin typeface="Times New Roman"/>
              <a:ea typeface="Times New Roman"/>
              <a:cs typeface="Times New Roman"/>
            </a:rPr>
            <a:t>Read vertex data from SYNO output and calculate local axes</a:t>
          </a:r>
          <a:r>
            <a:rPr lang="en-US" cap="none" sz="1000" b="1" i="0" u="none" baseline="0">
              <a:latin typeface="Times New Roman"/>
              <a:ea typeface="Times New Roman"/>
              <a:cs typeface="Times New Roman"/>
            </a:rPr>
            <a:t>
RayImpacts: </a:t>
          </a:r>
          <a:r>
            <a:rPr lang="en-US" cap="none" sz="1000" b="0" i="0" u="none" baseline="0">
              <a:latin typeface="Times New Roman"/>
              <a:ea typeface="Times New Roman"/>
              <a:cs typeface="Times New Roman"/>
            </a:rPr>
            <a:t>Transform ray impact data into instrument coordinates</a:t>
          </a:r>
          <a:r>
            <a:rPr lang="en-US" cap="none" sz="1000" b="1" i="0" u="none" baseline="0">
              <a:latin typeface="Times New Roman"/>
              <a:ea typeface="Times New Roman"/>
              <a:cs typeface="Times New Roman"/>
            </a:rPr>
            <a:t>
RayImpactsSyno:</a:t>
          </a:r>
          <a:r>
            <a:rPr lang="en-US" cap="none" sz="1000" b="0" i="0" u="none" baseline="0">
              <a:latin typeface="Times New Roman"/>
              <a:ea typeface="Times New Roman"/>
              <a:cs typeface="Times New Roman"/>
            </a:rPr>
            <a:t> Read ray impact data from SYNO output
</a:t>
          </a:r>
          <a:r>
            <a:rPr lang="en-US" cap="none" sz="1000" b="0" i="1" u="none" baseline="0">
              <a:latin typeface="Times New Roman"/>
              <a:ea typeface="Times New Roman"/>
              <a:cs typeface="Times New Roman"/>
            </a:rPr>
            <a:t>SYNOPSYS outputs:
- Listing of surface data and Euler angles in global coordinates and aperture data</a:t>
          </a:r>
          <a:r>
            <a:rPr lang="en-US" cap="none" sz="1000" b="1" i="0" u="none" baseline="0">
              <a:latin typeface="Times New Roman"/>
              <a:ea typeface="Times New Roman"/>
              <a:cs typeface="Times New Roman"/>
            </a:rPr>
            <a:t>
PhotGlob: </a:t>
          </a:r>
          <a:r>
            <a:rPr lang="en-US" cap="none" sz="1000" b="0" i="0" u="none" baseline="0">
              <a:latin typeface="Times New Roman"/>
              <a:ea typeface="Times New Roman"/>
              <a:cs typeface="Times New Roman"/>
            </a:rPr>
            <a:t>Photometer</a:t>
          </a:r>
          <a:r>
            <a:rPr lang="en-US" cap="none" sz="1000" b="1" i="0" u="none" baseline="0">
              <a:latin typeface="Times New Roman"/>
              <a:ea typeface="Times New Roman"/>
              <a:cs typeface="Times New Roman"/>
            </a:rPr>
            <a:t>
SpecGlob:</a:t>
          </a:r>
          <a:r>
            <a:rPr lang="en-US" cap="none" sz="1000" b="0" i="0" u="none" baseline="0">
              <a:latin typeface="Times New Roman"/>
              <a:ea typeface="Times New Roman"/>
              <a:cs typeface="Times New Roman"/>
            </a:rPr>
            <a:t> Spectrometer
</a:t>
          </a:r>
          <a:r>
            <a:rPr lang="en-US" cap="none" sz="1000" b="0" i="1" u="none" baseline="0">
              <a:latin typeface="Times New Roman"/>
              <a:ea typeface="Times New Roman"/>
              <a:cs typeface="Times New Roman"/>
            </a:rPr>
            <a:t>- Gut ray impacts in global coordinates</a:t>
          </a:r>
          <a:r>
            <a:rPr lang="en-US" cap="none" sz="1000" b="1" i="1" u="none" baseline="0">
              <a:latin typeface="Times New Roman"/>
              <a:ea typeface="Times New Roman"/>
              <a:cs typeface="Times New Roman"/>
            </a:rPr>
            <a:t>
</a:t>
          </a:r>
          <a:r>
            <a:rPr lang="en-US" cap="none" sz="1000" b="1" i="0" u="none" baseline="0">
              <a:latin typeface="Times New Roman"/>
              <a:ea typeface="Times New Roman"/>
              <a:cs typeface="Times New Roman"/>
            </a:rPr>
            <a:t>PhotGutRay: </a:t>
          </a:r>
          <a:r>
            <a:rPr lang="en-US" cap="none" sz="1000" b="0" i="0" u="none" baseline="0">
              <a:latin typeface="Times New Roman"/>
              <a:ea typeface="Times New Roman"/>
              <a:cs typeface="Times New Roman"/>
            </a:rPr>
            <a:t>Photometer</a:t>
          </a:r>
          <a:r>
            <a:rPr lang="en-US" cap="none" sz="1000" b="1" i="0" u="none" baseline="0">
              <a:latin typeface="Times New Roman"/>
              <a:ea typeface="Times New Roman"/>
              <a:cs typeface="Times New Roman"/>
            </a:rPr>
            <a:t>
SpecGutRay:</a:t>
          </a:r>
          <a:r>
            <a:rPr lang="en-US" cap="none" sz="1000" b="0" i="0" u="none" baseline="0">
              <a:latin typeface="Times New Roman"/>
              <a:ea typeface="Times New Roman"/>
              <a:cs typeface="Times New Roman"/>
            </a:rPr>
            <a:t> Spectrometer arm</a:t>
          </a:r>
          <a:r>
            <a:rPr lang="en-US" cap="none" sz="1000" b="1" i="0" u="none" baseline="0">
              <a:latin typeface="Times New Roman"/>
              <a:ea typeface="Times New Roman"/>
              <a:cs typeface="Times New Roman"/>
            </a:rPr>
            <a:t>
</a:t>
          </a:r>
          <a:r>
            <a:rPr lang="en-US" cap="none" sz="1000" b="0" i="1" u="none" baseline="0">
              <a:latin typeface="Times New Roman"/>
              <a:ea typeface="Times New Roman"/>
              <a:cs typeface="Times New Roman"/>
            </a:rPr>
            <a:t>- Other</a:t>
          </a:r>
          <a:r>
            <a:rPr lang="en-US" cap="none" sz="1000" b="1" i="0" u="none" baseline="0">
              <a:latin typeface="Times New Roman"/>
              <a:ea typeface="Times New Roman"/>
              <a:cs typeface="Times New Roman"/>
            </a:rPr>
            <a:t>
M3CentRay:</a:t>
          </a:r>
          <a:r>
            <a:rPr lang="en-US" cap="none" sz="1000" b="0" i="0" u="none" baseline="0">
              <a:latin typeface="Times New Roman"/>
              <a:ea typeface="Times New Roman"/>
              <a:cs typeface="Times New Roman"/>
            </a:rPr>
            <a:t> Ray impacts for ray centred on M3 in global coordinates</a:t>
          </a:r>
          <a:r>
            <a:rPr lang="en-US" cap="none" sz="1000" b="1" i="0" u="none" baseline="0">
              <a:latin typeface="Times New Roman"/>
              <a:ea typeface="Times New Roman"/>
              <a:cs typeface="Times New Roman"/>
            </a:rPr>
            <a:t>
M5CentRay:</a:t>
          </a:r>
          <a:r>
            <a:rPr lang="en-US" cap="none" sz="1000" b="0" i="0" u="none" baseline="0">
              <a:latin typeface="Times New Roman"/>
              <a:ea typeface="Times New Roman"/>
              <a:cs typeface="Times New Roman"/>
            </a:rPr>
            <a:t> Ray impacts for ray centred on M5 in global coordinates</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0</xdr:row>
      <xdr:rowOff>104775</xdr:rowOff>
    </xdr:from>
    <xdr:to>
      <xdr:col>6</xdr:col>
      <xdr:colOff>38100</xdr:colOff>
      <xdr:row>5</xdr:row>
      <xdr:rowOff>47625</xdr:rowOff>
    </xdr:to>
    <xdr:sp>
      <xdr:nvSpPr>
        <xdr:cNvPr id="2" name="TextBox 2"/>
        <xdr:cNvSpPr txBox="1">
          <a:spLocks noChangeArrowheads="1"/>
        </xdr:cNvSpPr>
      </xdr:nvSpPr>
      <xdr:spPr>
        <a:xfrm>
          <a:off x="752475" y="104775"/>
          <a:ext cx="4638675" cy="752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latin typeface="Times New Roman"/>
              <a:ea typeface="Times New Roman"/>
              <a:cs typeface="Times New Roman"/>
            </a:rPr>
            <a:t>FIRST - SPIRE 
Optical design configuration control file
PHOTOMETER and SPECTROMETER
</a:t>
          </a:r>
        </a:p>
      </xdr:txBody>
    </xdr:sp>
    <xdr:clientData/>
  </xdr:twoCellAnchor>
  <xdr:twoCellAnchor>
    <xdr:from>
      <xdr:col>1</xdr:col>
      <xdr:colOff>76200</xdr:colOff>
      <xdr:row>5</xdr:row>
      <xdr:rowOff>76200</xdr:rowOff>
    </xdr:from>
    <xdr:to>
      <xdr:col>6</xdr:col>
      <xdr:colOff>133350</xdr:colOff>
      <xdr:row>7</xdr:row>
      <xdr:rowOff>104775</xdr:rowOff>
    </xdr:to>
    <xdr:sp>
      <xdr:nvSpPr>
        <xdr:cNvPr id="3" name="TextBox 3"/>
        <xdr:cNvSpPr txBox="1">
          <a:spLocks noChangeArrowheads="1"/>
        </xdr:cNvSpPr>
      </xdr:nvSpPr>
      <xdr:spPr>
        <a:xfrm>
          <a:off x="762000" y="885825"/>
          <a:ext cx="47244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SPIREconfig39
Date: 16 Jan 2002</a:t>
          </a:r>
        </a:p>
      </xdr:txBody>
    </xdr:sp>
    <xdr:clientData/>
  </xdr:twoCellAnchor>
  <xdr:twoCellAnchor>
    <xdr:from>
      <xdr:col>0</xdr:col>
      <xdr:colOff>457200</xdr:colOff>
      <xdr:row>15</xdr:row>
      <xdr:rowOff>76200</xdr:rowOff>
    </xdr:from>
    <xdr:to>
      <xdr:col>6</xdr:col>
      <xdr:colOff>285750</xdr:colOff>
      <xdr:row>26</xdr:row>
      <xdr:rowOff>28575</xdr:rowOff>
    </xdr:to>
    <xdr:sp>
      <xdr:nvSpPr>
        <xdr:cNvPr id="4" name="TextBox 4"/>
        <xdr:cNvSpPr txBox="1">
          <a:spLocks noChangeArrowheads="1"/>
        </xdr:cNvSpPr>
      </xdr:nvSpPr>
      <xdr:spPr>
        <a:xfrm>
          <a:off x="457200" y="2505075"/>
          <a:ext cx="5181600" cy="1733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The configuration control file takes data generated by the SYNOPSYS raytracing program and calculates data concerning:
- Aperture data
- Gut ray impacts on the optical surfaces
- Interface points for each mirror in the instrument coordinate system
- Interface points in the local surface coordinates
It also transforms the left handed system used by SYNOPSYS into a right handed one and transforms the labels of the axis to be compatible with the instrument standard: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52</xdr:row>
      <xdr:rowOff>0</xdr:rowOff>
    </xdr:from>
    <xdr:to>
      <xdr:col>6</xdr:col>
      <xdr:colOff>609600</xdr:colOff>
      <xdr:row>59</xdr:row>
      <xdr:rowOff>28575</xdr:rowOff>
    </xdr:to>
    <xdr:sp>
      <xdr:nvSpPr>
        <xdr:cNvPr id="1" name="TextBox 1"/>
        <xdr:cNvSpPr txBox="1">
          <a:spLocks noChangeArrowheads="1"/>
        </xdr:cNvSpPr>
      </xdr:nvSpPr>
      <xdr:spPr>
        <a:xfrm>
          <a:off x="76200" y="8420100"/>
          <a:ext cx="4648200"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2. Surface normal vectors from ray impact data
---------------------------------------------------------------
</a:t>
          </a:r>
          <a:r>
            <a:rPr lang="en-US" cap="none" sz="1000" b="0" i="0" u="none" baseline="0">
              <a:latin typeface="Times New Roman"/>
              <a:ea typeface="Times New Roman"/>
              <a:cs typeface="Times New Roman"/>
            </a:rPr>
            <a:t>For CM3 and CM5 (see sec 3), interface data are calculated from ray impact data. These are provided by raytracing outputs in mm with 6 significant decimals. With around 100 path length between impact points, this gives an angular precision of around 1e-6 deg.</a:t>
          </a:r>
          <a:r>
            <a:rPr lang="en-US" cap="none" sz="1000" b="0" i="1" u="none" baseline="0">
              <a:latin typeface="Times New Roman"/>
              <a:ea typeface="Times New Roman"/>
              <a:cs typeface="Times New Roman"/>
            </a:rPr>
            <a:t>
</a:t>
          </a:r>
          <a:r>
            <a:rPr lang="en-US" cap="none" sz="1000" b="0" i="0" u="none" baseline="0">
              <a:latin typeface="Times New Roman"/>
              <a:ea typeface="Times New Roman"/>
              <a:cs typeface="Times New Roman"/>
            </a:rPr>
            <a:t>For each component (i) the direction cosines of the exiting ray vector is calculated by normalizing the difference between ray impact coordinates on surfaces i and i+1:
</a:t>
          </a:r>
        </a:p>
      </xdr:txBody>
    </xdr:sp>
    <xdr:clientData/>
  </xdr:twoCellAnchor>
  <xdr:twoCellAnchor>
    <xdr:from>
      <xdr:col>0</xdr:col>
      <xdr:colOff>133350</xdr:colOff>
      <xdr:row>10</xdr:row>
      <xdr:rowOff>57150</xdr:rowOff>
    </xdr:from>
    <xdr:to>
      <xdr:col>6</xdr:col>
      <xdr:colOff>561975</xdr:colOff>
      <xdr:row>22</xdr:row>
      <xdr:rowOff>133350</xdr:rowOff>
    </xdr:to>
    <xdr:sp>
      <xdr:nvSpPr>
        <xdr:cNvPr id="2" name="TextBox 2"/>
        <xdr:cNvSpPr txBox="1">
          <a:spLocks noChangeArrowheads="1"/>
        </xdr:cNvSpPr>
      </xdr:nvSpPr>
      <xdr:spPr>
        <a:xfrm>
          <a:off x="133350" y="1676400"/>
          <a:ext cx="4543425" cy="2019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1. Surface orientation from Euler angles</a:t>
          </a:r>
          <a:r>
            <a:rPr lang="en-US" cap="none" sz="1000" b="0" i="0" u="none" baseline="0">
              <a:latin typeface="Times New Roman"/>
              <a:ea typeface="Times New Roman"/>
              <a:cs typeface="Times New Roman"/>
            </a:rPr>
            <a:t>
-------------------------------------------------------
The listing of surface data in global coordinates give coordinates for each surface vertex and the Euler angles (in degrees with 5 significant decimals, ie a precision of 1e-5 deg) defining the orientation of the surface in space. These are used to calculate interface data for all mirrors except CM3 and CM5, see sec. 2 and 3.
The global coordinate system  used by SYNOPSYS is left-handed and has its origin at the telescope focal point, ie 202mm above the SPIRE origin. The Z-axis is along the telescope axis, pointing away from the telescope, the Y-axis is in the plane of the photometer, pointing towards PAX, the X-axis is perpendicular to the plane of the photometer, pointing towards the spectrometer, see table.
</a:t>
          </a:r>
        </a:p>
      </xdr:txBody>
    </xdr:sp>
    <xdr:clientData/>
  </xdr:twoCellAnchor>
  <xdr:twoCellAnchor>
    <xdr:from>
      <xdr:col>0</xdr:col>
      <xdr:colOff>161925</xdr:colOff>
      <xdr:row>27</xdr:row>
      <xdr:rowOff>28575</xdr:rowOff>
    </xdr:from>
    <xdr:to>
      <xdr:col>6</xdr:col>
      <xdr:colOff>581025</xdr:colOff>
      <xdr:row>35</xdr:row>
      <xdr:rowOff>104775</xdr:rowOff>
    </xdr:to>
    <xdr:sp>
      <xdr:nvSpPr>
        <xdr:cNvPr id="3" name="TextBox 3"/>
        <xdr:cNvSpPr txBox="1">
          <a:spLocks noChangeArrowheads="1"/>
        </xdr:cNvSpPr>
      </xdr:nvSpPr>
      <xdr:spPr>
        <a:xfrm>
          <a:off x="161925" y="4400550"/>
          <a:ext cx="4533900" cy="137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Euler angles aEuler, bEuler, cEuler represent consequtive rotations about the X, Y, and Z axes, respectively, in a counter-clockwise direction. The resulting coordinate system representing local surface coordinates are named Sag, Tang, and Norm, respectively. Norm is along the surface axis, Tan is in general in the plane of the system and Sag is in general pointing towards the optical bench. For centred surfaces, Norm defines the spigot axis and Sag defines the dowl location.
The local axes are produced by the following:
</a:t>
          </a:r>
        </a:p>
      </xdr:txBody>
    </xdr:sp>
    <xdr:clientData/>
  </xdr:twoCellAnchor>
  <xdr:twoCellAnchor>
    <xdr:from>
      <xdr:col>0</xdr:col>
      <xdr:colOff>161925</xdr:colOff>
      <xdr:row>69</xdr:row>
      <xdr:rowOff>19050</xdr:rowOff>
    </xdr:from>
    <xdr:to>
      <xdr:col>5</xdr:col>
      <xdr:colOff>657225</xdr:colOff>
      <xdr:row>95</xdr:row>
      <xdr:rowOff>76200</xdr:rowOff>
    </xdr:to>
    <xdr:sp>
      <xdr:nvSpPr>
        <xdr:cNvPr id="4" name="TextBox 7"/>
        <xdr:cNvSpPr txBox="1">
          <a:spLocks noChangeArrowheads="1"/>
        </xdr:cNvSpPr>
      </xdr:nvSpPr>
      <xdr:spPr>
        <a:xfrm>
          <a:off x="161925" y="11191875"/>
          <a:ext cx="3924300" cy="426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3. Surface sagittal vectors</a:t>
          </a:r>
          <a:r>
            <a:rPr lang="en-US" cap="none" sz="1000" b="0" i="0" u="none" baseline="0">
              <a:latin typeface="Times New Roman"/>
              <a:ea typeface="Times New Roman"/>
              <a:cs typeface="Times New Roman"/>
            </a:rPr>
            <a:t>
-----------------------------------
For centred surfaces, the spigot axis intercepts the optical surface at the surface vertec point, which is also coincident with the gut ray impact point. Two surfaces are not of this type:
</a:t>
          </a:r>
          <a:r>
            <a:rPr lang="en-US" cap="none" sz="1000" b="1" i="0" u="none" baseline="0">
              <a:latin typeface="Times New Roman"/>
              <a:ea typeface="Times New Roman"/>
              <a:cs typeface="Times New Roman"/>
            </a:rPr>
            <a:t>CM3: </a:t>
          </a:r>
          <a:r>
            <a:rPr lang="en-US" cap="none" sz="1000" b="0" i="0" u="none" baseline="0">
              <a:latin typeface="Times New Roman"/>
              <a:ea typeface="Times New Roman"/>
              <a:cs typeface="Times New Roman"/>
            </a:rPr>
            <a:t>This mirror is an off-axis asphere, ie its surface vertex does not coincide with the gut ray impact point. Also, since the mirror is common for photometer and spectrometer, its aperture is not symmetrical about the photometer gut ray impact point, and so the spigot , which is located near the centre of gravity of the mirror, does not intercept the surface in the gut ray impact point.</a:t>
          </a:r>
          <a:r>
            <a:rPr lang="en-US" cap="none" sz="1000" b="1" i="0" u="none" baseline="0">
              <a:latin typeface="Times New Roman"/>
              <a:ea typeface="Times New Roman"/>
              <a:cs typeface="Times New Roman"/>
            </a:rPr>
            <a:t>
CM5: </a:t>
          </a:r>
          <a:r>
            <a:rPr lang="en-US" cap="none" sz="1000" b="0" i="0" u="none" baseline="0">
              <a:latin typeface="Times New Roman"/>
              <a:ea typeface="Times New Roman"/>
              <a:cs typeface="Times New Roman"/>
            </a:rPr>
            <a:t>This mirror is common for photometer and spectrometer, its aperture is therefore not symmetrical about the photometer gut ray impact point, and so the spigot , which is located near the centre of gravity of the mirror, does not intercept the surface in the gut ray impact point.</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For each of these surfaces a separate ray is traced for which the sky coordinates are chosen so as to impact the mirror surface at the spigot axis interception point. Local normal vectors are calculated as above and used to define the spigot vectors for these mirrors.
The local Sag vector (required to define the dowl position) is calculated by rotating the Sag vector at the vertex through an angle Theta in the X-Y plane:
</a:t>
          </a:r>
        </a:p>
      </xdr:txBody>
    </xdr:sp>
    <xdr:clientData/>
  </xdr:twoCellAnchor>
  <xdr:twoCellAnchor>
    <xdr:from>
      <xdr:col>0</xdr:col>
      <xdr:colOff>95250</xdr:colOff>
      <xdr:row>63</xdr:row>
      <xdr:rowOff>9525</xdr:rowOff>
    </xdr:from>
    <xdr:to>
      <xdr:col>6</xdr:col>
      <xdr:colOff>638175</xdr:colOff>
      <xdr:row>65</xdr:row>
      <xdr:rowOff>66675</xdr:rowOff>
    </xdr:to>
    <xdr:sp>
      <xdr:nvSpPr>
        <xdr:cNvPr id="5" name="TextBox 8"/>
        <xdr:cNvSpPr txBox="1">
          <a:spLocks noChangeArrowheads="1"/>
        </xdr:cNvSpPr>
      </xdr:nvSpPr>
      <xdr:spPr>
        <a:xfrm>
          <a:off x="95250" y="10210800"/>
          <a:ext cx="46577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For reflecting surfaces, the local normal is obtained as the normalized difference between incident and reflected rays:</a:t>
          </a:r>
        </a:p>
      </xdr:txBody>
    </xdr:sp>
    <xdr:clientData/>
  </xdr:twoCellAnchor>
  <xdr:twoCellAnchor>
    <xdr:from>
      <xdr:col>0</xdr:col>
      <xdr:colOff>161925</xdr:colOff>
      <xdr:row>99</xdr:row>
      <xdr:rowOff>47625</xdr:rowOff>
    </xdr:from>
    <xdr:to>
      <xdr:col>5</xdr:col>
      <xdr:colOff>647700</xdr:colOff>
      <xdr:row>101</xdr:row>
      <xdr:rowOff>85725</xdr:rowOff>
    </xdr:to>
    <xdr:sp>
      <xdr:nvSpPr>
        <xdr:cNvPr id="6" name="TextBox 10"/>
        <xdr:cNvSpPr txBox="1">
          <a:spLocks noChangeArrowheads="1"/>
        </xdr:cNvSpPr>
      </xdr:nvSpPr>
      <xdr:spPr>
        <a:xfrm>
          <a:off x="161925" y="16078200"/>
          <a:ext cx="391477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Theta is the angle between the projections onto the X-Y plane of the spigot vector and the vertex normal vector:</a:t>
          </a:r>
        </a:p>
      </xdr:txBody>
    </xdr:sp>
    <xdr:clientData/>
  </xdr:twoCellAnchor>
  <xdr:twoCellAnchor>
    <xdr:from>
      <xdr:col>0</xdr:col>
      <xdr:colOff>180975</xdr:colOff>
      <xdr:row>105</xdr:row>
      <xdr:rowOff>66675</xdr:rowOff>
    </xdr:from>
    <xdr:to>
      <xdr:col>5</xdr:col>
      <xdr:colOff>666750</xdr:colOff>
      <xdr:row>106</xdr:row>
      <xdr:rowOff>114300</xdr:rowOff>
    </xdr:to>
    <xdr:sp>
      <xdr:nvSpPr>
        <xdr:cNvPr id="7" name="TextBox 11"/>
        <xdr:cNvSpPr txBox="1">
          <a:spLocks noChangeArrowheads="1"/>
        </xdr:cNvSpPr>
      </xdr:nvSpPr>
      <xdr:spPr>
        <a:xfrm>
          <a:off x="180975" y="17068800"/>
          <a:ext cx="39147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where the SIGNE function provides the correct sign of Theta.</a:t>
          </a:r>
        </a:p>
      </xdr:txBody>
    </xdr:sp>
    <xdr:clientData/>
  </xdr:twoCellAnchor>
  <xdr:twoCellAnchor>
    <xdr:from>
      <xdr:col>0</xdr:col>
      <xdr:colOff>133350</xdr:colOff>
      <xdr:row>0</xdr:row>
      <xdr:rowOff>85725</xdr:rowOff>
    </xdr:from>
    <xdr:to>
      <xdr:col>6</xdr:col>
      <xdr:colOff>590550</xdr:colOff>
      <xdr:row>10</xdr:row>
      <xdr:rowOff>38100</xdr:rowOff>
    </xdr:to>
    <xdr:sp>
      <xdr:nvSpPr>
        <xdr:cNvPr id="8" name="TextBox 12"/>
        <xdr:cNvSpPr txBox="1">
          <a:spLocks noChangeArrowheads="1"/>
        </xdr:cNvSpPr>
      </xdr:nvSpPr>
      <xdr:spPr>
        <a:xfrm>
          <a:off x="133350" y="85725"/>
          <a:ext cx="4572000" cy="157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Theory</a:t>
          </a:r>
          <a:r>
            <a:rPr lang="en-US" cap="none" sz="1000" b="0" i="0" u="none" baseline="0">
              <a:latin typeface="Times New Roman"/>
              <a:ea typeface="Times New Roman"/>
              <a:cs typeface="Times New Roman"/>
            </a:rPr>
            <a:t>
</a:t>
          </a:r>
          <a:r>
            <a:rPr lang="en-US" cap="none" sz="1000" b="0" i="1" u="none" baseline="0">
              <a:latin typeface="Times New Roman"/>
              <a:ea typeface="Times New Roman"/>
              <a:cs typeface="Times New Roman"/>
            </a:rPr>
            <a:t>Contents</a:t>
          </a:r>
          <a:r>
            <a:rPr lang="en-US" cap="none" sz="1000" b="0" i="0" u="none" baseline="0">
              <a:latin typeface="Times New Roman"/>
              <a:ea typeface="Times New Roman"/>
              <a:cs typeface="Times New Roman"/>
            </a:rPr>
            <a:t>
------------
1. Surface orientation from Euler angles
2. Surface normal vectors from ray impact data
3. Surface sagittal vectors
4. Interface data in global coordinates
5. Interface data in local coordinates</a:t>
          </a:r>
        </a:p>
      </xdr:txBody>
    </xdr:sp>
    <xdr:clientData/>
  </xdr:twoCellAnchor>
  <xdr:twoCellAnchor>
    <xdr:from>
      <xdr:col>0</xdr:col>
      <xdr:colOff>190500</xdr:colOff>
      <xdr:row>108</xdr:row>
      <xdr:rowOff>85725</xdr:rowOff>
    </xdr:from>
    <xdr:to>
      <xdr:col>5</xdr:col>
      <xdr:colOff>657225</xdr:colOff>
      <xdr:row>133</xdr:row>
      <xdr:rowOff>76200</xdr:rowOff>
    </xdr:to>
    <xdr:sp>
      <xdr:nvSpPr>
        <xdr:cNvPr id="9" name="TextBox 13"/>
        <xdr:cNvSpPr txBox="1">
          <a:spLocks noChangeArrowheads="1"/>
        </xdr:cNvSpPr>
      </xdr:nvSpPr>
      <xdr:spPr>
        <a:xfrm>
          <a:off x="190500" y="17573625"/>
          <a:ext cx="3895725" cy="403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4 Interface data in global coordinates (Interfa&amp;ces)
---------------------------------------------------
</a:t>
          </a:r>
          <a:r>
            <a:rPr lang="en-US" cap="none" sz="1000" b="0" i="0" u="none" baseline="0">
              <a:latin typeface="Times New Roman"/>
              <a:ea typeface="Times New Roman"/>
              <a:cs typeface="Times New Roman"/>
            </a:rPr>
            <a:t>For each mirror, the following are given in the global instrument coordinate system:
(Xmirr, Ymirr, Zmirr): coordinates of the intersection point between the spigot axis and the optical surface
(Xnorm, Ynorm, Znorm): direction cosines of the surface normal, pointing away from the optical surface. This is parallel with the spigot axis.
(Xspig, Yspig, Zspig): coordinates of the intersection between the spigot axis and the interface plane:
                        (XYZ)spig = (XYZ)mirr + ThMirr*(XYZ)norm
where ThMirr is a negative number giving the thickness of the mirror.
(Xsag, Ysag, Zsag): direction cosines of the surface sag vector along which the dowl is located. The sag vector always has a positive y co-ordinate.
(Xdowl, Ydowl, Zdowl): coordinates of the intersection between the dowl axis (parallel with the spigot axis) and the interface plane
                  (XYZ)dowl= (XYZ)spig + DowlDir*DowlSep*(XYZ)sag
where DowlDir = +-1 gives the direction towards the dowl and DowlSep is the distance between spigot and dowl axes.
                                          </a:t>
          </a:r>
        </a:p>
      </xdr:txBody>
    </xdr:sp>
    <xdr:clientData/>
  </xdr:twoCellAnchor>
  <xdr:twoCellAnchor>
    <xdr:from>
      <xdr:col>0</xdr:col>
      <xdr:colOff>228600</xdr:colOff>
      <xdr:row>133</xdr:row>
      <xdr:rowOff>133350</xdr:rowOff>
    </xdr:from>
    <xdr:to>
      <xdr:col>6</xdr:col>
      <xdr:colOff>9525</xdr:colOff>
      <xdr:row>141</xdr:row>
      <xdr:rowOff>9525</xdr:rowOff>
    </xdr:to>
    <xdr:sp>
      <xdr:nvSpPr>
        <xdr:cNvPr id="10" name="TextBox 14"/>
        <xdr:cNvSpPr txBox="1">
          <a:spLocks noChangeArrowheads="1"/>
        </xdr:cNvSpPr>
      </xdr:nvSpPr>
      <xdr:spPr>
        <a:xfrm>
          <a:off x="228600" y="21669375"/>
          <a:ext cx="3895725"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5. Interface data in local coordinates (SurfDef)
---------------------------------------------------
</a:t>
          </a:r>
          <a:r>
            <a:rPr lang="en-US" cap="none" sz="1000" b="0" i="0" u="none" baseline="0">
              <a:latin typeface="Times New Roman"/>
              <a:ea typeface="Times New Roman"/>
              <a:cs typeface="Times New Roman"/>
            </a:rPr>
            <a:t>For each mirror, the interface vectors listed above are also given in terms of local coordinates for each optical surface, whose origin is at the surface vertex and whose axes are aligned with the vertex normal. For the spigot interception points, this requires a transformation involving translation and rotation, expressed as:</a:t>
          </a:r>
        </a:p>
      </xdr:txBody>
    </xdr:sp>
    <xdr:clientData/>
  </xdr:twoCellAnchor>
  <xdr:twoCellAnchor>
    <xdr:from>
      <xdr:col>0</xdr:col>
      <xdr:colOff>219075</xdr:colOff>
      <xdr:row>151</xdr:row>
      <xdr:rowOff>142875</xdr:rowOff>
    </xdr:from>
    <xdr:to>
      <xdr:col>5</xdr:col>
      <xdr:colOff>676275</xdr:colOff>
      <xdr:row>154</xdr:row>
      <xdr:rowOff>76200</xdr:rowOff>
    </xdr:to>
    <xdr:sp>
      <xdr:nvSpPr>
        <xdr:cNvPr id="11" name="TextBox 15"/>
        <xdr:cNvSpPr txBox="1">
          <a:spLocks noChangeArrowheads="1"/>
        </xdr:cNvSpPr>
      </xdr:nvSpPr>
      <xdr:spPr>
        <a:xfrm>
          <a:off x="219075" y="24593550"/>
          <a:ext cx="3886200"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For the direction cosines for the Norm (spigot) and Sag (dowl) vectors, the transformation only involves rotation: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6</xdr:row>
      <xdr:rowOff>57150</xdr:rowOff>
    </xdr:from>
    <xdr:to>
      <xdr:col>23</xdr:col>
      <xdr:colOff>390525</xdr:colOff>
      <xdr:row>12</xdr:row>
      <xdr:rowOff>123825</xdr:rowOff>
    </xdr:to>
    <xdr:sp>
      <xdr:nvSpPr>
        <xdr:cNvPr id="1" name="Oval 1"/>
        <xdr:cNvSpPr>
          <a:spLocks/>
        </xdr:cNvSpPr>
      </xdr:nvSpPr>
      <xdr:spPr>
        <a:xfrm>
          <a:off x="13382625" y="1047750"/>
          <a:ext cx="1047750" cy="1047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219075</xdr:colOff>
      <xdr:row>7</xdr:row>
      <xdr:rowOff>28575</xdr:rowOff>
    </xdr:from>
    <xdr:to>
      <xdr:col>23</xdr:col>
      <xdr:colOff>238125</xdr:colOff>
      <xdr:row>11</xdr:row>
      <xdr:rowOff>95250</xdr:rowOff>
    </xdr:to>
    <xdr:sp>
      <xdr:nvSpPr>
        <xdr:cNvPr id="2" name="Line 2"/>
        <xdr:cNvSpPr>
          <a:spLocks/>
        </xdr:cNvSpPr>
      </xdr:nvSpPr>
      <xdr:spPr>
        <a:xfrm flipV="1">
          <a:off x="13525500" y="1181100"/>
          <a:ext cx="752475" cy="7239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590550</xdr:colOff>
      <xdr:row>9</xdr:row>
      <xdr:rowOff>85725</xdr:rowOff>
    </xdr:from>
    <xdr:to>
      <xdr:col>23</xdr:col>
      <xdr:colOff>123825</xdr:colOff>
      <xdr:row>10</xdr:row>
      <xdr:rowOff>114300</xdr:rowOff>
    </xdr:to>
    <xdr:sp>
      <xdr:nvSpPr>
        <xdr:cNvPr id="3" name="TextBox 3"/>
        <xdr:cNvSpPr txBox="1">
          <a:spLocks noChangeArrowheads="1"/>
        </xdr:cNvSpPr>
      </xdr:nvSpPr>
      <xdr:spPr>
        <a:xfrm>
          <a:off x="13896975" y="1571625"/>
          <a:ext cx="2667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Dia</a:t>
          </a:r>
        </a:p>
      </xdr:txBody>
    </xdr:sp>
    <xdr:clientData/>
  </xdr:twoCellAnchor>
  <xdr:twoCellAnchor>
    <xdr:from>
      <xdr:col>22</xdr:col>
      <xdr:colOff>76200</xdr:colOff>
      <xdr:row>15</xdr:row>
      <xdr:rowOff>47625</xdr:rowOff>
    </xdr:from>
    <xdr:to>
      <xdr:col>24</xdr:col>
      <xdr:colOff>57150</xdr:colOff>
      <xdr:row>21</xdr:row>
      <xdr:rowOff>85725</xdr:rowOff>
    </xdr:to>
    <xdr:sp>
      <xdr:nvSpPr>
        <xdr:cNvPr id="4" name="Oval 4"/>
        <xdr:cNvSpPr>
          <a:spLocks/>
        </xdr:cNvSpPr>
      </xdr:nvSpPr>
      <xdr:spPr>
        <a:xfrm>
          <a:off x="13382625" y="2514600"/>
          <a:ext cx="1400175" cy="1047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66675</xdr:colOff>
      <xdr:row>22</xdr:row>
      <xdr:rowOff>104775</xdr:rowOff>
    </xdr:from>
    <xdr:to>
      <xdr:col>24</xdr:col>
      <xdr:colOff>66675</xdr:colOff>
      <xdr:row>22</xdr:row>
      <xdr:rowOff>104775</xdr:rowOff>
    </xdr:to>
    <xdr:sp>
      <xdr:nvSpPr>
        <xdr:cNvPr id="5" name="Line 5"/>
        <xdr:cNvSpPr>
          <a:spLocks/>
        </xdr:cNvSpPr>
      </xdr:nvSpPr>
      <xdr:spPr>
        <a:xfrm flipV="1">
          <a:off x="13373100" y="3752850"/>
          <a:ext cx="14192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304800</xdr:colOff>
      <xdr:row>15</xdr:row>
      <xdr:rowOff>66675</xdr:rowOff>
    </xdr:from>
    <xdr:to>
      <xdr:col>24</xdr:col>
      <xdr:colOff>304800</xdr:colOff>
      <xdr:row>21</xdr:row>
      <xdr:rowOff>57150</xdr:rowOff>
    </xdr:to>
    <xdr:sp>
      <xdr:nvSpPr>
        <xdr:cNvPr id="6" name="Line 6"/>
        <xdr:cNvSpPr>
          <a:spLocks/>
        </xdr:cNvSpPr>
      </xdr:nvSpPr>
      <xdr:spPr>
        <a:xfrm flipV="1">
          <a:off x="15030450" y="2533650"/>
          <a:ext cx="0" cy="10001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361950</xdr:colOff>
      <xdr:row>17</xdr:row>
      <xdr:rowOff>123825</xdr:rowOff>
    </xdr:from>
    <xdr:to>
      <xdr:col>25</xdr:col>
      <xdr:colOff>123825</xdr:colOff>
      <xdr:row>18</xdr:row>
      <xdr:rowOff>152400</xdr:rowOff>
    </xdr:to>
    <xdr:sp>
      <xdr:nvSpPr>
        <xdr:cNvPr id="7" name="TextBox 7"/>
        <xdr:cNvSpPr txBox="1">
          <a:spLocks noChangeArrowheads="1"/>
        </xdr:cNvSpPr>
      </xdr:nvSpPr>
      <xdr:spPr>
        <a:xfrm>
          <a:off x="15087600" y="2933700"/>
          <a:ext cx="447675"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Dtang</a:t>
          </a:r>
        </a:p>
      </xdr:txBody>
    </xdr:sp>
    <xdr:clientData/>
  </xdr:twoCellAnchor>
  <xdr:twoCellAnchor>
    <xdr:from>
      <xdr:col>22</xdr:col>
      <xdr:colOff>561975</xdr:colOff>
      <xdr:row>23</xdr:row>
      <xdr:rowOff>0</xdr:rowOff>
    </xdr:from>
    <xdr:to>
      <xdr:col>23</xdr:col>
      <xdr:colOff>276225</xdr:colOff>
      <xdr:row>24</xdr:row>
      <xdr:rowOff>28575</xdr:rowOff>
    </xdr:to>
    <xdr:sp>
      <xdr:nvSpPr>
        <xdr:cNvPr id="8" name="TextBox 8"/>
        <xdr:cNvSpPr txBox="1">
          <a:spLocks noChangeArrowheads="1"/>
        </xdr:cNvSpPr>
      </xdr:nvSpPr>
      <xdr:spPr>
        <a:xfrm>
          <a:off x="13868400" y="3819525"/>
          <a:ext cx="447675"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Dsag</a:t>
          </a:r>
        </a:p>
      </xdr:txBody>
    </xdr:sp>
    <xdr:clientData/>
  </xdr:twoCellAnchor>
  <xdr:twoCellAnchor>
    <xdr:from>
      <xdr:col>20</xdr:col>
      <xdr:colOff>190500</xdr:colOff>
      <xdr:row>15</xdr:row>
      <xdr:rowOff>9525</xdr:rowOff>
    </xdr:from>
    <xdr:to>
      <xdr:col>21</xdr:col>
      <xdr:colOff>533400</xdr:colOff>
      <xdr:row>17</xdr:row>
      <xdr:rowOff>152400</xdr:rowOff>
    </xdr:to>
    <xdr:sp>
      <xdr:nvSpPr>
        <xdr:cNvPr id="9" name="TextBox 11"/>
        <xdr:cNvSpPr txBox="1">
          <a:spLocks noChangeArrowheads="1"/>
        </xdr:cNvSpPr>
      </xdr:nvSpPr>
      <xdr:spPr>
        <a:xfrm>
          <a:off x="12620625" y="2476500"/>
          <a:ext cx="533400" cy="485775"/>
        </a:xfrm>
        <a:prstGeom prst="rect">
          <a:avLst/>
        </a:prstGeom>
        <a:noFill/>
        <a:ln w="9525" cmpd="sng">
          <a:noFill/>
        </a:ln>
      </xdr:spPr>
      <xdr:txBody>
        <a:bodyPr vertOverflow="clip" wrap="square"/>
        <a:p>
          <a:pPr algn="ctr">
            <a:defRPr/>
          </a:pPr>
          <a:r>
            <a:rPr lang="en-US" cap="none" sz="1000" b="0" i="0" u="none" baseline="0">
              <a:latin typeface="Times New Roman"/>
              <a:ea typeface="Times New Roman"/>
              <a:cs typeface="Times New Roman"/>
            </a:rPr>
            <a:t>Surface Vertex
(XYZ)vertex</a:t>
          </a:r>
        </a:p>
      </xdr:txBody>
    </xdr:sp>
    <xdr:clientData/>
  </xdr:twoCellAnchor>
  <xdr:twoCellAnchor>
    <xdr:from>
      <xdr:col>21</xdr:col>
      <xdr:colOff>533400</xdr:colOff>
      <xdr:row>17</xdr:row>
      <xdr:rowOff>114300</xdr:rowOff>
    </xdr:from>
    <xdr:to>
      <xdr:col>22</xdr:col>
      <xdr:colOff>304800</xdr:colOff>
      <xdr:row>18</xdr:row>
      <xdr:rowOff>142875</xdr:rowOff>
    </xdr:to>
    <xdr:sp>
      <xdr:nvSpPr>
        <xdr:cNvPr id="10" name="Line 12"/>
        <xdr:cNvSpPr>
          <a:spLocks/>
        </xdr:cNvSpPr>
      </xdr:nvSpPr>
      <xdr:spPr>
        <a:xfrm>
          <a:off x="13154025" y="2924175"/>
          <a:ext cx="4572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457200</xdr:colOff>
      <xdr:row>12</xdr:row>
      <xdr:rowOff>123825</xdr:rowOff>
    </xdr:from>
    <xdr:to>
      <xdr:col>24</xdr:col>
      <xdr:colOff>352425</xdr:colOff>
      <xdr:row>15</xdr:row>
      <xdr:rowOff>123825</xdr:rowOff>
    </xdr:to>
    <xdr:sp>
      <xdr:nvSpPr>
        <xdr:cNvPr id="11" name="TextBox 13"/>
        <xdr:cNvSpPr txBox="1">
          <a:spLocks noChangeArrowheads="1"/>
        </xdr:cNvSpPr>
      </xdr:nvSpPr>
      <xdr:spPr>
        <a:xfrm>
          <a:off x="14497050" y="2095500"/>
          <a:ext cx="581025" cy="495300"/>
        </a:xfrm>
        <a:prstGeom prst="rect">
          <a:avLst/>
        </a:prstGeom>
        <a:noFill/>
        <a:ln w="9525" cmpd="sng">
          <a:noFill/>
        </a:ln>
      </xdr:spPr>
      <xdr:txBody>
        <a:bodyPr vertOverflow="clip" wrap="square"/>
        <a:p>
          <a:pPr algn="ctr">
            <a:defRPr/>
          </a:pPr>
          <a:r>
            <a:rPr lang="en-US" cap="none" sz="1000" b="0" i="0" u="none" baseline="0">
              <a:latin typeface="Times New Roman"/>
              <a:ea typeface="Times New Roman"/>
              <a:cs typeface="Times New Roman"/>
            </a:rPr>
            <a:t>Aperture centre
(XYZ)c</a:t>
          </a:r>
        </a:p>
      </xdr:txBody>
    </xdr:sp>
    <xdr:clientData/>
  </xdr:twoCellAnchor>
  <xdr:twoCellAnchor>
    <xdr:from>
      <xdr:col>23</xdr:col>
      <xdr:colOff>57150</xdr:colOff>
      <xdr:row>15</xdr:row>
      <xdr:rowOff>114300</xdr:rowOff>
    </xdr:from>
    <xdr:to>
      <xdr:col>23</xdr:col>
      <xdr:colOff>523875</xdr:colOff>
      <xdr:row>18</xdr:row>
      <xdr:rowOff>19050</xdr:rowOff>
    </xdr:to>
    <xdr:sp>
      <xdr:nvSpPr>
        <xdr:cNvPr id="12" name="Line 14"/>
        <xdr:cNvSpPr>
          <a:spLocks/>
        </xdr:cNvSpPr>
      </xdr:nvSpPr>
      <xdr:spPr>
        <a:xfrm flipH="1">
          <a:off x="14097000" y="2581275"/>
          <a:ext cx="4667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85725</xdr:colOff>
      <xdr:row>26</xdr:row>
      <xdr:rowOff>66675</xdr:rowOff>
    </xdr:from>
    <xdr:to>
      <xdr:col>24</xdr:col>
      <xdr:colOff>57150</xdr:colOff>
      <xdr:row>31</xdr:row>
      <xdr:rowOff>104775</xdr:rowOff>
    </xdr:to>
    <xdr:sp>
      <xdr:nvSpPr>
        <xdr:cNvPr id="13" name="Rectangle 15"/>
        <xdr:cNvSpPr>
          <a:spLocks/>
        </xdr:cNvSpPr>
      </xdr:nvSpPr>
      <xdr:spPr>
        <a:xfrm>
          <a:off x="13392150" y="4371975"/>
          <a:ext cx="1390650"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66675</xdr:colOff>
      <xdr:row>33</xdr:row>
      <xdr:rowOff>85725</xdr:rowOff>
    </xdr:from>
    <xdr:to>
      <xdr:col>24</xdr:col>
      <xdr:colOff>66675</xdr:colOff>
      <xdr:row>33</xdr:row>
      <xdr:rowOff>85725</xdr:rowOff>
    </xdr:to>
    <xdr:sp>
      <xdr:nvSpPr>
        <xdr:cNvPr id="14" name="Line 16"/>
        <xdr:cNvSpPr>
          <a:spLocks/>
        </xdr:cNvSpPr>
      </xdr:nvSpPr>
      <xdr:spPr>
        <a:xfrm flipV="1">
          <a:off x="13373100" y="5534025"/>
          <a:ext cx="14192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304800</xdr:colOff>
      <xdr:row>26</xdr:row>
      <xdr:rowOff>9525</xdr:rowOff>
    </xdr:from>
    <xdr:to>
      <xdr:col>24</xdr:col>
      <xdr:colOff>304800</xdr:colOff>
      <xdr:row>32</xdr:row>
      <xdr:rowOff>28575</xdr:rowOff>
    </xdr:to>
    <xdr:sp>
      <xdr:nvSpPr>
        <xdr:cNvPr id="15" name="Line 17"/>
        <xdr:cNvSpPr>
          <a:spLocks/>
        </xdr:cNvSpPr>
      </xdr:nvSpPr>
      <xdr:spPr>
        <a:xfrm flipV="1">
          <a:off x="15030450" y="4314825"/>
          <a:ext cx="0" cy="10001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361950</xdr:colOff>
      <xdr:row>28</xdr:row>
      <xdr:rowOff>76200</xdr:rowOff>
    </xdr:from>
    <xdr:to>
      <xdr:col>25</xdr:col>
      <xdr:colOff>123825</xdr:colOff>
      <xdr:row>29</xdr:row>
      <xdr:rowOff>104775</xdr:rowOff>
    </xdr:to>
    <xdr:sp>
      <xdr:nvSpPr>
        <xdr:cNvPr id="16" name="TextBox 18"/>
        <xdr:cNvSpPr txBox="1">
          <a:spLocks noChangeArrowheads="1"/>
        </xdr:cNvSpPr>
      </xdr:nvSpPr>
      <xdr:spPr>
        <a:xfrm>
          <a:off x="15087600" y="4714875"/>
          <a:ext cx="447675"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Dtang</a:t>
          </a:r>
        </a:p>
      </xdr:txBody>
    </xdr:sp>
    <xdr:clientData/>
  </xdr:twoCellAnchor>
  <xdr:twoCellAnchor>
    <xdr:from>
      <xdr:col>22</xdr:col>
      <xdr:colOff>561975</xdr:colOff>
      <xdr:row>33</xdr:row>
      <xdr:rowOff>152400</xdr:rowOff>
    </xdr:from>
    <xdr:to>
      <xdr:col>23</xdr:col>
      <xdr:colOff>276225</xdr:colOff>
      <xdr:row>35</xdr:row>
      <xdr:rowOff>19050</xdr:rowOff>
    </xdr:to>
    <xdr:sp>
      <xdr:nvSpPr>
        <xdr:cNvPr id="17" name="TextBox 19"/>
        <xdr:cNvSpPr txBox="1">
          <a:spLocks noChangeArrowheads="1"/>
        </xdr:cNvSpPr>
      </xdr:nvSpPr>
      <xdr:spPr>
        <a:xfrm>
          <a:off x="13868400" y="5600700"/>
          <a:ext cx="447675"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Dsag</a:t>
          </a:r>
        </a:p>
      </xdr:txBody>
    </xdr:sp>
    <xdr:clientData/>
  </xdr:twoCellAnchor>
  <xdr:twoCellAnchor>
    <xdr:from>
      <xdr:col>22</xdr:col>
      <xdr:colOff>695325</xdr:colOff>
      <xdr:row>28</xdr:row>
      <xdr:rowOff>85725</xdr:rowOff>
    </xdr:from>
    <xdr:to>
      <xdr:col>23</xdr:col>
      <xdr:colOff>152400</xdr:colOff>
      <xdr:row>29</xdr:row>
      <xdr:rowOff>114300</xdr:rowOff>
    </xdr:to>
    <xdr:sp>
      <xdr:nvSpPr>
        <xdr:cNvPr id="18" name="Oval 20"/>
        <xdr:cNvSpPr>
          <a:spLocks/>
        </xdr:cNvSpPr>
      </xdr:nvSpPr>
      <xdr:spPr>
        <a:xfrm>
          <a:off x="14001750" y="4724400"/>
          <a:ext cx="190500"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333375</xdr:colOff>
      <xdr:row>28</xdr:row>
      <xdr:rowOff>142875</xdr:rowOff>
    </xdr:from>
    <xdr:to>
      <xdr:col>23</xdr:col>
      <xdr:colOff>428625</xdr:colOff>
      <xdr:row>29</xdr:row>
      <xdr:rowOff>76200</xdr:rowOff>
    </xdr:to>
    <xdr:sp>
      <xdr:nvSpPr>
        <xdr:cNvPr id="19" name="Oval 21"/>
        <xdr:cNvSpPr>
          <a:spLocks/>
        </xdr:cNvSpPr>
      </xdr:nvSpPr>
      <xdr:spPr>
        <a:xfrm>
          <a:off x="14373225" y="4781550"/>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85725</xdr:colOff>
      <xdr:row>26</xdr:row>
      <xdr:rowOff>133350</xdr:rowOff>
    </xdr:from>
    <xdr:to>
      <xdr:col>21</xdr:col>
      <xdr:colOff>533400</xdr:colOff>
      <xdr:row>27</xdr:row>
      <xdr:rowOff>152400</xdr:rowOff>
    </xdr:to>
    <xdr:sp>
      <xdr:nvSpPr>
        <xdr:cNvPr id="20" name="TextBox 22"/>
        <xdr:cNvSpPr txBox="1">
          <a:spLocks noChangeArrowheads="1"/>
        </xdr:cNvSpPr>
      </xdr:nvSpPr>
      <xdr:spPr>
        <a:xfrm>
          <a:off x="12706350" y="4438650"/>
          <a:ext cx="447675"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Spigot</a:t>
          </a:r>
        </a:p>
      </xdr:txBody>
    </xdr:sp>
    <xdr:clientData/>
  </xdr:twoCellAnchor>
  <xdr:twoCellAnchor>
    <xdr:from>
      <xdr:col>21</xdr:col>
      <xdr:colOff>419100</xdr:colOff>
      <xdr:row>27</xdr:row>
      <xdr:rowOff>123825</xdr:rowOff>
    </xdr:from>
    <xdr:to>
      <xdr:col>22</xdr:col>
      <xdr:colOff>666750</xdr:colOff>
      <xdr:row>28</xdr:row>
      <xdr:rowOff>152400</xdr:rowOff>
    </xdr:to>
    <xdr:sp>
      <xdr:nvSpPr>
        <xdr:cNvPr id="21" name="Line 23"/>
        <xdr:cNvSpPr>
          <a:spLocks/>
        </xdr:cNvSpPr>
      </xdr:nvSpPr>
      <xdr:spPr>
        <a:xfrm>
          <a:off x="13039725" y="4600575"/>
          <a:ext cx="9334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457200</xdr:colOff>
      <xdr:row>24</xdr:row>
      <xdr:rowOff>76200</xdr:rowOff>
    </xdr:from>
    <xdr:to>
      <xdr:col>24</xdr:col>
      <xdr:colOff>219075</xdr:colOff>
      <xdr:row>25</xdr:row>
      <xdr:rowOff>104775</xdr:rowOff>
    </xdr:to>
    <xdr:sp>
      <xdr:nvSpPr>
        <xdr:cNvPr id="22" name="TextBox 24"/>
        <xdr:cNvSpPr txBox="1">
          <a:spLocks noChangeArrowheads="1"/>
        </xdr:cNvSpPr>
      </xdr:nvSpPr>
      <xdr:spPr>
        <a:xfrm>
          <a:off x="14497050" y="4057650"/>
          <a:ext cx="447675"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Dowl</a:t>
          </a:r>
        </a:p>
      </xdr:txBody>
    </xdr:sp>
    <xdr:clientData/>
  </xdr:twoCellAnchor>
  <xdr:twoCellAnchor>
    <xdr:from>
      <xdr:col>23</xdr:col>
      <xdr:colOff>419100</xdr:colOff>
      <xdr:row>25</xdr:row>
      <xdr:rowOff>76200</xdr:rowOff>
    </xdr:from>
    <xdr:to>
      <xdr:col>23</xdr:col>
      <xdr:colOff>600075</xdr:colOff>
      <xdr:row>28</xdr:row>
      <xdr:rowOff>142875</xdr:rowOff>
    </xdr:to>
    <xdr:sp>
      <xdr:nvSpPr>
        <xdr:cNvPr id="23" name="Line 25"/>
        <xdr:cNvSpPr>
          <a:spLocks/>
        </xdr:cNvSpPr>
      </xdr:nvSpPr>
      <xdr:spPr>
        <a:xfrm flipH="1">
          <a:off x="14458950" y="4219575"/>
          <a:ext cx="180975"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657225</xdr:colOff>
      <xdr:row>17</xdr:row>
      <xdr:rowOff>104775</xdr:rowOff>
    </xdr:from>
    <xdr:to>
      <xdr:col>23</xdr:col>
      <xdr:colOff>161925</xdr:colOff>
      <xdr:row>18</xdr:row>
      <xdr:rowOff>142875</xdr:rowOff>
    </xdr:to>
    <xdr:grpSp>
      <xdr:nvGrpSpPr>
        <xdr:cNvPr id="24" name="Group 30"/>
        <xdr:cNvGrpSpPr>
          <a:grpSpLocks/>
        </xdr:cNvGrpSpPr>
      </xdr:nvGrpSpPr>
      <xdr:grpSpPr>
        <a:xfrm>
          <a:off x="13963650" y="2914650"/>
          <a:ext cx="238125" cy="200025"/>
          <a:chOff x="933" y="318"/>
          <a:chExt cx="25" cy="21"/>
        </a:xfrm>
        <a:solidFill>
          <a:srgbClr val="FFFFFF"/>
        </a:solidFill>
      </xdr:grpSpPr>
      <xdr:sp>
        <xdr:nvSpPr>
          <xdr:cNvPr id="25" name="Line 31"/>
          <xdr:cNvSpPr>
            <a:spLocks/>
          </xdr:cNvSpPr>
        </xdr:nvSpPr>
        <xdr:spPr>
          <a:xfrm>
            <a:off x="945" y="318"/>
            <a:ext cx="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6" name="Line 32"/>
          <xdr:cNvSpPr>
            <a:spLocks/>
          </xdr:cNvSpPr>
        </xdr:nvSpPr>
        <xdr:spPr>
          <a:xfrm>
            <a:off x="933" y="329"/>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22</xdr:col>
      <xdr:colOff>295275</xdr:colOff>
      <xdr:row>19</xdr:row>
      <xdr:rowOff>9525</xdr:rowOff>
    </xdr:from>
    <xdr:to>
      <xdr:col>23</xdr:col>
      <xdr:colOff>390525</xdr:colOff>
      <xdr:row>19</xdr:row>
      <xdr:rowOff>9525</xdr:rowOff>
    </xdr:to>
    <xdr:sp>
      <xdr:nvSpPr>
        <xdr:cNvPr id="27" name="Line 33"/>
        <xdr:cNvSpPr>
          <a:spLocks/>
        </xdr:cNvSpPr>
      </xdr:nvSpPr>
      <xdr:spPr>
        <a:xfrm>
          <a:off x="13601700" y="3152775"/>
          <a:ext cx="828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371475</xdr:colOff>
      <xdr:row>16</xdr:row>
      <xdr:rowOff>123825</xdr:rowOff>
    </xdr:from>
    <xdr:to>
      <xdr:col>22</xdr:col>
      <xdr:colOff>371475</xdr:colOff>
      <xdr:row>19</xdr:row>
      <xdr:rowOff>66675</xdr:rowOff>
    </xdr:to>
    <xdr:sp>
      <xdr:nvSpPr>
        <xdr:cNvPr id="28" name="Line 34"/>
        <xdr:cNvSpPr>
          <a:spLocks/>
        </xdr:cNvSpPr>
      </xdr:nvSpPr>
      <xdr:spPr>
        <a:xfrm flipV="1">
          <a:off x="13677900" y="276225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152400</xdr:colOff>
      <xdr:row>19</xdr:row>
      <xdr:rowOff>57150</xdr:rowOff>
    </xdr:from>
    <xdr:to>
      <xdr:col>23</xdr:col>
      <xdr:colOff>600075</xdr:colOff>
      <xdr:row>20</xdr:row>
      <xdr:rowOff>76200</xdr:rowOff>
    </xdr:to>
    <xdr:sp>
      <xdr:nvSpPr>
        <xdr:cNvPr id="29" name="TextBox 35"/>
        <xdr:cNvSpPr txBox="1">
          <a:spLocks noChangeArrowheads="1"/>
        </xdr:cNvSpPr>
      </xdr:nvSpPr>
      <xdr:spPr>
        <a:xfrm>
          <a:off x="14192250" y="3200400"/>
          <a:ext cx="447675"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sag</a:t>
          </a:r>
        </a:p>
      </xdr:txBody>
    </xdr:sp>
    <xdr:clientData/>
  </xdr:twoCellAnchor>
  <xdr:twoCellAnchor>
    <xdr:from>
      <xdr:col>22</xdr:col>
      <xdr:colOff>371475</xdr:colOff>
      <xdr:row>15</xdr:row>
      <xdr:rowOff>161925</xdr:rowOff>
    </xdr:from>
    <xdr:to>
      <xdr:col>23</xdr:col>
      <xdr:colOff>85725</xdr:colOff>
      <xdr:row>17</xdr:row>
      <xdr:rowOff>9525</xdr:rowOff>
    </xdr:to>
    <xdr:sp>
      <xdr:nvSpPr>
        <xdr:cNvPr id="30" name="TextBox 36"/>
        <xdr:cNvSpPr txBox="1">
          <a:spLocks noChangeArrowheads="1"/>
        </xdr:cNvSpPr>
      </xdr:nvSpPr>
      <xdr:spPr>
        <a:xfrm>
          <a:off x="13677900" y="2628900"/>
          <a:ext cx="447675"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tang</a:t>
          </a:r>
        </a:p>
      </xdr:txBody>
    </xdr:sp>
    <xdr:clientData/>
  </xdr:twoCellAnchor>
  <xdr:twoCellAnchor>
    <xdr:from>
      <xdr:col>21</xdr:col>
      <xdr:colOff>257175</xdr:colOff>
      <xdr:row>35</xdr:row>
      <xdr:rowOff>38100</xdr:rowOff>
    </xdr:from>
    <xdr:to>
      <xdr:col>24</xdr:col>
      <xdr:colOff>590550</xdr:colOff>
      <xdr:row>49</xdr:row>
      <xdr:rowOff>104775</xdr:rowOff>
    </xdr:to>
    <xdr:sp>
      <xdr:nvSpPr>
        <xdr:cNvPr id="31" name="TextBox 37"/>
        <xdr:cNvSpPr txBox="1">
          <a:spLocks noChangeArrowheads="1"/>
        </xdr:cNvSpPr>
      </xdr:nvSpPr>
      <xdr:spPr>
        <a:xfrm>
          <a:off x="12877800" y="5810250"/>
          <a:ext cx="2438400" cy="2352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This sheet gives aperture dimensions and centre offset with respect to surface vertices (coincident with gut ray impact for all surfaces except CM3).
Interfaces for LAM supplied mirrors are given interms of spigot and dowl coordinates in the "Interfaces" sheet.
For other surfaces, CM4, filters, dichroics, etc, this sheet calculates the global co-ordinates of the geometrical aperture centres, XYZc, and unit vectors indicating norm and sag vectors.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PIREconficSpec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History"/>
      <sheetName val="Theory"/>
      <sheetName val="Variables"/>
      <sheetName val="GutRayImpacts"/>
      <sheetName val="Interfaces"/>
      <sheetName val="SurfDef"/>
      <sheetName val="GutCalc"/>
      <sheetName val="M3CentCalc"/>
      <sheetName val="M5CentCalc"/>
      <sheetName val="VertexCalc"/>
      <sheetName val="VerticesSyno"/>
      <sheetName val="RayImpacts"/>
      <sheetName val="RayImpactsSyno"/>
      <sheetName val="SpecGlobUp"/>
      <sheetName val="SpecGlobLo"/>
      <sheetName val="GutRayUp"/>
      <sheetName val="GutRayLo"/>
      <sheetName val="M3CentRay"/>
      <sheetName val="M5CentRa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9:E31"/>
  <sheetViews>
    <sheetView tabSelected="1" workbookViewId="0" topLeftCell="A1">
      <selection activeCell="C11" sqref="C11"/>
    </sheetView>
  </sheetViews>
  <sheetFormatPr defaultColWidth="12" defaultRowHeight="12.75"/>
  <cols>
    <col min="1" max="1" width="12" style="1" customWidth="1"/>
    <col min="2" max="6" width="16.33203125" style="1" customWidth="1"/>
    <col min="7" max="16384" width="12" style="1" customWidth="1"/>
  </cols>
  <sheetData>
    <row r="9" ht="12.75">
      <c r="B9" s="1" t="str">
        <f ca="1">CELL("nomfichier")</f>
        <v>C:\Utilisateurs\Kjetil\first\OptoMech\OpticsConfig\[SPIREconfig39.xls]History</v>
      </c>
    </row>
    <row r="10" ht="12.75">
      <c r="B10" s="23" t="s">
        <v>346</v>
      </c>
    </row>
    <row r="11" spans="4:5" ht="12.75">
      <c r="D11" s="1" t="s">
        <v>430</v>
      </c>
      <c r="E11" s="1" t="s">
        <v>546</v>
      </c>
    </row>
    <row r="12" spans="2:5" ht="12.75">
      <c r="B12" s="5" t="s">
        <v>487</v>
      </c>
      <c r="C12" s="1" t="s">
        <v>491</v>
      </c>
      <c r="D12" s="1" t="str">
        <f ca="1">INDIRECT(D$11&amp;$C12&amp;"!j4")</f>
        <v>(BOLPHT155D)</v>
      </c>
      <c r="E12" s="1" t="str">
        <f ca="1">INDIRECT(E$11&amp;$C12&amp;"!j4")</f>
        <v>(BOLSP508)</v>
      </c>
    </row>
    <row r="13" spans="2:5" ht="12.75">
      <c r="B13" s="5" t="s">
        <v>488</v>
      </c>
      <c r="C13" s="1" t="s">
        <v>492</v>
      </c>
      <c r="D13" s="1" t="str">
        <f ca="1">INDIRECT(D$11&amp;$C13&amp;"!j4")</f>
        <v>(BOLPHT155)</v>
      </c>
      <c r="E13" s="1" t="str">
        <f ca="1">INDIRECT(E$11&amp;$C13&amp;"!j4")</f>
        <v>(BOLSP508)</v>
      </c>
    </row>
    <row r="14" spans="2:4" ht="12.75">
      <c r="B14" s="5" t="s">
        <v>489</v>
      </c>
      <c r="C14" s="1" t="s">
        <v>671</v>
      </c>
      <c r="D14" s="1" t="str">
        <f ca="1">INDIRECT($C14&amp;"!j4")</f>
        <v>(BOLPHT154C)</v>
      </c>
    </row>
    <row r="15" spans="2:4" ht="12.75">
      <c r="B15" s="5" t="s">
        <v>490</v>
      </c>
      <c r="C15" s="1" t="s">
        <v>672</v>
      </c>
      <c r="D15" s="1" t="str">
        <f ca="1">INDIRECT($C15&amp;"!j4")</f>
        <v>(BOLPHT154C)</v>
      </c>
    </row>
    <row r="28" spans="2:5" ht="12.75">
      <c r="B28" s="29" t="s">
        <v>35</v>
      </c>
      <c r="C28" s="29" t="s">
        <v>342</v>
      </c>
      <c r="D28" s="29" t="s">
        <v>236</v>
      </c>
      <c r="E28" s="29" t="s">
        <v>343</v>
      </c>
    </row>
    <row r="29" spans="2:5" ht="12.75">
      <c r="B29" s="19" t="s">
        <v>14</v>
      </c>
      <c r="C29" s="19" t="str">
        <f>"-Zsyno"</f>
        <v>-Zsyno</v>
      </c>
      <c r="D29" s="19" t="s">
        <v>339</v>
      </c>
      <c r="E29" s="19" t="s">
        <v>117</v>
      </c>
    </row>
    <row r="30" spans="2:5" ht="12.75">
      <c r="B30" s="19" t="s">
        <v>69</v>
      </c>
      <c r="C30" s="19" t="s">
        <v>120</v>
      </c>
      <c r="D30" s="19" t="s">
        <v>340</v>
      </c>
      <c r="E30" s="19" t="s">
        <v>118</v>
      </c>
    </row>
    <row r="31" spans="2:5" ht="12.75">
      <c r="B31" s="19" t="s">
        <v>70</v>
      </c>
      <c r="C31" s="19" t="s">
        <v>121</v>
      </c>
      <c r="D31" s="19" t="s">
        <v>341</v>
      </c>
      <c r="E31" s="19" t="s">
        <v>119</v>
      </c>
    </row>
  </sheetData>
  <printOptions/>
  <pageMargins left="0.7874015748031497" right="0.7874015748031497" top="0.69" bottom="0.54" header="0.32" footer="0.29"/>
  <pageSetup fitToHeight="1" fitToWidth="1" horizontalDpi="600" verticalDpi="600" orientation="portrait" paperSize="9" scale="89" r:id="rId2"/>
  <headerFooter alignWithMargins="0">
    <oddHeader>&amp;L&amp;F, &amp;A&amp;R&amp;T, &amp;D</oddHeader>
    <oddFooter>&amp;CPage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D67"/>
  <sheetViews>
    <sheetView zoomScale="80" zoomScaleNormal="80" workbookViewId="0" topLeftCell="D1">
      <selection activeCell="Q4" sqref="Q4"/>
    </sheetView>
  </sheetViews>
  <sheetFormatPr defaultColWidth="12" defaultRowHeight="12.75"/>
  <cols>
    <col min="1" max="1" width="12" style="55" customWidth="1"/>
    <col min="2" max="2" width="15.5" style="55" customWidth="1"/>
    <col min="3" max="3" width="20.16015625" style="55" customWidth="1"/>
    <col min="4" max="4" width="12" style="55" customWidth="1"/>
    <col min="5" max="5" width="12" style="1" customWidth="1"/>
    <col min="6" max="6" width="8.83203125" style="55" customWidth="1"/>
    <col min="7" max="7" width="10.83203125" style="30" customWidth="1"/>
    <col min="8" max="8" width="12" style="30" customWidth="1"/>
    <col min="9" max="9" width="17.5" style="30" customWidth="1"/>
    <col min="10" max="10" width="12.33203125" style="30" customWidth="1"/>
    <col min="11" max="11" width="12" style="30" customWidth="1"/>
    <col min="12" max="12" width="15.16015625" style="30" customWidth="1"/>
    <col min="13" max="13" width="12.16015625" style="30" customWidth="1"/>
    <col min="14" max="14" width="13" style="30" customWidth="1"/>
    <col min="15" max="16" width="8.83203125" style="30" customWidth="1"/>
    <col min="17" max="17" width="15.33203125" style="45" customWidth="1"/>
    <col min="18" max="19" width="9.33203125" style="45" customWidth="1"/>
    <col min="20" max="23" width="9.33203125" style="30" customWidth="1"/>
    <col min="24" max="24" width="12" style="30" customWidth="1"/>
    <col min="25" max="25" width="12.33203125" style="139" customWidth="1"/>
    <col min="26" max="16384" width="12" style="55" customWidth="1"/>
  </cols>
  <sheetData>
    <row r="1" spans="1:25" s="53" customFormat="1" ht="12.75">
      <c r="A1" s="55" t="s">
        <v>555</v>
      </c>
      <c r="C1" s="25" t="s">
        <v>116</v>
      </c>
      <c r="D1" s="25" t="s">
        <v>2</v>
      </c>
      <c r="E1" s="5" t="s">
        <v>431</v>
      </c>
      <c r="F1" s="53" t="s">
        <v>145</v>
      </c>
      <c r="G1" s="41" t="str">
        <f>"X"&amp;Ray</f>
        <v>XGut</v>
      </c>
      <c r="H1" s="42" t="str">
        <f>"Y"&amp;Ray</f>
        <v>YGut</v>
      </c>
      <c r="I1" s="43" t="str">
        <f>"Z"&amp;Ray</f>
        <v>ZGut</v>
      </c>
      <c r="J1" s="32" t="s">
        <v>125</v>
      </c>
      <c r="K1" s="32" t="s">
        <v>126</v>
      </c>
      <c r="L1" s="32" t="s">
        <v>127</v>
      </c>
      <c r="M1" s="115" t="s">
        <v>128</v>
      </c>
      <c r="N1" s="32" t="s">
        <v>129</v>
      </c>
      <c r="O1" s="32" t="s">
        <v>130</v>
      </c>
      <c r="P1" s="32" t="s">
        <v>131</v>
      </c>
      <c r="Q1" s="41" t="s">
        <v>132</v>
      </c>
      <c r="R1" s="42" t="s">
        <v>133</v>
      </c>
      <c r="S1" s="43" t="s">
        <v>134</v>
      </c>
      <c r="T1" s="32" t="s">
        <v>135</v>
      </c>
      <c r="U1" s="41" t="s">
        <v>11</v>
      </c>
      <c r="V1" s="42" t="s">
        <v>12</v>
      </c>
      <c r="W1" s="43" t="s">
        <v>13</v>
      </c>
      <c r="X1" s="32" t="s">
        <v>331</v>
      </c>
      <c r="Y1" s="138"/>
    </row>
    <row r="2" spans="1:25" ht="13.5" thickBot="1">
      <c r="A2" s="55" t="s">
        <v>33</v>
      </c>
      <c r="B2" s="55" t="str">
        <f>PhotGutRay!J4</f>
        <v>(BOLPHT155)</v>
      </c>
      <c r="C2" s="19">
        <f aca="true" ca="1" t="shared" si="0" ref="C2:E21">IF(INDIRECT("SurfaceList!"&amp;ThisCol)="","",INDIRECT("SurfaceList!"&amp;ThisCol))</f>
      </c>
      <c r="D2" s="19" t="str">
        <f ca="1" t="shared" si="0"/>
        <v>Dummy</v>
      </c>
      <c r="E2" s="19" t="str">
        <f ca="1" t="shared" si="0"/>
        <v>Phot</v>
      </c>
      <c r="F2" s="19" t="str">
        <f aca="true" ca="1" t="shared" si="1" ref="F2:F49">IF(INDIRECT("SurfaceList!"&amp;ThisCol)="","",INDIRECT("SurfaceList!"&amp;ThisCol))</f>
        <v>Ignore</v>
      </c>
      <c r="G2" s="44">
        <f ca="1" t="shared" si="2" ref="G2:I21">INDIRECT("RayImpacts!"&amp;Axe&amp;System&amp;Ray)</f>
        <v>3252</v>
      </c>
      <c r="H2" s="45">
        <f ca="1" t="shared" si="2"/>
        <v>0</v>
      </c>
      <c r="I2" s="46">
        <f ca="1" t="shared" si="2"/>
        <v>61.176845</v>
      </c>
      <c r="J2" s="30">
        <f>IF(Flag="Ignore","",G2-G1)</f>
      </c>
      <c r="K2" s="30">
        <f>IF(Flag="Ignore","",H2-H1)</f>
      </c>
      <c r="L2" s="30">
        <f>IF(Flag="Ignore","",I2-I1)</f>
      </c>
      <c r="M2" s="97">
        <f aca="true" t="shared" si="3" ref="M2:M22">IF(Flag="ignore","",SQRT(Xdiff^2+Ydiff^2+Zdiff^2))</f>
      </c>
      <c r="N2" s="30">
        <f aca="true" t="shared" si="4" ref="N2:N22">IF(Flag="ignore","",Xdiff/DiffMod)</f>
      </c>
      <c r="O2" s="30">
        <f aca="true" t="shared" si="5" ref="O2:O22">IF(Flag="ignore","",Ydiff/DiffMod)</f>
      </c>
      <c r="P2" s="30">
        <f aca="true" t="shared" si="6" ref="P2:P22">IF(Flag="ignore","",Zdiff/DiffMod)</f>
      </c>
      <c r="Q2" s="44">
        <f>IF(OR(Flag="Ignore",Flag="Det",Flag="Hole"),"",N3-Xray)</f>
      </c>
      <c r="R2" s="45">
        <f>IF(OR(Flag="Ignore",Flag="Det",Flag="Hole"),"",O3-Yray)</f>
      </c>
      <c r="S2" s="46">
        <f>IF(OR(Flag="Ignore",Flag="Det",Flag="Hole"),"",P3-Zray)</f>
      </c>
      <c r="T2" s="30">
        <f>IF(OR(Flag="Ignore",Flag="Det",Flag="Hole"),"",SQRT(dXray^2+dYray^2+dZray^2))</f>
      </c>
      <c r="U2" s="44">
        <f>IF(OR(Flag="Ignore",Flag="Det",Flag="Hole"),"",dXray/drayMod)</f>
      </c>
      <c r="V2" s="45">
        <f>IF(OR(Flag="Ignore",Flag="Det",Flag="Hole"),"",dYray/drayMod)</f>
      </c>
      <c r="W2" s="46">
        <f>IF(OR(Flag="Ignore",Flag="Det",Flag="Hole"),"",dZray/drayMod)</f>
      </c>
      <c r="X2" s="30">
        <f>IF(OR(Flag="Ignore",Flag="Det",Flag="Hole"),"",SIGN(Xnorm))</f>
      </c>
      <c r="Y2" s="139" t="e">
        <f>Xnorm*VertexCalc!Xnorm+Ynorm*VertexCalc!Ynorm+Znorm*VertexCalc!Znorm</f>
        <v>#VALUE!</v>
      </c>
    </row>
    <row r="3" spans="3:25" ht="12.75">
      <c r="C3" s="10" t="str">
        <f ca="1" t="shared" si="0"/>
        <v>Telescope</v>
      </c>
      <c r="D3" s="11" t="str">
        <f ca="1" t="shared" si="0"/>
        <v>M1</v>
      </c>
      <c r="E3" s="11" t="str">
        <f ca="1" t="shared" si="0"/>
        <v>Phot</v>
      </c>
      <c r="F3" s="56" t="str">
        <f ca="1" t="shared" si="1"/>
        <v>Mirror</v>
      </c>
      <c r="G3" s="47">
        <f ca="1" t="shared" si="2"/>
        <v>1252.428903</v>
      </c>
      <c r="H3" s="48">
        <f ca="1" t="shared" si="2"/>
        <v>0</v>
      </c>
      <c r="I3" s="49">
        <f ca="1" t="shared" si="2"/>
        <v>54.793441</v>
      </c>
      <c r="J3" s="48">
        <f aca="true" t="shared" si="7" ref="J3:J22">IF(Flag="Ignore","",G3-G2)</f>
        <v>-1999.571097</v>
      </c>
      <c r="K3" s="48">
        <f aca="true" t="shared" si="8" ref="K3:K22">IF(Flag="Ignore","",H3-H2)</f>
        <v>0</v>
      </c>
      <c r="L3" s="48">
        <f aca="true" t="shared" si="9" ref="L3:L22">IF(Flag="Ignore","",I3-I2)</f>
        <v>-6.383403999999999</v>
      </c>
      <c r="M3" s="98">
        <f t="shared" si="3"/>
        <v>1999.5812861207744</v>
      </c>
      <c r="N3" s="48">
        <f t="shared" si="4"/>
        <v>-0.9999949043728079</v>
      </c>
      <c r="O3" s="48">
        <f t="shared" si="5"/>
        <v>0</v>
      </c>
      <c r="P3" s="48">
        <f t="shared" si="6"/>
        <v>-0.0031923703448855155</v>
      </c>
      <c r="Q3" s="47">
        <f aca="true" t="shared" si="10" ref="Q3:Q22">IF(OR(Flag="Ignore",Flag="Det",Flag="Hole"),"",N4-Xray)</f>
        <v>1.9993998261087873</v>
      </c>
      <c r="R3" s="48">
        <f aca="true" t="shared" si="11" ref="R3:R22">IF(OR(Flag="Ignore",Flag="Det",Flag="Hole"),"",O4-Yray)</f>
        <v>0</v>
      </c>
      <c r="S3" s="49">
        <f aca="true" t="shared" si="12" ref="S3:S22">IF(OR(Flag="Ignore",Flag="Det",Flag="Hole"),"",P4-Zray)</f>
        <v>-0.031301142232129577</v>
      </c>
      <c r="T3" s="48">
        <f aca="true" t="shared" si="13" ref="T3:T22">IF(OR(Flag="Ignore",Flag="Det",Flag="Hole"),"",SQRT(dXray^2+dYray^2+dZray^2))</f>
        <v>1.999644824999901</v>
      </c>
      <c r="U3" s="47">
        <f aca="true" t="shared" si="14" ref="U3:U22">IF(OR(Flag="Ignore",Flag="Det",Flag="Hole"),"",dXray/drayMod)</f>
        <v>0.9998774787962088</v>
      </c>
      <c r="V3" s="48">
        <f aca="true" t="shared" si="15" ref="V3:V22">IF(OR(Flag="Ignore",Flag="Det",Flag="Hole"),"",dYray/drayMod)</f>
        <v>0</v>
      </c>
      <c r="W3" s="49">
        <f aca="true" t="shared" si="16" ref="W3:W22">IF(OR(Flag="Ignore",Flag="Det",Flag="Hole"),"",dZray/drayMod)</f>
        <v>-0.01565335095552838</v>
      </c>
      <c r="X3" s="49">
        <f aca="true" t="shared" si="17" ref="X3:X22">IF(OR(Flag="Ignore",Flag="Det",Flag="Hole"),"",SIGN(Xnorm))</f>
        <v>1</v>
      </c>
      <c r="Y3" s="139">
        <f>Xnorm*VertexCalc!Xnorm+Ynorm*VertexCalc!Ynorm+Znorm*VertexCalc!Znorm</f>
        <v>0.9998774787962088</v>
      </c>
    </row>
    <row r="4" spans="3:25" ht="13.5" thickBot="1">
      <c r="C4" s="14">
        <f ca="1" t="shared" si="0"/>
      </c>
      <c r="D4" s="15" t="str">
        <f ca="1" t="shared" si="0"/>
        <v>M2</v>
      </c>
      <c r="E4" s="15" t="str">
        <f ca="1" t="shared" si="0"/>
        <v>Phot</v>
      </c>
      <c r="F4" s="57" t="str">
        <f ca="1" t="shared" si="1"/>
        <v>Mirror</v>
      </c>
      <c r="G4" s="50">
        <f ca="1" t="shared" si="2"/>
        <v>2839.998</v>
      </c>
      <c r="H4" s="51">
        <f ca="1" t="shared" si="2"/>
        <v>0</v>
      </c>
      <c r="I4" s="52">
        <f ca="1" t="shared" si="2"/>
        <v>7.11E-15</v>
      </c>
      <c r="J4" s="51">
        <f t="shared" si="7"/>
        <v>1587.569097</v>
      </c>
      <c r="K4" s="51">
        <f t="shared" si="8"/>
        <v>0</v>
      </c>
      <c r="L4" s="51">
        <f t="shared" si="9"/>
        <v>-54.793440999999994</v>
      </c>
      <c r="M4" s="99">
        <f t="shared" si="3"/>
        <v>1588.5143873840163</v>
      </c>
      <c r="N4" s="51">
        <f t="shared" si="4"/>
        <v>0.9994049217359794</v>
      </c>
      <c r="O4" s="51">
        <f t="shared" si="5"/>
        <v>0</v>
      </c>
      <c r="P4" s="51">
        <f t="shared" si="6"/>
        <v>-0.03449351257701509</v>
      </c>
      <c r="Q4" s="50" t="e">
        <f t="shared" si="10"/>
        <v>#VALUE!</v>
      </c>
      <c r="R4" s="51" t="e">
        <f t="shared" si="11"/>
        <v>#VALUE!</v>
      </c>
      <c r="S4" s="52" t="e">
        <f t="shared" si="12"/>
        <v>#VALUE!</v>
      </c>
      <c r="T4" s="51" t="e">
        <f t="shared" si="13"/>
        <v>#VALUE!</v>
      </c>
      <c r="U4" s="50" t="e">
        <f t="shared" si="14"/>
        <v>#VALUE!</v>
      </c>
      <c r="V4" s="51" t="e">
        <f t="shared" si="15"/>
        <v>#VALUE!</v>
      </c>
      <c r="W4" s="52" t="e">
        <f t="shared" si="16"/>
        <v>#VALUE!</v>
      </c>
      <c r="X4" s="52" t="e">
        <f t="shared" si="17"/>
        <v>#VALUE!</v>
      </c>
      <c r="Y4" s="139" t="e">
        <f>Xnorm*VertexCalc!Xnorm+Ynorm*VertexCalc!Ynorm+Znorm*VertexCalc!Znorm</f>
        <v>#VALUE!</v>
      </c>
    </row>
    <row r="5" spans="1:25" ht="13.5" thickBot="1">
      <c r="A5" s="55" t="s">
        <v>3</v>
      </c>
      <c r="B5" s="58" t="s">
        <v>136</v>
      </c>
      <c r="C5" s="10" t="str">
        <f ca="1" t="shared" si="0"/>
        <v>Common optics</v>
      </c>
      <c r="D5" s="11" t="str">
        <f ca="1" t="shared" si="0"/>
        <v>CFP</v>
      </c>
      <c r="E5" s="11" t="str">
        <f ca="1" t="shared" si="0"/>
        <v>Phot</v>
      </c>
      <c r="F5" s="56" t="str">
        <f ca="1" t="shared" si="1"/>
        <v>Ignore</v>
      </c>
      <c r="G5" s="47">
        <f ca="1" t="shared" si="2"/>
        <v>228.382552</v>
      </c>
      <c r="H5" s="48">
        <f ca="1" t="shared" si="2"/>
        <v>0</v>
      </c>
      <c r="I5" s="49">
        <f ca="1" t="shared" si="2"/>
        <v>-90.137429</v>
      </c>
      <c r="J5" s="48">
        <f t="shared" si="7"/>
      </c>
      <c r="K5" s="48">
        <f t="shared" si="8"/>
      </c>
      <c r="L5" s="48">
        <f t="shared" si="9"/>
      </c>
      <c r="M5" s="98">
        <f t="shared" si="3"/>
      </c>
      <c r="N5" s="48">
        <f t="shared" si="4"/>
      </c>
      <c r="O5" s="48">
        <f t="shared" si="5"/>
      </c>
      <c r="P5" s="48">
        <f t="shared" si="6"/>
      </c>
      <c r="Q5" s="47">
        <f t="shared" si="10"/>
      </c>
      <c r="R5" s="48">
        <f t="shared" si="11"/>
      </c>
      <c r="S5" s="49">
        <f t="shared" si="12"/>
      </c>
      <c r="T5" s="48">
        <f t="shared" si="13"/>
      </c>
      <c r="U5" s="47">
        <f t="shared" si="14"/>
      </c>
      <c r="V5" s="48">
        <f t="shared" si="15"/>
      </c>
      <c r="W5" s="49">
        <f t="shared" si="16"/>
      </c>
      <c r="X5" s="49">
        <f t="shared" si="17"/>
      </c>
      <c r="Y5" s="139" t="e">
        <f>Xnorm*VertexCalc!Xnorm+Ynorm*VertexCalc!Ynorm+Znorm*VertexCalc!Znorm</f>
        <v>#VALUE!</v>
      </c>
    </row>
    <row r="6" spans="3:25" ht="12.75">
      <c r="C6" s="18">
        <f ca="1" t="shared" si="0"/>
      </c>
      <c r="D6" s="19" t="str">
        <f ca="1" t="shared" si="0"/>
        <v>CM3</v>
      </c>
      <c r="E6" s="19" t="str">
        <f ca="1" t="shared" si="0"/>
        <v>Phot</v>
      </c>
      <c r="F6" s="59" t="str">
        <f ca="1" t="shared" si="1"/>
        <v>Mirror</v>
      </c>
      <c r="G6" s="44">
        <f ca="1" t="shared" si="2"/>
        <v>131.14166</v>
      </c>
      <c r="H6" s="45">
        <f ca="1" t="shared" si="2"/>
        <v>0</v>
      </c>
      <c r="I6" s="46">
        <f ca="1" t="shared" si="2"/>
        <v>-93.493606</v>
      </c>
      <c r="J6" s="45">
        <f t="shared" si="7"/>
        <v>-97.240892</v>
      </c>
      <c r="K6" s="45">
        <f t="shared" si="8"/>
        <v>0</v>
      </c>
      <c r="L6" s="45">
        <f t="shared" si="9"/>
        <v>-3.3561770000000024</v>
      </c>
      <c r="M6" s="97">
        <f t="shared" si="3"/>
        <v>97.29879239235703</v>
      </c>
      <c r="N6" s="45">
        <f t="shared" si="4"/>
        <v>-0.9994049217782319</v>
      </c>
      <c r="O6" s="45">
        <f t="shared" si="5"/>
        <v>0</v>
      </c>
      <c r="P6" s="45">
        <f t="shared" si="6"/>
        <v>-0.03449351135280519</v>
      </c>
      <c r="Q6" s="44">
        <f t="shared" si="10"/>
        <v>1.8658356402374152</v>
      </c>
      <c r="R6" s="45">
        <f t="shared" si="11"/>
        <v>0</v>
      </c>
      <c r="S6" s="46">
        <f t="shared" si="12"/>
        <v>-0.4648038049931809</v>
      </c>
      <c r="T6" s="45">
        <f t="shared" si="13"/>
        <v>1.9228586046603384</v>
      </c>
      <c r="U6" s="44">
        <f t="shared" si="14"/>
        <v>0.9703446918641239</v>
      </c>
      <c r="V6" s="45">
        <f t="shared" si="15"/>
        <v>0</v>
      </c>
      <c r="W6" s="46">
        <f t="shared" si="16"/>
        <v>-0.24172542061421398</v>
      </c>
      <c r="X6" s="46">
        <f t="shared" si="17"/>
        <v>1</v>
      </c>
      <c r="Y6" s="139">
        <f>Xnorm*VertexCalc!Xnorm+Ynorm*VertexCalc!Ynorm+Znorm*VertexCalc!Znorm</f>
        <v>0.9227292697321573</v>
      </c>
    </row>
    <row r="7" spans="3:25" ht="12.75">
      <c r="C7" s="18">
        <f ca="1" t="shared" si="0"/>
      </c>
      <c r="D7" s="19" t="str">
        <f ca="1" t="shared" si="0"/>
        <v>CM4</v>
      </c>
      <c r="E7" s="19" t="str">
        <f ca="1" t="shared" si="0"/>
        <v>Phot</v>
      </c>
      <c r="F7" s="59" t="str">
        <f ca="1" t="shared" si="1"/>
        <v>Mirror</v>
      </c>
      <c r="G7" s="44">
        <f ca="1" t="shared" si="2"/>
        <v>316.125099</v>
      </c>
      <c r="H7" s="45">
        <f ca="1" t="shared" si="2"/>
        <v>0</v>
      </c>
      <c r="I7" s="46">
        <f ca="1" t="shared" si="2"/>
        <v>-200.09386</v>
      </c>
      <c r="J7" s="45">
        <f t="shared" si="7"/>
        <v>184.98343899999998</v>
      </c>
      <c r="K7" s="45">
        <f t="shared" si="8"/>
        <v>0</v>
      </c>
      <c r="L7" s="45">
        <f t="shared" si="9"/>
        <v>-106.600254</v>
      </c>
      <c r="M7" s="97">
        <f t="shared" si="3"/>
        <v>213.50055469982092</v>
      </c>
      <c r="N7" s="45">
        <f t="shared" si="4"/>
        <v>0.8664307184591832</v>
      </c>
      <c r="O7" s="45">
        <f t="shared" si="5"/>
        <v>0</v>
      </c>
      <c r="P7" s="45">
        <f t="shared" si="6"/>
        <v>-0.4992973163459861</v>
      </c>
      <c r="Q7" s="44">
        <f t="shared" si="10"/>
        <v>-1.8610736640512038</v>
      </c>
      <c r="R7" s="45">
        <f t="shared" si="11"/>
        <v>0</v>
      </c>
      <c r="S7" s="46">
        <f t="shared" si="12"/>
        <v>0.6026675769823453</v>
      </c>
      <c r="T7" s="45">
        <f t="shared" si="13"/>
        <v>1.9562217132448827</v>
      </c>
      <c r="U7" s="44">
        <f t="shared" si="14"/>
        <v>-0.9513613162815517</v>
      </c>
      <c r="V7" s="45">
        <f t="shared" si="15"/>
        <v>0</v>
      </c>
      <c r="W7" s="46">
        <f t="shared" si="16"/>
        <v>0.30807733750315575</v>
      </c>
      <c r="X7" s="46">
        <f t="shared" si="17"/>
        <v>-1</v>
      </c>
      <c r="Y7" s="139">
        <f>Xnorm*VertexCalc!Xnorm+Ynorm*VertexCalc!Ynorm+Znorm*VertexCalc!Znorm</f>
        <v>1</v>
      </c>
    </row>
    <row r="8" spans="3:25" ht="13.5" thickBot="1">
      <c r="C8" s="14">
        <f ca="1" t="shared" si="0"/>
      </c>
      <c r="D8" s="15" t="str">
        <f ca="1" t="shared" si="0"/>
        <v>CM5</v>
      </c>
      <c r="E8" s="15" t="str">
        <f ca="1" t="shared" si="0"/>
        <v>Phot</v>
      </c>
      <c r="F8" s="57" t="str">
        <f ca="1" t="shared" si="1"/>
        <v>Mirror</v>
      </c>
      <c r="G8" s="50">
        <f ca="1" t="shared" si="2"/>
        <v>119.782557</v>
      </c>
      <c r="H8" s="51">
        <f ca="1" t="shared" si="2"/>
        <v>0</v>
      </c>
      <c r="I8" s="52">
        <f ca="1" t="shared" si="2"/>
        <v>-179.688568</v>
      </c>
      <c r="J8" s="51">
        <f t="shared" si="7"/>
        <v>-196.34254199999998</v>
      </c>
      <c r="K8" s="51">
        <f t="shared" si="8"/>
        <v>0</v>
      </c>
      <c r="L8" s="51">
        <f t="shared" si="9"/>
        <v>20.405292000000003</v>
      </c>
      <c r="M8" s="99">
        <f t="shared" si="3"/>
        <v>197.400024672306</v>
      </c>
      <c r="N8" s="51">
        <f t="shared" si="4"/>
        <v>-0.9946429455920206</v>
      </c>
      <c r="O8" s="51">
        <f t="shared" si="5"/>
        <v>0</v>
      </c>
      <c r="P8" s="51">
        <f t="shared" si="6"/>
        <v>0.10337026063635918</v>
      </c>
      <c r="Q8" s="50">
        <f t="shared" si="10"/>
        <v>1.905636263521358</v>
      </c>
      <c r="R8" s="51">
        <f t="shared" si="11"/>
        <v>0</v>
      </c>
      <c r="S8" s="52">
        <f t="shared" si="12"/>
        <v>-0.5157913739272493</v>
      </c>
      <c r="T8" s="51">
        <f t="shared" si="13"/>
        <v>1.9742062481578264</v>
      </c>
      <c r="U8" s="50">
        <f t="shared" si="14"/>
        <v>0.9652670612807286</v>
      </c>
      <c r="V8" s="51">
        <f t="shared" si="15"/>
        <v>0</v>
      </c>
      <c r="W8" s="52">
        <f t="shared" si="16"/>
        <v>-0.26126519172378526</v>
      </c>
      <c r="X8" s="52">
        <f t="shared" si="17"/>
        <v>1</v>
      </c>
      <c r="Y8" s="139">
        <f>Xnorm*VertexCalc!Xnorm+Ynorm*VertexCalc!Ynorm+Znorm*VertexCalc!Znorm</f>
        <v>0.9999999999902809</v>
      </c>
    </row>
    <row r="9" spans="3:25" ht="12.75">
      <c r="C9" s="10" t="str">
        <f ca="1" t="shared" si="0"/>
        <v>Photometer optics</v>
      </c>
      <c r="D9" s="11" t="str">
        <f ca="1" t="shared" si="0"/>
        <v>PM6</v>
      </c>
      <c r="E9" s="11" t="str">
        <f ca="1" t="shared" si="0"/>
        <v>Phot</v>
      </c>
      <c r="F9" s="56" t="str">
        <f ca="1" t="shared" si="1"/>
        <v>Mirror</v>
      </c>
      <c r="G9" s="47">
        <f ca="1" t="shared" si="2"/>
        <v>296.15067</v>
      </c>
      <c r="H9" s="48">
        <f ca="1" t="shared" si="2"/>
        <v>0</v>
      </c>
      <c r="I9" s="49">
        <f ca="1" t="shared" si="2"/>
        <v>-259.533208</v>
      </c>
      <c r="J9" s="48">
        <f t="shared" si="7"/>
        <v>176.368113</v>
      </c>
      <c r="K9" s="48">
        <f t="shared" si="8"/>
        <v>0</v>
      </c>
      <c r="L9" s="48">
        <f t="shared" si="9"/>
        <v>-79.84464</v>
      </c>
      <c r="M9" s="98">
        <f t="shared" si="3"/>
        <v>193.59978775791663</v>
      </c>
      <c r="N9" s="48">
        <f t="shared" si="4"/>
        <v>0.9109933179293375</v>
      </c>
      <c r="O9" s="48">
        <f t="shared" si="5"/>
        <v>0</v>
      </c>
      <c r="P9" s="48">
        <f t="shared" si="6"/>
        <v>-0.41242111329089004</v>
      </c>
      <c r="Q9" s="47">
        <f t="shared" si="10"/>
        <v>-1.9061485562424076</v>
      </c>
      <c r="R9" s="48">
        <f t="shared" si="11"/>
        <v>0</v>
      </c>
      <c r="S9" s="49">
        <f t="shared" si="12"/>
        <v>0.3141050329273167</v>
      </c>
      <c r="T9" s="48">
        <f t="shared" si="13"/>
        <v>1.9318551421303012</v>
      </c>
      <c r="U9" s="47">
        <f t="shared" si="14"/>
        <v>-0.9866933160114965</v>
      </c>
      <c r="V9" s="48">
        <f t="shared" si="15"/>
        <v>0</v>
      </c>
      <c r="W9" s="49">
        <f t="shared" si="16"/>
        <v>0.1625924356734873</v>
      </c>
      <c r="X9" s="49">
        <f t="shared" si="17"/>
        <v>-1</v>
      </c>
      <c r="Y9" s="139">
        <f>Xnorm*VertexCalc!Xnorm+Ynorm*VertexCalc!Ynorm+Znorm*VertexCalc!Znorm</f>
        <v>0.9999999999999989</v>
      </c>
    </row>
    <row r="10" spans="3:25" ht="12.75">
      <c r="C10" s="18">
        <f ca="1" t="shared" si="0"/>
      </c>
      <c r="D10" s="19" t="str">
        <f ca="1" t="shared" si="0"/>
        <v>PM7</v>
      </c>
      <c r="E10" s="19" t="str">
        <f ca="1" t="shared" si="0"/>
        <v>Phot</v>
      </c>
      <c r="F10" s="59" t="str">
        <f ca="1" t="shared" si="1"/>
        <v>Mirror</v>
      </c>
      <c r="G10" s="44">
        <f ca="1" t="shared" si="2"/>
        <v>94.234236</v>
      </c>
      <c r="H10" s="45">
        <f ca="1" t="shared" si="2"/>
        <v>0</v>
      </c>
      <c r="I10" s="46">
        <f ca="1" t="shared" si="2"/>
        <v>-279.481485</v>
      </c>
      <c r="J10" s="45">
        <f t="shared" si="7"/>
        <v>-201.91643399999998</v>
      </c>
      <c r="K10" s="45">
        <f t="shared" si="8"/>
        <v>0</v>
      </c>
      <c r="L10" s="45">
        <f t="shared" si="9"/>
        <v>-19.94827700000002</v>
      </c>
      <c r="M10" s="97">
        <f t="shared" si="3"/>
        <v>202.89943340124208</v>
      </c>
      <c r="N10" s="45">
        <f t="shared" si="4"/>
        <v>-0.9951552383130702</v>
      </c>
      <c r="O10" s="45">
        <f t="shared" si="5"/>
        <v>0</v>
      </c>
      <c r="P10" s="45">
        <f t="shared" si="6"/>
        <v>-0.09831608036357337</v>
      </c>
      <c r="Q10" s="44">
        <f t="shared" si="10"/>
        <v>1.772986870220171</v>
      </c>
      <c r="R10" s="45">
        <f t="shared" si="11"/>
        <v>0</v>
      </c>
      <c r="S10" s="46">
        <f t="shared" si="12"/>
        <v>-0.530156633765478</v>
      </c>
      <c r="T10" s="45">
        <f t="shared" si="13"/>
        <v>1.8505535653686602</v>
      </c>
      <c r="U10" s="44">
        <f t="shared" si="14"/>
        <v>0.9580845987924501</v>
      </c>
      <c r="V10" s="45">
        <f t="shared" si="15"/>
        <v>0</v>
      </c>
      <c r="W10" s="46">
        <f t="shared" si="16"/>
        <v>-0.2864854299204585</v>
      </c>
      <c r="X10" s="46">
        <f t="shared" si="17"/>
        <v>1</v>
      </c>
      <c r="Y10" s="139">
        <f>Xnorm*VertexCalc!Xnorm+Ynorm*VertexCalc!Ynorm+Znorm*VertexCalc!Znorm</f>
        <v>0.9999999999896765</v>
      </c>
    </row>
    <row r="11" spans="3:25" ht="12.75">
      <c r="C11" s="18">
        <f ca="1" t="shared" si="0"/>
      </c>
      <c r="D11" s="19" t="str">
        <f ca="1" t="shared" si="0"/>
        <v>PM8</v>
      </c>
      <c r="E11" s="19" t="str">
        <f ca="1" t="shared" si="0"/>
        <v>Phot</v>
      </c>
      <c r="F11" s="59" t="str">
        <f ca="1" t="shared" si="1"/>
        <v>Mirror</v>
      </c>
      <c r="G11" s="44">
        <f ca="1" t="shared" si="2"/>
        <v>240.46633</v>
      </c>
      <c r="H11" s="45">
        <f ca="1" t="shared" si="2"/>
        <v>0</v>
      </c>
      <c r="I11" s="46">
        <f ca="1" t="shared" si="2"/>
        <v>-397.634151</v>
      </c>
      <c r="J11" s="45">
        <f t="shared" si="7"/>
        <v>146.23209400000002</v>
      </c>
      <c r="K11" s="45">
        <f t="shared" si="8"/>
        <v>0</v>
      </c>
      <c r="L11" s="45">
        <f t="shared" si="9"/>
        <v>-118.15266599999995</v>
      </c>
      <c r="M11" s="97">
        <f t="shared" si="3"/>
        <v>187.99967499581587</v>
      </c>
      <c r="N11" s="45">
        <f t="shared" si="4"/>
        <v>0.7778316319071007</v>
      </c>
      <c r="O11" s="45">
        <f t="shared" si="5"/>
        <v>0</v>
      </c>
      <c r="P11" s="45">
        <f t="shared" si="6"/>
        <v>-0.6284727141290514</v>
      </c>
      <c r="Q11" s="44">
        <f t="shared" si="10"/>
        <v>-1.4578079392584908</v>
      </c>
      <c r="R11" s="45">
        <f t="shared" si="11"/>
        <v>0</v>
      </c>
      <c r="S11" s="46">
        <f t="shared" si="12"/>
        <v>-0.10476136953098136</v>
      </c>
      <c r="T11" s="45">
        <f t="shared" si="13"/>
        <v>1.461567286275625</v>
      </c>
      <c r="U11" s="44">
        <f t="shared" si="14"/>
        <v>-0.9974278659269161</v>
      </c>
      <c r="V11" s="45">
        <f t="shared" si="15"/>
        <v>0</v>
      </c>
      <c r="W11" s="46">
        <f t="shared" si="16"/>
        <v>-0.07167741814879762</v>
      </c>
      <c r="X11" s="46">
        <f t="shared" si="17"/>
        <v>-1</v>
      </c>
      <c r="Y11" s="139">
        <f>Xnorm*VertexCalc!Xnorm+Ynorm*VertexCalc!Ynorm+Znorm*VertexCalc!Znorm</f>
        <v>0.9999999999895659</v>
      </c>
    </row>
    <row r="12" spans="3:25" ht="12.75">
      <c r="C12" s="18">
        <f ca="1" t="shared" si="0"/>
      </c>
      <c r="D12" s="19" t="str">
        <f ca="1" t="shared" si="0"/>
        <v>PCS</v>
      </c>
      <c r="E12" s="19" t="str">
        <f ca="1" t="shared" si="0"/>
        <v>Phot</v>
      </c>
      <c r="F12" s="59" t="str">
        <f ca="1" t="shared" si="1"/>
        <v>Hole</v>
      </c>
      <c r="G12" s="44">
        <f ca="1" t="shared" si="2"/>
        <v>192.86738</v>
      </c>
      <c r="H12" s="45">
        <f ca="1" t="shared" si="2"/>
        <v>0</v>
      </c>
      <c r="I12" s="46">
        <f ca="1" t="shared" si="2"/>
        <v>-448.961193</v>
      </c>
      <c r="J12" s="45">
        <f t="shared" si="7"/>
        <v>-47.59895</v>
      </c>
      <c r="K12" s="45">
        <f t="shared" si="8"/>
        <v>0</v>
      </c>
      <c r="L12" s="45">
        <f t="shared" si="9"/>
        <v>-51.327042000000006</v>
      </c>
      <c r="M12" s="97">
        <f t="shared" si="3"/>
        <v>70.00089486265347</v>
      </c>
      <c r="N12" s="45">
        <f t="shared" si="4"/>
        <v>-0.6799763073513901</v>
      </c>
      <c r="O12" s="45">
        <f t="shared" si="5"/>
        <v>0</v>
      </c>
      <c r="P12" s="45">
        <f t="shared" si="6"/>
        <v>-0.7332340836600327</v>
      </c>
      <c r="Q12" s="44">
        <f t="shared" si="10"/>
      </c>
      <c r="R12" s="45">
        <f t="shared" si="11"/>
      </c>
      <c r="S12" s="46">
        <f t="shared" si="12"/>
      </c>
      <c r="T12" s="45">
        <f t="shared" si="13"/>
      </c>
      <c r="U12" s="44">
        <f t="shared" si="14"/>
      </c>
      <c r="V12" s="45">
        <f t="shared" si="15"/>
      </c>
      <c r="W12" s="46">
        <f t="shared" si="16"/>
      </c>
      <c r="X12" s="46">
        <f t="shared" si="17"/>
      </c>
      <c r="Y12" s="139" t="e">
        <f>Xnorm*VertexCalc!Xnorm+Ynorm*VertexCalc!Ynorm+Znorm*VertexCalc!Znorm</f>
        <v>#VALUE!</v>
      </c>
    </row>
    <row r="13" spans="3:25" ht="13.5" thickBot="1">
      <c r="C13" s="14">
        <f ca="1" t="shared" si="0"/>
      </c>
      <c r="D13" s="15" t="str">
        <f ca="1" t="shared" si="0"/>
        <v>PM9</v>
      </c>
      <c r="E13" s="15" t="str">
        <f ca="1" t="shared" si="0"/>
        <v>Phot</v>
      </c>
      <c r="F13" s="57" t="str">
        <f ca="1" t="shared" si="1"/>
        <v>Mirror</v>
      </c>
      <c r="G13" s="50">
        <f ca="1" t="shared" si="2"/>
        <v>104.471035</v>
      </c>
      <c r="H13" s="51">
        <f ca="1" t="shared" si="2"/>
        <v>0</v>
      </c>
      <c r="I13" s="52">
        <f ca="1" t="shared" si="2"/>
        <v>-544.281002</v>
      </c>
      <c r="J13" s="51">
        <f t="shared" si="7"/>
        <v>-88.396345</v>
      </c>
      <c r="K13" s="51">
        <f t="shared" si="8"/>
        <v>0</v>
      </c>
      <c r="L13" s="51">
        <f t="shared" si="9"/>
        <v>-95.31980899999996</v>
      </c>
      <c r="M13" s="99">
        <f t="shared" si="3"/>
        <v>129.99915306322382</v>
      </c>
      <c r="N13" s="51">
        <f t="shared" si="4"/>
        <v>-0.6799763145919059</v>
      </c>
      <c r="O13" s="51">
        <f t="shared" si="5"/>
        <v>0</v>
      </c>
      <c r="P13" s="51">
        <f t="shared" si="6"/>
        <v>-0.7332340769454252</v>
      </c>
      <c r="Q13" s="50">
        <f t="shared" si="10"/>
        <v>1.6721822244713773</v>
      </c>
      <c r="R13" s="51">
        <f t="shared" si="11"/>
        <v>0</v>
      </c>
      <c r="S13" s="52">
        <f t="shared" si="12"/>
        <v>0.8578431953928739</v>
      </c>
      <c r="T13" s="51">
        <f t="shared" si="13"/>
        <v>1.8793850961737193</v>
      </c>
      <c r="U13" s="50">
        <f t="shared" si="14"/>
        <v>0.8897496462411079</v>
      </c>
      <c r="V13" s="51">
        <f t="shared" si="15"/>
        <v>0</v>
      </c>
      <c r="W13" s="52">
        <f t="shared" si="16"/>
        <v>0.4564488657164385</v>
      </c>
      <c r="X13" s="52">
        <f t="shared" si="17"/>
        <v>1</v>
      </c>
      <c r="Y13" s="139">
        <f>Xnorm*VertexCalc!Xnorm+Ynorm*VertexCalc!Ynorm+Znorm*VertexCalc!Znorm</f>
        <v>0.9999999999750928</v>
      </c>
    </row>
    <row r="14" spans="3:25" ht="12.75">
      <c r="C14" s="10" t="str">
        <f ca="1" t="shared" si="0"/>
        <v>Short wave</v>
      </c>
      <c r="D14" s="11" t="str">
        <f ca="1" t="shared" si="0"/>
        <v>PDIC1</v>
      </c>
      <c r="E14" s="11" t="str">
        <f ca="1" t="shared" si="0"/>
        <v>Phot</v>
      </c>
      <c r="F14" s="56" t="str">
        <f ca="1" t="shared" si="1"/>
        <v>Hole</v>
      </c>
      <c r="G14" s="47">
        <f ca="1" t="shared" si="2"/>
        <v>238.419239</v>
      </c>
      <c r="H14" s="48">
        <f ca="1" t="shared" si="2"/>
        <v>0</v>
      </c>
      <c r="I14" s="49">
        <f ca="1" t="shared" si="2"/>
        <v>-527.45872</v>
      </c>
      <c r="J14" s="48">
        <f t="shared" si="7"/>
        <v>133.948204</v>
      </c>
      <c r="K14" s="48">
        <f t="shared" si="8"/>
        <v>0</v>
      </c>
      <c r="L14" s="48">
        <f t="shared" si="9"/>
        <v>16.822281999999973</v>
      </c>
      <c r="M14" s="98">
        <f t="shared" si="3"/>
        <v>135.00040935683543</v>
      </c>
      <c r="N14" s="48">
        <f t="shared" si="4"/>
        <v>0.9922059098794714</v>
      </c>
      <c r="O14" s="48">
        <f t="shared" si="5"/>
        <v>0</v>
      </c>
      <c r="P14" s="48">
        <f t="shared" si="6"/>
        <v>0.12460911844744874</v>
      </c>
      <c r="Q14" s="47">
        <f t="shared" si="10"/>
      </c>
      <c r="R14" s="48">
        <f t="shared" si="11"/>
      </c>
      <c r="S14" s="49">
        <f t="shared" si="12"/>
      </c>
      <c r="T14" s="48">
        <f t="shared" si="13"/>
      </c>
      <c r="U14" s="47">
        <f t="shared" si="14"/>
      </c>
      <c r="V14" s="48">
        <f t="shared" si="15"/>
      </c>
      <c r="W14" s="49">
        <f t="shared" si="16"/>
      </c>
      <c r="X14" s="49">
        <f t="shared" si="17"/>
      </c>
      <c r="Y14" s="139" t="e">
        <f>Xnorm*VertexCalc!Xnorm+Ynorm*VertexCalc!Ynorm+Znorm*VertexCalc!Znorm</f>
        <v>#VALUE!</v>
      </c>
    </row>
    <row r="15" spans="3:25" ht="12.75">
      <c r="C15" s="18">
        <f ca="1" t="shared" si="0"/>
      </c>
      <c r="D15" s="19" t="str">
        <f ca="1" t="shared" si="0"/>
        <v>PM10</v>
      </c>
      <c r="E15" s="19" t="str">
        <f ca="1" t="shared" si="0"/>
        <v>Phot</v>
      </c>
      <c r="F15" s="59" t="str">
        <f ca="1" t="shared" si="1"/>
        <v>Mirror</v>
      </c>
      <c r="G15" s="44">
        <f ca="1" t="shared" si="2"/>
        <v>139.942078</v>
      </c>
      <c r="H15" s="45">
        <f ca="1" t="shared" si="2"/>
        <v>1.82E-14</v>
      </c>
      <c r="I15" s="46">
        <f ca="1" t="shared" si="2"/>
        <v>-619.802462</v>
      </c>
      <c r="J15" s="45">
        <f t="shared" si="7"/>
        <v>-98.477161</v>
      </c>
      <c r="K15" s="45">
        <f t="shared" si="8"/>
        <v>1.82E-14</v>
      </c>
      <c r="L15" s="45">
        <f t="shared" si="9"/>
        <v>-92.34374200000002</v>
      </c>
      <c r="M15" s="97">
        <f t="shared" si="3"/>
        <v>135.00043675922862</v>
      </c>
      <c r="N15" s="45">
        <f t="shared" si="4"/>
        <v>-0.7294580918699739</v>
      </c>
      <c r="O15" s="45">
        <f t="shared" si="5"/>
        <v>1.3481437865611832E-16</v>
      </c>
      <c r="P15" s="45">
        <f t="shared" si="6"/>
        <v>-0.6840255055225768</v>
      </c>
      <c r="Q15" s="44">
        <f t="shared" si="10"/>
        <v>0.7294630718699737</v>
      </c>
      <c r="R15" s="45">
        <f t="shared" si="11"/>
        <v>-0.9999999999734487</v>
      </c>
      <c r="S15" s="46">
        <f t="shared" si="12"/>
        <v>0.6840201855225767</v>
      </c>
      <c r="T15" s="45">
        <f t="shared" si="13"/>
        <v>1.4142135579081456</v>
      </c>
      <c r="U15" s="44">
        <f t="shared" si="14"/>
        <v>0.5158082863729362</v>
      </c>
      <c r="V15" s="45">
        <f t="shared" si="15"/>
        <v>-0.7071067834002476</v>
      </c>
      <c r="W15" s="46">
        <f t="shared" si="16"/>
        <v>0.48367531317855206</v>
      </c>
      <c r="X15" s="46">
        <f t="shared" si="17"/>
        <v>1</v>
      </c>
      <c r="Y15" s="139">
        <f>Xnorm*VertexCalc!Xnorm+Ynorm*VertexCalc!Ynorm+Znorm*VertexCalc!Znorm</f>
        <v>1</v>
      </c>
    </row>
    <row r="16" spans="3:25" ht="13.5" thickBot="1">
      <c r="C16" s="14">
        <f ca="1" t="shared" si="0"/>
      </c>
      <c r="D16" s="15" t="str">
        <f ca="1" t="shared" si="0"/>
        <v>PSW</v>
      </c>
      <c r="E16" s="15" t="str">
        <f ca="1" t="shared" si="0"/>
        <v>Phot</v>
      </c>
      <c r="F16" s="57" t="str">
        <f ca="1" t="shared" si="1"/>
        <v>Det</v>
      </c>
      <c r="G16" s="50">
        <f ca="1" t="shared" si="2"/>
        <v>139.942327</v>
      </c>
      <c r="H16" s="51">
        <f ca="1" t="shared" si="2"/>
        <v>-50</v>
      </c>
      <c r="I16" s="52">
        <f ca="1" t="shared" si="2"/>
        <v>-619.802728</v>
      </c>
      <c r="J16" s="51">
        <f t="shared" si="7"/>
        <v>0.00024899999999661304</v>
      </c>
      <c r="K16" s="51">
        <f t="shared" si="8"/>
        <v>-50.00000000000002</v>
      </c>
      <c r="L16" s="51">
        <f t="shared" si="9"/>
        <v>-0.0002660000000105356</v>
      </c>
      <c r="M16" s="99">
        <f t="shared" si="3"/>
        <v>50.00000000132759</v>
      </c>
      <c r="N16" s="51">
        <f t="shared" si="4"/>
        <v>4.979999999800033E-06</v>
      </c>
      <c r="O16" s="51">
        <f t="shared" si="5"/>
        <v>-0.9999999999734486</v>
      </c>
      <c r="P16" s="51">
        <f t="shared" si="6"/>
        <v>-5.320000000069456E-06</v>
      </c>
      <c r="Q16" s="50">
        <f t="shared" si="10"/>
      </c>
      <c r="R16" s="51">
        <f t="shared" si="11"/>
      </c>
      <c r="S16" s="52">
        <f t="shared" si="12"/>
      </c>
      <c r="T16" s="51">
        <f t="shared" si="13"/>
      </c>
      <c r="U16" s="50">
        <f t="shared" si="14"/>
      </c>
      <c r="V16" s="51">
        <f t="shared" si="15"/>
      </c>
      <c r="W16" s="52">
        <f t="shared" si="16"/>
      </c>
      <c r="X16" s="52">
        <f t="shared" si="17"/>
      </c>
      <c r="Y16" s="139" t="e">
        <f>Xnorm*VertexCalc!Xnorm+Ynorm*VertexCalc!Ynorm+Znorm*VertexCalc!Znorm</f>
        <v>#VALUE!</v>
      </c>
    </row>
    <row r="17" spans="3:25" ht="13.5" thickBot="1">
      <c r="C17" s="19">
        <f ca="1" t="shared" si="0"/>
      </c>
      <c r="D17" s="19" t="str">
        <f ca="1" t="shared" si="0"/>
        <v>PDIC1</v>
      </c>
      <c r="E17" s="1" t="str">
        <f ca="1" t="shared" si="0"/>
        <v>Phot</v>
      </c>
      <c r="F17" s="55" t="str">
        <f ca="1" t="shared" si="1"/>
        <v>Ignore</v>
      </c>
      <c r="G17" s="44">
        <f ca="1" t="shared" si="2"/>
        <v>238.419239</v>
      </c>
      <c r="H17" s="45">
        <f ca="1" t="shared" si="2"/>
        <v>0</v>
      </c>
      <c r="I17" s="46">
        <f ca="1" t="shared" si="2"/>
        <v>-527.45872</v>
      </c>
      <c r="J17" s="30">
        <f t="shared" si="7"/>
      </c>
      <c r="K17" s="30">
        <f t="shared" si="8"/>
      </c>
      <c r="L17" s="30">
        <f t="shared" si="9"/>
      </c>
      <c r="M17" s="97">
        <f t="shared" si="3"/>
      </c>
      <c r="N17" s="30">
        <f t="shared" si="4"/>
      </c>
      <c r="O17" s="30">
        <f t="shared" si="5"/>
      </c>
      <c r="P17" s="30">
        <f t="shared" si="6"/>
      </c>
      <c r="Q17" s="44">
        <f t="shared" si="10"/>
      </c>
      <c r="R17" s="45">
        <f t="shared" si="11"/>
      </c>
      <c r="S17" s="46">
        <f t="shared" si="12"/>
      </c>
      <c r="T17" s="30">
        <f t="shared" si="13"/>
      </c>
      <c r="U17" s="44">
        <f t="shared" si="14"/>
      </c>
      <c r="V17" s="45">
        <f t="shared" si="15"/>
      </c>
      <c r="W17" s="46">
        <f t="shared" si="16"/>
      </c>
      <c r="X17" s="30">
        <f t="shared" si="17"/>
      </c>
      <c r="Y17" s="139" t="e">
        <f>Xnorm*VertexCalc!Xnorm+Ynorm*VertexCalc!Ynorm+Znorm*VertexCalc!Znorm</f>
        <v>#VALUE!</v>
      </c>
    </row>
    <row r="18" spans="3:25" ht="12.75">
      <c r="C18" s="10" t="str">
        <f ca="1" t="shared" si="0"/>
        <v>Medium wave</v>
      </c>
      <c r="D18" s="11" t="str">
        <f ca="1" t="shared" si="0"/>
        <v>PDIC2</v>
      </c>
      <c r="E18" s="11" t="str">
        <f ca="1" t="shared" si="0"/>
        <v>Phot</v>
      </c>
      <c r="F18" s="56" t="str">
        <f ca="1" t="shared" si="1"/>
        <v>Hole</v>
      </c>
      <c r="G18" s="47">
        <f ca="1" t="shared" si="2"/>
        <v>337.640264</v>
      </c>
      <c r="H18" s="48">
        <f ca="1" t="shared" si="2"/>
        <v>-4.41E-16</v>
      </c>
      <c r="I18" s="49">
        <f ca="1" t="shared" si="2"/>
        <v>-514.997754</v>
      </c>
      <c r="J18" s="48">
        <f t="shared" si="7"/>
        <v>99.221025</v>
      </c>
      <c r="K18" s="48">
        <f t="shared" si="8"/>
        <v>-4.41E-16</v>
      </c>
      <c r="L18" s="48">
        <f t="shared" si="9"/>
        <v>12.460965999999985</v>
      </c>
      <c r="M18" s="98">
        <f t="shared" si="3"/>
        <v>100.0004373775624</v>
      </c>
      <c r="N18" s="48">
        <f t="shared" si="4"/>
        <v>0.9922059103139754</v>
      </c>
      <c r="O18" s="48">
        <f t="shared" si="5"/>
        <v>-4.409980711733861E-18</v>
      </c>
      <c r="P18" s="48">
        <f t="shared" si="6"/>
        <v>0.12460911498769019</v>
      </c>
      <c r="Q18" s="47">
        <f t="shared" si="10"/>
      </c>
      <c r="R18" s="48">
        <f t="shared" si="11"/>
      </c>
      <c r="S18" s="49">
        <f t="shared" si="12"/>
      </c>
      <c r="T18" s="48">
        <f t="shared" si="13"/>
      </c>
      <c r="U18" s="47">
        <f t="shared" si="14"/>
      </c>
      <c r="V18" s="48">
        <f t="shared" si="15"/>
      </c>
      <c r="W18" s="49">
        <f t="shared" si="16"/>
      </c>
      <c r="X18" s="49">
        <f t="shared" si="17"/>
      </c>
      <c r="Y18" s="139" t="e">
        <f>Xnorm*VertexCalc!Xnorm+Ynorm*VertexCalc!Ynorm+Znorm*VertexCalc!Znorm</f>
        <v>#VALUE!</v>
      </c>
    </row>
    <row r="19" spans="3:25" ht="13.5" thickBot="1">
      <c r="C19" s="14">
        <f ca="1" t="shared" si="0"/>
      </c>
      <c r="D19" s="15" t="str">
        <f ca="1" t="shared" si="0"/>
        <v>PMW</v>
      </c>
      <c r="E19" s="15" t="str">
        <f ca="1" t="shared" si="0"/>
        <v>Phot</v>
      </c>
      <c r="F19" s="57" t="str">
        <f ca="1" t="shared" si="1"/>
        <v>Det</v>
      </c>
      <c r="G19" s="50">
        <f ca="1" t="shared" si="2"/>
        <v>283.429289</v>
      </c>
      <c r="H19" s="51">
        <f ca="1" t="shared" si="2"/>
        <v>-65.113778</v>
      </c>
      <c r="I19" s="52">
        <f ca="1" t="shared" si="2"/>
        <v>-521.807023</v>
      </c>
      <c r="J19" s="51">
        <f t="shared" si="7"/>
        <v>-54.21097500000002</v>
      </c>
      <c r="K19" s="51">
        <f t="shared" si="8"/>
        <v>-65.113778</v>
      </c>
      <c r="L19" s="51">
        <f t="shared" si="9"/>
        <v>-6.809268999999972</v>
      </c>
      <c r="M19" s="99">
        <f t="shared" si="3"/>
        <v>85.00000023646042</v>
      </c>
      <c r="N19" s="51">
        <f t="shared" si="4"/>
        <v>-0.637776174696367</v>
      </c>
      <c r="O19" s="51">
        <f t="shared" si="5"/>
        <v>-0.7660444449277741</v>
      </c>
      <c r="P19" s="51">
        <f t="shared" si="6"/>
        <v>-0.08010904683596885</v>
      </c>
      <c r="Q19" s="50">
        <f t="shared" si="10"/>
      </c>
      <c r="R19" s="51">
        <f t="shared" si="11"/>
      </c>
      <c r="S19" s="52">
        <f t="shared" si="12"/>
      </c>
      <c r="T19" s="51">
        <f t="shared" si="13"/>
      </c>
      <c r="U19" s="50">
        <f t="shared" si="14"/>
      </c>
      <c r="V19" s="51">
        <f t="shared" si="15"/>
      </c>
      <c r="W19" s="52">
        <f t="shared" si="16"/>
      </c>
      <c r="X19" s="52">
        <f t="shared" si="17"/>
      </c>
      <c r="Y19" s="139" t="e">
        <f>Xnorm*VertexCalc!Xnorm+Ynorm*VertexCalc!Ynorm+Znorm*VertexCalc!Znorm</f>
        <v>#VALUE!</v>
      </c>
    </row>
    <row r="20" spans="3:25" ht="13.5" thickBot="1">
      <c r="C20" s="19">
        <f ca="1" t="shared" si="0"/>
      </c>
      <c r="D20" s="19" t="str">
        <f ca="1" t="shared" si="0"/>
        <v>PDIC2</v>
      </c>
      <c r="E20" s="1" t="str">
        <f ca="1" t="shared" si="0"/>
        <v>Phot</v>
      </c>
      <c r="F20" s="55" t="str">
        <f ca="1" t="shared" si="1"/>
        <v>Ignore</v>
      </c>
      <c r="G20" s="44">
        <f ca="1" t="shared" si="2"/>
        <v>337.640264</v>
      </c>
      <c r="H20" s="45">
        <f ca="1" t="shared" si="2"/>
        <v>-4.41E-16</v>
      </c>
      <c r="I20" s="46">
        <f ca="1" t="shared" si="2"/>
        <v>-514.997754</v>
      </c>
      <c r="J20" s="30">
        <f t="shared" si="7"/>
      </c>
      <c r="K20" s="30">
        <f t="shared" si="8"/>
      </c>
      <c r="L20" s="30">
        <f t="shared" si="9"/>
      </c>
      <c r="M20" s="97">
        <f t="shared" si="3"/>
      </c>
      <c r="N20" s="30">
        <f t="shared" si="4"/>
      </c>
      <c r="O20" s="30">
        <f t="shared" si="5"/>
      </c>
      <c r="P20" s="30">
        <f t="shared" si="6"/>
      </c>
      <c r="Q20" s="44">
        <f t="shared" si="10"/>
      </c>
      <c r="R20" s="45">
        <f t="shared" si="11"/>
      </c>
      <c r="S20" s="46">
        <f t="shared" si="12"/>
      </c>
      <c r="T20" s="30">
        <f t="shared" si="13"/>
      </c>
      <c r="U20" s="44">
        <f t="shared" si="14"/>
      </c>
      <c r="V20" s="45">
        <f t="shared" si="15"/>
      </c>
      <c r="W20" s="46">
        <f t="shared" si="16"/>
      </c>
      <c r="X20" s="30">
        <f t="shared" si="17"/>
      </c>
      <c r="Y20" s="139" t="e">
        <f>Xnorm*VertexCalc!Xnorm+Ynorm*VertexCalc!Ynorm+Znorm*VertexCalc!Znorm</f>
        <v>#VALUE!</v>
      </c>
    </row>
    <row r="21" spans="3:25" ht="12.75">
      <c r="C21" s="10" t="str">
        <f ca="1" t="shared" si="0"/>
        <v>Long wave</v>
      </c>
      <c r="D21" s="11" t="str">
        <f ca="1" t="shared" si="0"/>
        <v>PM11</v>
      </c>
      <c r="E21" s="11" t="str">
        <f ca="1" t="shared" si="0"/>
        <v>Phot</v>
      </c>
      <c r="F21" s="56" t="str">
        <f ca="1" t="shared" si="1"/>
        <v>Mirror</v>
      </c>
      <c r="G21" s="47">
        <f ca="1" t="shared" si="2"/>
        <v>381.297659</v>
      </c>
      <c r="H21" s="48">
        <f ca="1" t="shared" si="2"/>
        <v>-4.78E-15</v>
      </c>
      <c r="I21" s="49">
        <f ca="1" t="shared" si="2"/>
        <v>-509.514911</v>
      </c>
      <c r="J21" s="48">
        <f t="shared" si="7"/>
        <v>43.65739500000001</v>
      </c>
      <c r="K21" s="48">
        <f t="shared" si="8"/>
        <v>-4.3390000000000005E-15</v>
      </c>
      <c r="L21" s="48">
        <f t="shared" si="9"/>
        <v>5.482843000000003</v>
      </c>
      <c r="M21" s="98">
        <f t="shared" si="3"/>
        <v>44.00033756175826</v>
      </c>
      <c r="N21" s="48">
        <f t="shared" si="4"/>
        <v>0.9922059106642784</v>
      </c>
      <c r="O21" s="48">
        <f t="shared" si="5"/>
        <v>-9.86128798196114E-17</v>
      </c>
      <c r="P21" s="48">
        <f t="shared" si="6"/>
        <v>0.12460911219838623</v>
      </c>
      <c r="Q21" s="47">
        <f t="shared" si="10"/>
        <v>-0.9921887397910191</v>
      </c>
      <c r="R21" s="48">
        <f t="shared" si="11"/>
        <v>4.4154253611597994E-16</v>
      </c>
      <c r="S21" s="49">
        <f t="shared" si="12"/>
        <v>0.8753908876541944</v>
      </c>
      <c r="T21" s="48">
        <f t="shared" si="13"/>
        <v>1.3231582299770837</v>
      </c>
      <c r="U21" s="47">
        <f t="shared" si="14"/>
        <v>-0.7498640127176651</v>
      </c>
      <c r="V21" s="48">
        <f t="shared" si="15"/>
        <v>3.33703502810565E-16</v>
      </c>
      <c r="W21" s="49">
        <f t="shared" si="16"/>
        <v>0.6615919909059974</v>
      </c>
      <c r="X21" s="49">
        <f t="shared" si="17"/>
        <v>-1</v>
      </c>
      <c r="Y21" s="139">
        <f>Xnorm*VertexCalc!Xnorm+Ynorm*VertexCalc!Ynorm+Znorm*VertexCalc!Znorm</f>
        <v>1</v>
      </c>
    </row>
    <row r="22" spans="3:25" ht="13.5" thickBot="1">
      <c r="C22" s="14">
        <f aca="true" ca="1" t="shared" si="18" ref="C22:E41">IF(INDIRECT("SurfaceList!"&amp;ThisCol)="","",INDIRECT("SurfaceList!"&amp;ThisCol))</f>
      </c>
      <c r="D22" s="15" t="str">
        <f ca="1" t="shared" si="18"/>
        <v>PLW</v>
      </c>
      <c r="E22" s="15" t="str">
        <f ca="1" t="shared" si="18"/>
        <v>Phot</v>
      </c>
      <c r="F22" s="57" t="str">
        <f ca="1" t="shared" si="1"/>
        <v>Det</v>
      </c>
      <c r="G22" s="50">
        <f ca="1" t="shared" si="19" ref="G22:I41">INDIRECT("RayImpacts!"&amp;Axe&amp;System&amp;Ray)</f>
        <v>381.298363</v>
      </c>
      <c r="H22" s="51">
        <f ca="1" t="shared" si="19"/>
        <v>9.28E-15</v>
      </c>
      <c r="I22" s="52">
        <f ca="1" t="shared" si="19"/>
        <v>-468.515249</v>
      </c>
      <c r="J22" s="51">
        <f t="shared" si="7"/>
        <v>0.0007039999999847169</v>
      </c>
      <c r="K22" s="51">
        <f t="shared" si="8"/>
        <v>1.4059999999999999E-14</v>
      </c>
      <c r="L22" s="51">
        <f t="shared" si="9"/>
        <v>40.999662</v>
      </c>
      <c r="M22" s="99">
        <f t="shared" si="3"/>
        <v>40.99966200604415</v>
      </c>
      <c r="N22" s="51">
        <f t="shared" si="4"/>
        <v>1.7170873259416957E-05</v>
      </c>
      <c r="O22" s="51">
        <f t="shared" si="5"/>
        <v>3.4292965629636855E-16</v>
      </c>
      <c r="P22" s="51">
        <f t="shared" si="6"/>
        <v>0.9999999998525806</v>
      </c>
      <c r="Q22" s="50">
        <f t="shared" si="10"/>
      </c>
      <c r="R22" s="51">
        <f t="shared" si="11"/>
      </c>
      <c r="S22" s="52">
        <f t="shared" si="12"/>
      </c>
      <c r="T22" s="51">
        <f t="shared" si="13"/>
      </c>
      <c r="U22" s="50">
        <f t="shared" si="14"/>
      </c>
      <c r="V22" s="51">
        <f t="shared" si="15"/>
      </c>
      <c r="W22" s="52">
        <f t="shared" si="16"/>
      </c>
      <c r="X22" s="52">
        <f t="shared" si="17"/>
      </c>
      <c r="Y22" s="139" t="e">
        <f>Xnorm*VertexCalc!Xnorm+Ynorm*VertexCalc!Ynorm+Znorm*VertexCalc!Znorm</f>
        <v>#VALUE!</v>
      </c>
    </row>
    <row r="23" spans="3:25" ht="13.5" thickBot="1">
      <c r="C23" s="19">
        <f ca="1" t="shared" si="18"/>
      </c>
      <c r="D23" s="19" t="str">
        <f ca="1" t="shared" si="18"/>
        <v>CM5</v>
      </c>
      <c r="E23" s="19" t="str">
        <f ca="1" t="shared" si="18"/>
        <v>Spec</v>
      </c>
      <c r="F23" s="19" t="str">
        <f ca="1" t="shared" si="1"/>
        <v>Ignore</v>
      </c>
      <c r="G23" s="44">
        <f ca="1" t="shared" si="19"/>
        <v>125.120533</v>
      </c>
      <c r="H23" s="45">
        <f ca="1" t="shared" si="19"/>
        <v>58.001413</v>
      </c>
      <c r="I23" s="46">
        <f ca="1" t="shared" si="19"/>
        <v>-183.378925</v>
      </c>
      <c r="J23" s="45">
        <f aca="true" t="shared" si="20" ref="J23:J37">IF(Flag="Ignore","",G23-G22)</f>
      </c>
      <c r="K23" s="45">
        <f aca="true" t="shared" si="21" ref="K23:K37">IF(Flag="Ignore","",H23-H22)</f>
      </c>
      <c r="L23" s="45">
        <f aca="true" t="shared" si="22" ref="L23:L37">IF(Flag="Ignore","",I23-I22)</f>
      </c>
      <c r="M23" s="97">
        <f aca="true" t="shared" si="23" ref="M23:M49">IF(Flag="ignore","",SQRT(Xdiff^2+Ydiff^2+Zdiff^2))</f>
      </c>
      <c r="N23" s="45">
        <f aca="true" t="shared" si="24" ref="N23:N49">IF(Flag="ignore","",Xdiff/DiffMod)</f>
      </c>
      <c r="O23" s="45">
        <f aca="true" t="shared" si="25" ref="O23:O49">IF(Flag="ignore","",Ydiff/DiffMod)</f>
      </c>
      <c r="P23" s="45">
        <f aca="true" t="shared" si="26" ref="P23:P49">IF(Flag="ignore","",Zdiff/DiffMod)</f>
      </c>
      <c r="Q23" s="44">
        <f aca="true" t="shared" si="27" ref="Q23:Q37">IF(OR(Flag="Ignore",Flag="Det",Flag="Hole"),"",N24-Xray)</f>
      </c>
      <c r="R23" s="45">
        <f aca="true" t="shared" si="28" ref="R23:R37">IF(OR(Flag="Ignore",Flag="Det",Flag="Hole"),"",O24-Yray)</f>
      </c>
      <c r="S23" s="46">
        <f aca="true" t="shared" si="29" ref="S23:S37">IF(OR(Flag="Ignore",Flag="Det",Flag="Hole"),"",P24-Zray)</f>
      </c>
      <c r="T23" s="45">
        <f aca="true" t="shared" si="30" ref="T23:T49">IF(OR(Flag="Ignore",Flag="Det",Flag="Hole"),"",SQRT(dXray^2+dYray^2+dZray^2))</f>
      </c>
      <c r="U23" s="44">
        <f aca="true" t="shared" si="31" ref="U23:U49">IF(OR(Flag="Ignore",Flag="Det",Flag="Hole"),"",dXray/drayMod)</f>
      </c>
      <c r="V23" s="45">
        <f aca="true" t="shared" si="32" ref="V23:V49">IF(OR(Flag="Ignore",Flag="Det",Flag="Hole"),"",dYray/drayMod)</f>
      </c>
      <c r="W23" s="46">
        <f aca="true" t="shared" si="33" ref="W23:W49">IF(OR(Flag="Ignore",Flag="Det",Flag="Hole"),"",dZray/drayMod)</f>
      </c>
      <c r="X23" s="45">
        <f aca="true" t="shared" si="34" ref="X23:X49">IF(OR(Flag="Ignore",Flag="Det",Flag="Hole"),"",SIGN(Xnorm))</f>
      </c>
      <c r="Y23" s="139" t="e">
        <f>Xnorm*VertexCalc!Xnorm+Ynorm*VertexCalc!Ynorm+Znorm*VertexCalc!Znorm</f>
        <v>#VALUE!</v>
      </c>
    </row>
    <row r="24" spans="3:25" ht="12.75">
      <c r="C24" s="10" t="str">
        <f ca="1" t="shared" si="18"/>
        <v>Spectrometer optics</v>
      </c>
      <c r="D24" s="11" t="str">
        <f ca="1" t="shared" si="18"/>
        <v>SM6</v>
      </c>
      <c r="E24" s="11" t="str">
        <f ca="1" t="shared" si="18"/>
        <v>Spec</v>
      </c>
      <c r="F24" s="11" t="str">
        <f ca="1" t="shared" si="1"/>
        <v>Mirror</v>
      </c>
      <c r="G24" s="47">
        <f ca="1" t="shared" si="19"/>
        <v>306.147355</v>
      </c>
      <c r="H24" s="48">
        <f ca="1" t="shared" si="19"/>
        <v>33.819095</v>
      </c>
      <c r="I24" s="49">
        <f ca="1" t="shared" si="19"/>
        <v>-263.977827</v>
      </c>
      <c r="J24" s="48">
        <f t="shared" si="20"/>
        <v>181.026822</v>
      </c>
      <c r="K24" s="48">
        <f t="shared" si="21"/>
        <v>-24.182318000000002</v>
      </c>
      <c r="L24" s="48">
        <f t="shared" si="22"/>
        <v>-80.59890199999998</v>
      </c>
      <c r="M24" s="98">
        <f t="shared" si="23"/>
        <v>199.62885009656898</v>
      </c>
      <c r="N24" s="48">
        <f t="shared" si="24"/>
        <v>0.9068169350894404</v>
      </c>
      <c r="O24" s="48">
        <f t="shared" si="25"/>
        <v>-0.12113638879501627</v>
      </c>
      <c r="P24" s="48">
        <f t="shared" si="26"/>
        <v>-0.4037437572826315</v>
      </c>
      <c r="Q24" s="47">
        <f t="shared" si="27"/>
        <v>-0.828318668693239</v>
      </c>
      <c r="R24" s="48">
        <f t="shared" si="28"/>
        <v>1.0794303281391113</v>
      </c>
      <c r="S24" s="49">
        <f t="shared" si="29"/>
        <v>0.6785359478360878</v>
      </c>
      <c r="T24" s="48">
        <f t="shared" si="30"/>
        <v>1.520425165116017</v>
      </c>
      <c r="U24" s="47">
        <f t="shared" si="31"/>
        <v>-0.5447941060815273</v>
      </c>
      <c r="V24" s="48">
        <f t="shared" si="32"/>
        <v>0.7099529479681722</v>
      </c>
      <c r="W24" s="49">
        <f t="shared" si="33"/>
        <v>0.44628039801242814</v>
      </c>
      <c r="X24" s="49">
        <f t="shared" si="34"/>
        <v>-1</v>
      </c>
      <c r="Y24" s="139">
        <f>Xnorm*VertexCalc!Xnorm+Ynorm*VertexCalc!Ynorm+Znorm*VertexCalc!Znorm</f>
        <v>0.9999999998972555</v>
      </c>
    </row>
    <row r="25" spans="3:25" ht="12.75">
      <c r="C25" s="18">
        <f ca="1" t="shared" si="18"/>
      </c>
      <c r="D25" s="19" t="str">
        <f ca="1" t="shared" si="18"/>
        <v>SCS</v>
      </c>
      <c r="E25" s="19" t="str">
        <f ca="1" t="shared" si="18"/>
        <v>Spec</v>
      </c>
      <c r="F25" s="19" t="str">
        <f ca="1" t="shared" si="1"/>
        <v>Hole</v>
      </c>
      <c r="G25" s="44">
        <f ca="1" t="shared" si="19"/>
        <v>314.984032</v>
      </c>
      <c r="H25" s="45">
        <f ca="1" t="shared" si="19"/>
        <v>141.695796</v>
      </c>
      <c r="I25" s="46">
        <f ca="1" t="shared" si="19"/>
        <v>-233.044025</v>
      </c>
      <c r="J25" s="45">
        <f t="shared" si="20"/>
        <v>8.836677000000009</v>
      </c>
      <c r="K25" s="45">
        <f t="shared" si="21"/>
        <v>107.876701</v>
      </c>
      <c r="L25" s="45">
        <f t="shared" si="22"/>
        <v>30.933801999999986</v>
      </c>
      <c r="M25" s="97">
        <f t="shared" si="23"/>
        <v>112.57161980366513</v>
      </c>
      <c r="N25" s="45">
        <f t="shared" si="24"/>
        <v>0.07849826639620142</v>
      </c>
      <c r="O25" s="45">
        <f t="shared" si="25"/>
        <v>0.958293939344095</v>
      </c>
      <c r="P25" s="45">
        <f t="shared" si="26"/>
        <v>0.27479219055345633</v>
      </c>
      <c r="Q25" s="44">
        <f t="shared" si="27"/>
      </c>
      <c r="R25" s="45">
        <f t="shared" si="28"/>
      </c>
      <c r="S25" s="46">
        <f t="shared" si="29"/>
      </c>
      <c r="T25" s="45">
        <f t="shared" si="30"/>
      </c>
      <c r="U25" s="44">
        <f t="shared" si="31"/>
      </c>
      <c r="V25" s="45">
        <f t="shared" si="32"/>
      </c>
      <c r="W25" s="46">
        <f t="shared" si="33"/>
      </c>
      <c r="X25" s="46">
        <f t="shared" si="34"/>
      </c>
      <c r="Y25" s="139" t="e">
        <f>Xnorm*VertexCalc!Xnorm+Ynorm*VertexCalc!Ynorm+Znorm*VertexCalc!Znorm</f>
        <v>#VALUE!</v>
      </c>
    </row>
    <row r="26" spans="3:25" ht="12.75">
      <c r="C26" s="18">
        <f ca="1" t="shared" si="18"/>
      </c>
      <c r="D26" s="19" t="str">
        <f ca="1" t="shared" si="18"/>
        <v>SM7</v>
      </c>
      <c r="E26" s="19" t="str">
        <f ca="1" t="shared" si="18"/>
        <v>Spec</v>
      </c>
      <c r="F26" s="19" t="str">
        <f ca="1" t="shared" si="1"/>
        <v>Mirror</v>
      </c>
      <c r="G26" s="44">
        <f ca="1" t="shared" si="19"/>
        <v>317.372966</v>
      </c>
      <c r="H26" s="45">
        <f ca="1" t="shared" si="19"/>
        <v>170.85951</v>
      </c>
      <c r="I26" s="46">
        <f ca="1" t="shared" si="19"/>
        <v>-224.681288</v>
      </c>
      <c r="J26" s="45">
        <f t="shared" si="20"/>
        <v>2.388934000000006</v>
      </c>
      <c r="K26" s="45">
        <f t="shared" si="21"/>
        <v>29.163714</v>
      </c>
      <c r="L26" s="45">
        <f t="shared" si="22"/>
        <v>8.36273700000001</v>
      </c>
      <c r="M26" s="97">
        <f t="shared" si="23"/>
        <v>30.432952371751927</v>
      </c>
      <c r="N26" s="45">
        <f t="shared" si="24"/>
        <v>0.07849826631403106</v>
      </c>
      <c r="O26" s="45">
        <f t="shared" si="25"/>
        <v>0.9582939454494056</v>
      </c>
      <c r="P26" s="45">
        <f t="shared" si="26"/>
        <v>0.27479216928563127</v>
      </c>
      <c r="Q26" s="44">
        <f t="shared" si="27"/>
        <v>0.9063096721718547</v>
      </c>
      <c r="R26" s="45">
        <f t="shared" si="28"/>
        <v>-0.9582762779560831</v>
      </c>
      <c r="S26" s="46">
        <f t="shared" si="29"/>
        <v>-0.4484392941770031</v>
      </c>
      <c r="T26" s="45">
        <f t="shared" si="30"/>
        <v>1.3931218350623853</v>
      </c>
      <c r="U26" s="44">
        <f t="shared" si="31"/>
        <v>0.6505602377061797</v>
      </c>
      <c r="V26" s="45">
        <f t="shared" si="32"/>
        <v>-0.687862506952359</v>
      </c>
      <c r="W26" s="46">
        <f t="shared" si="33"/>
        <v>-0.3218952448311325</v>
      </c>
      <c r="X26" s="46">
        <f t="shared" si="34"/>
        <v>1</v>
      </c>
      <c r="Y26" s="139">
        <f>Xnorm*VertexCalc!Xnorm+Ynorm*VertexCalc!Ynorm+Znorm*VertexCalc!Znorm</f>
        <v>0.999999999999995</v>
      </c>
    </row>
    <row r="27" spans="3:25" ht="13.5" thickBot="1">
      <c r="C27" s="14">
        <f ca="1" t="shared" si="18"/>
      </c>
      <c r="D27" s="15" t="str">
        <f ca="1" t="shared" si="18"/>
        <v>SM8A</v>
      </c>
      <c r="E27" s="15" t="str">
        <f ca="1" t="shared" si="18"/>
        <v>Spec</v>
      </c>
      <c r="F27" s="15" t="str">
        <f ca="1" t="shared" si="1"/>
        <v>Mirror</v>
      </c>
      <c r="G27" s="50">
        <f ca="1" t="shared" si="19"/>
        <v>373.504392</v>
      </c>
      <c r="H27" s="51">
        <f ca="1" t="shared" si="19"/>
        <v>170.860517</v>
      </c>
      <c r="I27" s="52">
        <f ca="1" t="shared" si="19"/>
        <v>-234.578711</v>
      </c>
      <c r="J27" s="51">
        <f t="shared" si="20"/>
        <v>56.131425999999976</v>
      </c>
      <c r="K27" s="51">
        <f t="shared" si="21"/>
        <v>0.0010069999999871015</v>
      </c>
      <c r="L27" s="51">
        <f t="shared" si="22"/>
        <v>-9.897423000000003</v>
      </c>
      <c r="M27" s="99">
        <f t="shared" si="23"/>
        <v>56.99733298890792</v>
      </c>
      <c r="N27" s="51">
        <f t="shared" si="24"/>
        <v>0.9848079384858857</v>
      </c>
      <c r="O27" s="51">
        <f t="shared" si="25"/>
        <v>1.766749332259232E-05</v>
      </c>
      <c r="P27" s="51">
        <f t="shared" si="26"/>
        <v>-0.17364712489137188</v>
      </c>
      <c r="Q27" s="50">
        <f t="shared" si="27"/>
        <v>-1.8508344115257382</v>
      </c>
      <c r="R27" s="51">
        <f t="shared" si="28"/>
        <v>-3.563572190659914E-05</v>
      </c>
      <c r="S27" s="52">
        <f t="shared" si="29"/>
        <v>-0.3263510227764932</v>
      </c>
      <c r="T27" s="51">
        <f t="shared" si="30"/>
        <v>1.8793863387353313</v>
      </c>
      <c r="U27" s="50">
        <f t="shared" si="31"/>
        <v>-0.9848078457201056</v>
      </c>
      <c r="V27" s="51">
        <f t="shared" si="32"/>
        <v>-1.8961360510143423E-05</v>
      </c>
      <c r="W27" s="52">
        <f t="shared" si="33"/>
        <v>-0.1736476508582583</v>
      </c>
      <c r="X27" s="52">
        <f t="shared" si="34"/>
        <v>-1</v>
      </c>
      <c r="Y27" s="139">
        <f>Xnorm*VertexCalc!Xnorm+Ynorm*VertexCalc!Ynorm+Znorm*VertexCalc!Znorm</f>
        <v>0.9999999998200904</v>
      </c>
    </row>
    <row r="28" spans="3:25" ht="12.75">
      <c r="C28" s="10" t="str">
        <f ca="1" t="shared" si="18"/>
        <v>Upper arm</v>
      </c>
      <c r="D28" s="11" t="str">
        <f ca="1" t="shared" si="18"/>
        <v>SBS1</v>
      </c>
      <c r="E28" s="11" t="str">
        <f ca="1" t="shared" si="18"/>
        <v>Spec</v>
      </c>
      <c r="F28" s="11" t="str">
        <f ca="1" t="shared" si="1"/>
        <v>Hole</v>
      </c>
      <c r="G28" s="47">
        <f ca="1" t="shared" si="19"/>
        <v>223.12771</v>
      </c>
      <c r="H28" s="48">
        <f ca="1" t="shared" si="19"/>
        <v>170.857397</v>
      </c>
      <c r="I28" s="49">
        <f ca="1" t="shared" si="19"/>
        <v>-321.3983</v>
      </c>
      <c r="J28" s="48">
        <f t="shared" si="20"/>
        <v>-150.376682</v>
      </c>
      <c r="K28" s="48">
        <f t="shared" si="21"/>
        <v>-0.0031199999999955708</v>
      </c>
      <c r="L28" s="48">
        <f t="shared" si="22"/>
        <v>-86.81958900000001</v>
      </c>
      <c r="M28" s="98">
        <f t="shared" si="23"/>
        <v>173.6398212772417</v>
      </c>
      <c r="N28" s="48">
        <f t="shared" si="24"/>
        <v>-0.8660264730398526</v>
      </c>
      <c r="O28" s="48">
        <f t="shared" si="25"/>
        <v>-1.7968228584006823E-05</v>
      </c>
      <c r="P28" s="48">
        <f t="shared" si="26"/>
        <v>-0.4999981476678651</v>
      </c>
      <c r="Q28" s="47">
        <f t="shared" si="27"/>
      </c>
      <c r="R28" s="48">
        <f t="shared" si="28"/>
      </c>
      <c r="S28" s="49">
        <f t="shared" si="29"/>
      </c>
      <c r="T28" s="48">
        <f t="shared" si="30"/>
      </c>
      <c r="U28" s="47">
        <f t="shared" si="31"/>
      </c>
      <c r="V28" s="48">
        <f t="shared" si="32"/>
      </c>
      <c r="W28" s="49">
        <f t="shared" si="33"/>
      </c>
      <c r="X28" s="49">
        <f t="shared" si="34"/>
      </c>
      <c r="Y28" s="139" t="e">
        <f>Xnorm*VertexCalc!Xnorm+Ynorm*VertexCalc!Ynorm+Znorm*VertexCalc!Znorm</f>
        <v>#VALUE!</v>
      </c>
    </row>
    <row r="29" spans="3:25" ht="12.75">
      <c r="C29" s="18">
        <f ca="1" t="shared" si="18"/>
      </c>
      <c r="D29" s="19" t="str">
        <f ca="1" t="shared" si="18"/>
        <v>SM9A</v>
      </c>
      <c r="E29" s="19" t="str">
        <f ca="1" t="shared" si="18"/>
        <v>Spec</v>
      </c>
      <c r="F29" s="19" t="str">
        <f ca="1" t="shared" si="1"/>
        <v>Mirror</v>
      </c>
      <c r="G29" s="44">
        <f ca="1" t="shared" si="19"/>
        <v>373.123463</v>
      </c>
      <c r="H29" s="45">
        <f ca="1" t="shared" si="19"/>
        <v>170.854284</v>
      </c>
      <c r="I29" s="46">
        <f ca="1" t="shared" si="19"/>
        <v>-407.99796</v>
      </c>
      <c r="J29" s="45">
        <f t="shared" si="20"/>
        <v>149.995753</v>
      </c>
      <c r="K29" s="45">
        <f t="shared" si="21"/>
        <v>-0.0031129999999848224</v>
      </c>
      <c r="L29" s="45">
        <f t="shared" si="22"/>
        <v>-86.59965999999997</v>
      </c>
      <c r="M29" s="97">
        <f t="shared" si="23"/>
        <v>173.1999625861489</v>
      </c>
      <c r="N29" s="45">
        <f t="shared" si="24"/>
        <v>0.8660264746038429</v>
      </c>
      <c r="O29" s="45">
        <f t="shared" si="25"/>
        <v>-1.7973444990996636E-05</v>
      </c>
      <c r="P29" s="45">
        <f t="shared" si="26"/>
        <v>-0.49999814495875355</v>
      </c>
      <c r="Q29" s="44">
        <f t="shared" si="27"/>
        <v>-1.866026474600874</v>
      </c>
      <c r="R29" s="45">
        <f t="shared" si="28"/>
        <v>1.782144484986997E-05</v>
      </c>
      <c r="S29" s="46">
        <f t="shared" si="29"/>
        <v>0.4999957129564964</v>
      </c>
      <c r="T29" s="45">
        <f t="shared" si="30"/>
        <v>1.9318515774261347</v>
      </c>
      <c r="U29" s="44">
        <f t="shared" si="31"/>
        <v>-0.9659264181604668</v>
      </c>
      <c r="V29" s="45">
        <f t="shared" si="32"/>
        <v>9.225059035650157E-06</v>
      </c>
      <c r="W29" s="46">
        <f t="shared" si="33"/>
        <v>0.2588168360338821</v>
      </c>
      <c r="X29" s="46">
        <f t="shared" si="34"/>
        <v>-1</v>
      </c>
      <c r="Y29" s="139">
        <f>Xnorm*VertexCalc!Xnorm+Ynorm*VertexCalc!Ynorm+Znorm*VertexCalc!Znorm</f>
        <v>0.999999999954834</v>
      </c>
    </row>
    <row r="30" spans="3:25" ht="12.75">
      <c r="C30" s="18">
        <f ca="1" t="shared" si="18"/>
      </c>
      <c r="D30" s="19" t="str">
        <f ca="1" t="shared" si="18"/>
        <v>SRTA1</v>
      </c>
      <c r="E30" s="19" t="str">
        <f ca="1" t="shared" si="18"/>
        <v>Spec</v>
      </c>
      <c r="F30" s="19" t="str">
        <f ca="1" t="shared" si="1"/>
        <v>Mirror</v>
      </c>
      <c r="G30" s="44">
        <f ca="1" t="shared" si="19"/>
        <v>248.123579</v>
      </c>
      <c r="H30" s="45">
        <f ca="1" t="shared" si="19"/>
        <v>170.854265</v>
      </c>
      <c r="I30" s="46">
        <f ca="1" t="shared" si="19"/>
        <v>-407.998264</v>
      </c>
      <c r="J30" s="45">
        <f t="shared" si="20"/>
        <v>-124.99988400000001</v>
      </c>
      <c r="K30" s="45">
        <f t="shared" si="21"/>
        <v>-1.900000000887303E-05</v>
      </c>
      <c r="L30" s="45">
        <f t="shared" si="22"/>
        <v>-0.00030400000002828165</v>
      </c>
      <c r="M30" s="97">
        <f t="shared" si="23"/>
        <v>124.99988400037111</v>
      </c>
      <c r="N30" s="45">
        <f t="shared" si="24"/>
        <v>-0.9999999999970312</v>
      </c>
      <c r="O30" s="45">
        <f t="shared" si="25"/>
        <v>-1.5200014112666392E-07</v>
      </c>
      <c r="P30" s="45">
        <f t="shared" si="26"/>
        <v>-2.4320022571171275E-06</v>
      </c>
      <c r="Q30" s="44">
        <f t="shared" si="27"/>
        <v>0.9999975600173805</v>
      </c>
      <c r="R30" s="45">
        <f t="shared" si="28"/>
        <v>1.200130850237787E-08</v>
      </c>
      <c r="S30" s="46">
        <f t="shared" si="29"/>
        <v>-0.9999975679947564</v>
      </c>
      <c r="T30" s="45">
        <f t="shared" si="30"/>
        <v>1.4142101173574393</v>
      </c>
      <c r="U30" s="44">
        <f t="shared" si="31"/>
        <v>0.7071067783661124</v>
      </c>
      <c r="V30" s="45">
        <f t="shared" si="32"/>
        <v>8.486227297541358E-09</v>
      </c>
      <c r="W30" s="46">
        <f t="shared" si="33"/>
        <v>-0.7071067840069826</v>
      </c>
      <c r="X30" s="46">
        <f t="shared" si="34"/>
        <v>1</v>
      </c>
      <c r="Y30" s="139">
        <f>Xnorm*VertexCalc!Xnorm+Ynorm*VertexCalc!Ynorm+Znorm*VertexCalc!Znorm</f>
        <v>0.9999999999999999</v>
      </c>
    </row>
    <row r="31" spans="3:25" ht="12.75">
      <c r="C31" s="18">
        <f ca="1" t="shared" si="18"/>
      </c>
      <c r="D31" s="19" t="str">
        <f ca="1" t="shared" si="18"/>
        <v>SRTA2</v>
      </c>
      <c r="E31" s="19" t="str">
        <f ca="1" t="shared" si="18"/>
        <v>Spec</v>
      </c>
      <c r="F31" s="19" t="str">
        <f ca="1" t="shared" si="1"/>
        <v>Mirror</v>
      </c>
      <c r="G31" s="44">
        <f ca="1" t="shared" si="19"/>
        <v>248.123457</v>
      </c>
      <c r="H31" s="45">
        <f ca="1" t="shared" si="19"/>
        <v>170.854258</v>
      </c>
      <c r="I31" s="46">
        <f ca="1" t="shared" si="19"/>
        <v>-457.998681</v>
      </c>
      <c r="J31" s="45">
        <f t="shared" si="20"/>
        <v>-0.00012200000000461841</v>
      </c>
      <c r="K31" s="45">
        <f t="shared" si="21"/>
        <v>-7.000000010748408E-06</v>
      </c>
      <c r="L31" s="45">
        <f t="shared" si="22"/>
        <v>-50.00041699999997</v>
      </c>
      <c r="M31" s="97">
        <f t="shared" si="23"/>
        <v>50.0004170001493</v>
      </c>
      <c r="N31" s="45">
        <f t="shared" si="24"/>
        <v>-2.4399796506547963E-06</v>
      </c>
      <c r="O31" s="45">
        <f t="shared" si="25"/>
        <v>-1.3999883262428605E-07</v>
      </c>
      <c r="P31" s="45">
        <f t="shared" si="26"/>
        <v>-0.9999999999970135</v>
      </c>
      <c r="Q31" s="44">
        <f t="shared" si="27"/>
        <v>1.0000024399766818</v>
      </c>
      <c r="R31" s="45">
        <f t="shared" si="28"/>
        <v>-1.2001397043220505E-08</v>
      </c>
      <c r="S31" s="46">
        <f t="shared" si="29"/>
        <v>1.0000024320006904</v>
      </c>
      <c r="T31" s="45">
        <f t="shared" si="30"/>
        <v>1.4142170073813327</v>
      </c>
      <c r="U31" s="44">
        <f t="shared" si="31"/>
        <v>0.7071067840064794</v>
      </c>
      <c r="V31" s="45">
        <f t="shared" si="32"/>
        <v>-8.486248560567919E-09</v>
      </c>
      <c r="W31" s="46">
        <f t="shared" si="33"/>
        <v>0.7071067783666156</v>
      </c>
      <c r="X31" s="46">
        <f t="shared" si="34"/>
        <v>1</v>
      </c>
      <c r="Y31" s="139">
        <f>Xnorm*VertexCalc!Xnorm+Ynorm*VertexCalc!Ynorm+Znorm*VertexCalc!Znorm</f>
        <v>1</v>
      </c>
    </row>
    <row r="32" spans="3:25" ht="12.75">
      <c r="C32" s="18">
        <f ca="1" t="shared" si="18"/>
      </c>
      <c r="D32" s="19" t="str">
        <f ca="1" t="shared" si="18"/>
        <v>SM10A</v>
      </c>
      <c r="E32" s="19" t="str">
        <f ca="1" t="shared" si="18"/>
        <v>Spec</v>
      </c>
      <c r="F32" s="19" t="str">
        <f ca="1" t="shared" si="1"/>
        <v>Mirror</v>
      </c>
      <c r="G32" s="44">
        <f ca="1" t="shared" si="19"/>
        <v>373.123268</v>
      </c>
      <c r="H32" s="45">
        <f ca="1" t="shared" si="19"/>
        <v>170.854239</v>
      </c>
      <c r="I32" s="46">
        <f ca="1" t="shared" si="19"/>
        <v>-457.998377</v>
      </c>
      <c r="J32" s="45">
        <f t="shared" si="20"/>
        <v>124.999811</v>
      </c>
      <c r="K32" s="45">
        <f t="shared" si="21"/>
        <v>-1.899999998045132E-05</v>
      </c>
      <c r="L32" s="45">
        <f t="shared" si="22"/>
        <v>0.00030399999997143823</v>
      </c>
      <c r="M32" s="97">
        <f t="shared" si="23"/>
        <v>124.9998110003711</v>
      </c>
      <c r="N32" s="45">
        <f t="shared" si="24"/>
        <v>0.9999999999970312</v>
      </c>
      <c r="O32" s="45">
        <f t="shared" si="25"/>
        <v>-1.5200022966750656E-07</v>
      </c>
      <c r="P32" s="45">
        <f t="shared" si="26"/>
        <v>2.4320036769538455E-06</v>
      </c>
      <c r="Q32" s="44">
        <f t="shared" si="27"/>
        <v>-1.866025998130358</v>
      </c>
      <c r="R32" s="45">
        <f t="shared" si="28"/>
        <v>1.8125458698190305E-05</v>
      </c>
      <c r="S32" s="46">
        <f t="shared" si="29"/>
        <v>-0.5000014022367462</v>
      </c>
      <c r="T32" s="45">
        <f t="shared" si="30"/>
        <v>1.9318525896831888</v>
      </c>
      <c r="U32" s="44">
        <f t="shared" si="31"/>
        <v>-0.9659256653927067</v>
      </c>
      <c r="V32" s="45">
        <f t="shared" si="32"/>
        <v>9.382423273383795E-06</v>
      </c>
      <c r="W32" s="46">
        <f t="shared" si="33"/>
        <v>-0.2588196454051099</v>
      </c>
      <c r="X32" s="46">
        <f t="shared" si="34"/>
        <v>-1</v>
      </c>
      <c r="Y32" s="139">
        <f>Xnorm*VertexCalc!Xnorm+Ynorm*VertexCalc!Ynorm+Znorm*VertexCalc!Znorm</f>
        <v>0.9999999999557919</v>
      </c>
    </row>
    <row r="33" spans="3:25" ht="12.75">
      <c r="C33" s="18">
        <f ca="1" t="shared" si="18"/>
      </c>
      <c r="D33" s="19" t="str">
        <f ca="1" t="shared" si="18"/>
        <v>SBS2</v>
      </c>
      <c r="E33" s="19" t="str">
        <f ca="1" t="shared" si="18"/>
        <v>Spec</v>
      </c>
      <c r="F33" s="19" t="str">
        <f ca="1" t="shared" si="1"/>
        <v>Hole</v>
      </c>
      <c r="G33" s="44">
        <f ca="1" t="shared" si="19"/>
        <v>223.12771</v>
      </c>
      <c r="H33" s="45">
        <f ca="1" t="shared" si="19"/>
        <v>170.857352</v>
      </c>
      <c r="I33" s="46">
        <f ca="1" t="shared" si="19"/>
        <v>-544.598115</v>
      </c>
      <c r="J33" s="45">
        <f t="shared" si="20"/>
        <v>-149.995558</v>
      </c>
      <c r="K33" s="45">
        <f t="shared" si="21"/>
        <v>0.0031129999999848224</v>
      </c>
      <c r="L33" s="45">
        <f t="shared" si="22"/>
        <v>-86.599738</v>
      </c>
      <c r="M33" s="97">
        <f t="shared" si="23"/>
        <v>173.1998327109203</v>
      </c>
      <c r="N33" s="45">
        <f t="shared" si="24"/>
        <v>-0.8660259981333268</v>
      </c>
      <c r="O33" s="45">
        <f t="shared" si="25"/>
        <v>1.79734584685228E-05</v>
      </c>
      <c r="P33" s="45">
        <f t="shared" si="26"/>
        <v>-0.49999897023306916</v>
      </c>
      <c r="Q33" s="44">
        <f t="shared" si="27"/>
      </c>
      <c r="R33" s="45">
        <f t="shared" si="28"/>
      </c>
      <c r="S33" s="46">
        <f t="shared" si="29"/>
      </c>
      <c r="T33" s="45">
        <f t="shared" si="30"/>
      </c>
      <c r="U33" s="44">
        <f t="shared" si="31"/>
      </c>
      <c r="V33" s="45">
        <f t="shared" si="32"/>
      </c>
      <c r="W33" s="46">
        <f t="shared" si="33"/>
      </c>
      <c r="X33" s="46">
        <f t="shared" si="34"/>
      </c>
      <c r="Y33" s="139" t="e">
        <f>Xnorm*VertexCalc!Xnorm+Ynorm*VertexCalc!Ynorm+Znorm*VertexCalc!Znorm</f>
        <v>#VALUE!</v>
      </c>
    </row>
    <row r="34" spans="3:25" ht="12.75">
      <c r="C34" s="18">
        <f ca="1" t="shared" si="18"/>
      </c>
      <c r="D34" s="19" t="str">
        <f ca="1" t="shared" si="18"/>
        <v>SM11A</v>
      </c>
      <c r="E34" s="19" t="str">
        <f ca="1" t="shared" si="18"/>
        <v>Spec</v>
      </c>
      <c r="F34" s="19" t="str">
        <f ca="1" t="shared" si="1"/>
        <v>Mirror</v>
      </c>
      <c r="G34" s="44">
        <f ca="1" t="shared" si="19"/>
        <v>354.74635</v>
      </c>
      <c r="H34" s="45">
        <f ca="1" t="shared" si="19"/>
        <v>170.860083</v>
      </c>
      <c r="I34" s="46">
        <f ca="1" t="shared" si="19"/>
        <v>-620.587965</v>
      </c>
      <c r="J34" s="45">
        <f t="shared" si="20"/>
        <v>131.61864</v>
      </c>
      <c r="K34" s="45">
        <f t="shared" si="21"/>
        <v>0.0027310000000113632</v>
      </c>
      <c r="L34" s="45">
        <f t="shared" si="22"/>
        <v>-75.98985000000005</v>
      </c>
      <c r="M34" s="97">
        <f t="shared" si="23"/>
        <v>151.98001087620196</v>
      </c>
      <c r="N34" s="45">
        <f t="shared" si="24"/>
        <v>0.8660259940842636</v>
      </c>
      <c r="O34" s="45">
        <f t="shared" si="25"/>
        <v>1.7969468381180392E-05</v>
      </c>
      <c r="P34" s="45">
        <f t="shared" si="26"/>
        <v>-0.49999897724641523</v>
      </c>
      <c r="Q34" s="44">
        <f t="shared" si="27"/>
        <v>-1.8508329344559324</v>
      </c>
      <c r="R34" s="45">
        <f t="shared" si="28"/>
        <v>-3.767309780851561E-05</v>
      </c>
      <c r="S34" s="46">
        <f t="shared" si="29"/>
        <v>0.3263461920468702</v>
      </c>
      <c r="T34" s="45">
        <f t="shared" si="30"/>
        <v>1.8793840453056723</v>
      </c>
      <c r="U34" s="44">
        <f t="shared" si="31"/>
        <v>-0.9848082615572614</v>
      </c>
      <c r="V34" s="45">
        <f t="shared" si="32"/>
        <v>-2.004544941339452E-05</v>
      </c>
      <c r="W34" s="46">
        <f t="shared" si="33"/>
        <v>0.173645292382905</v>
      </c>
      <c r="X34" s="46">
        <f t="shared" si="34"/>
        <v>-1</v>
      </c>
      <c r="Y34" s="139">
        <f>Xnorm*VertexCalc!Xnorm+Ynorm*VertexCalc!Ynorm+Znorm*VertexCalc!Znorm</f>
        <v>0.9999999997947983</v>
      </c>
    </row>
    <row r="35" spans="3:25" ht="12.75">
      <c r="C35" s="18">
        <f ca="1" t="shared" si="18"/>
      </c>
      <c r="D35" s="19" t="str">
        <f ca="1" t="shared" si="18"/>
        <v>SM12A</v>
      </c>
      <c r="E35" s="19" t="str">
        <f ca="1" t="shared" si="18"/>
        <v>Spec</v>
      </c>
      <c r="F35" s="19" t="str">
        <f ca="1" t="shared" si="1"/>
        <v>Mirror</v>
      </c>
      <c r="G35" s="44">
        <f ca="1" t="shared" si="19"/>
        <v>263.581021</v>
      </c>
      <c r="H35" s="45">
        <f ca="1" t="shared" si="19"/>
        <v>170.858259</v>
      </c>
      <c r="I35" s="46">
        <f ca="1" t="shared" si="19"/>
        <v>-636.663312</v>
      </c>
      <c r="J35" s="45">
        <f t="shared" si="20"/>
        <v>-91.16532899999999</v>
      </c>
      <c r="K35" s="45">
        <f t="shared" si="21"/>
        <v>-0.0018239999999991596</v>
      </c>
      <c r="L35" s="45">
        <f t="shared" si="22"/>
        <v>-16.075346999999965</v>
      </c>
      <c r="M35" s="97">
        <f t="shared" si="23"/>
        <v>92.57177753600511</v>
      </c>
      <c r="N35" s="45">
        <f t="shared" si="24"/>
        <v>-0.9848069403716688</v>
      </c>
      <c r="O35" s="45">
        <f t="shared" si="25"/>
        <v>-1.9703629427335218E-05</v>
      </c>
      <c r="P35" s="45">
        <f t="shared" si="26"/>
        <v>-0.17365278519954505</v>
      </c>
      <c r="Q35" s="44">
        <f t="shared" si="27"/>
        <v>0.9848271532996864</v>
      </c>
      <c r="R35" s="45">
        <f t="shared" si="28"/>
        <v>1.0000197034244636</v>
      </c>
      <c r="S35" s="46">
        <f t="shared" si="29"/>
        <v>0.17365161673448648</v>
      </c>
      <c r="T35" s="45">
        <f t="shared" si="30"/>
        <v>1.4142414267401509</v>
      </c>
      <c r="U35" s="44">
        <f t="shared" si="31"/>
        <v>0.6963642378725454</v>
      </c>
      <c r="V35" s="45">
        <f t="shared" si="32"/>
        <v>0.7071067814280656</v>
      </c>
      <c r="W35" s="46">
        <f t="shared" si="33"/>
        <v>0.12278781645843613</v>
      </c>
      <c r="X35" s="46">
        <f t="shared" si="34"/>
        <v>1</v>
      </c>
      <c r="Y35" s="139">
        <f>Xnorm*VertexCalc!Xnorm+Ynorm*VertexCalc!Ynorm+Znorm*VertexCalc!Znorm</f>
        <v>0.9999999999999998</v>
      </c>
    </row>
    <row r="36" spans="3:25" ht="12.75">
      <c r="C36" s="18">
        <f ca="1" t="shared" si="18"/>
      </c>
      <c r="D36" s="19" t="str">
        <f ca="1" t="shared" si="18"/>
        <v>SFLA</v>
      </c>
      <c r="E36" s="19" t="str">
        <f ca="1" t="shared" si="18"/>
        <v>Spec</v>
      </c>
      <c r="F36" s="19" t="str">
        <f ca="1" t="shared" si="1"/>
        <v>Hole</v>
      </c>
      <c r="G36" s="44">
        <f ca="1" t="shared" si="19"/>
        <v>263.582353</v>
      </c>
      <c r="H36" s="45">
        <f ca="1" t="shared" si="19"/>
        <v>236.756678</v>
      </c>
      <c r="I36" s="46">
        <f ca="1" t="shared" si="19"/>
        <v>-636.663389</v>
      </c>
      <c r="J36" s="45">
        <f t="shared" si="20"/>
        <v>0.001331999999990785</v>
      </c>
      <c r="K36" s="45">
        <f t="shared" si="21"/>
        <v>65.89841899999999</v>
      </c>
      <c r="L36" s="45">
        <f t="shared" si="22"/>
        <v>-7.700000003296736E-05</v>
      </c>
      <c r="M36" s="97">
        <f t="shared" si="23"/>
        <v>65.89841901350678</v>
      </c>
      <c r="N36" s="45">
        <f t="shared" si="24"/>
        <v>2.0212928017556436E-05</v>
      </c>
      <c r="O36" s="45">
        <f t="shared" si="25"/>
        <v>0.9999999997950362</v>
      </c>
      <c r="P36" s="45">
        <f t="shared" si="26"/>
        <v>-1.1684650585803152E-06</v>
      </c>
      <c r="Q36" s="44">
        <f t="shared" si="27"/>
      </c>
      <c r="R36" s="45">
        <f t="shared" si="28"/>
      </c>
      <c r="S36" s="46">
        <f t="shared" si="29"/>
      </c>
      <c r="T36" s="45">
        <f t="shared" si="30"/>
      </c>
      <c r="U36" s="44">
        <f t="shared" si="31"/>
      </c>
      <c r="V36" s="45">
        <f t="shared" si="32"/>
      </c>
      <c r="W36" s="46">
        <f t="shared" si="33"/>
      </c>
      <c r="X36" s="46">
        <f t="shared" si="34"/>
      </c>
      <c r="Y36" s="139" t="e">
        <f>Xnorm*VertexCalc!Xnorm+Ynorm*VertexCalc!Ynorm+Znorm*VertexCalc!Znorm</f>
        <v>#VALUE!</v>
      </c>
    </row>
    <row r="37" spans="3:25" ht="13.5" thickBot="1">
      <c r="C37" s="14">
        <f ca="1" t="shared" si="18"/>
      </c>
      <c r="D37" s="15" t="str">
        <f ca="1" t="shared" si="18"/>
        <v>SSW</v>
      </c>
      <c r="E37" s="15" t="str">
        <f ca="1" t="shared" si="18"/>
        <v>Spec</v>
      </c>
      <c r="F37" s="15" t="str">
        <f ca="1" t="shared" si="1"/>
        <v>Det</v>
      </c>
      <c r="G37" s="50">
        <f ca="1" t="shared" si="19"/>
        <v>263.582671</v>
      </c>
      <c r="H37" s="51">
        <f ca="1" t="shared" si="19"/>
        <v>250.856678</v>
      </c>
      <c r="I37" s="52">
        <f ca="1" t="shared" si="19"/>
        <v>-636.663366</v>
      </c>
      <c r="J37" s="51">
        <f t="shared" si="20"/>
        <v>0.00031799999999293505</v>
      </c>
      <c r="K37" s="51">
        <f t="shared" si="21"/>
        <v>14.099999999999994</v>
      </c>
      <c r="L37" s="51">
        <f t="shared" si="22"/>
        <v>2.300000005561742E-05</v>
      </c>
      <c r="M37" s="99">
        <f t="shared" si="23"/>
        <v>14.10000000360471</v>
      </c>
      <c r="N37" s="51">
        <f t="shared" si="24"/>
        <v>2.2553191483094845E-05</v>
      </c>
      <c r="O37" s="51">
        <f t="shared" si="25"/>
        <v>0.9999999997443464</v>
      </c>
      <c r="P37" s="51">
        <f t="shared" si="26"/>
        <v>1.63120567728634E-06</v>
      </c>
      <c r="Q37" s="50">
        <f t="shared" si="27"/>
      </c>
      <c r="R37" s="51">
        <f t="shared" si="28"/>
      </c>
      <c r="S37" s="52">
        <f t="shared" si="29"/>
      </c>
      <c r="T37" s="51">
        <f t="shared" si="30"/>
      </c>
      <c r="U37" s="50">
        <f t="shared" si="31"/>
      </c>
      <c r="V37" s="51">
        <f t="shared" si="32"/>
      </c>
      <c r="W37" s="52">
        <f t="shared" si="33"/>
      </c>
      <c r="X37" s="52">
        <f t="shared" si="34"/>
      </c>
      <c r="Y37" s="139" t="e">
        <f>Xnorm*VertexCalc!Xnorm+Ynorm*VertexCalc!Ynorm+Znorm*VertexCalc!Znorm</f>
        <v>#VALUE!</v>
      </c>
    </row>
    <row r="38" spans="1:25" ht="12.75">
      <c r="A38" s="60" t="s">
        <v>124</v>
      </c>
      <c r="C38" s="10" t="str">
        <f ca="1" t="shared" si="18"/>
        <v>Lower arm</v>
      </c>
      <c r="D38" s="11" t="str">
        <f ca="1" t="shared" si="18"/>
        <v>SCAL</v>
      </c>
      <c r="E38" s="11" t="str">
        <f ca="1" t="shared" si="18"/>
        <v>Spec</v>
      </c>
      <c r="F38" s="11" t="str">
        <f ca="1" t="shared" si="1"/>
        <v>Hole</v>
      </c>
      <c r="G38" s="47">
        <f ca="1" t="shared" si="19"/>
        <v>158.852846</v>
      </c>
      <c r="H38" s="48">
        <f ca="1" t="shared" si="19"/>
        <v>170.858972</v>
      </c>
      <c r="I38" s="49">
        <f ca="1" t="shared" si="19"/>
        <v>-219.396733</v>
      </c>
      <c r="J38" s="48">
        <f aca="true" t="shared" si="35" ref="J38:J47">IF(Flag="Ignore","",G38-G37)</f>
        <v>-104.729825</v>
      </c>
      <c r="K38" s="48">
        <f aca="true" t="shared" si="36" ref="K38:K47">IF(Flag="Ignore","",H38-H37)</f>
        <v>-79.997706</v>
      </c>
      <c r="L38" s="48">
        <f aca="true" t="shared" si="37" ref="L38:L47">IF(Flag="Ignore","",I38-I37)</f>
        <v>417.26663299999996</v>
      </c>
      <c r="M38" s="98">
        <f t="shared" si="23"/>
        <v>437.583605982845</v>
      </c>
      <c r="N38" s="48">
        <f t="shared" si="24"/>
        <v>-0.23933672004180576</v>
      </c>
      <c r="O38" s="48">
        <f t="shared" si="25"/>
        <v>-0.18281696321853572</v>
      </c>
      <c r="P38" s="48">
        <f t="shared" si="26"/>
        <v>0.9535700773405082</v>
      </c>
      <c r="Q38" s="47">
        <f aca="true" t="shared" si="38" ref="Q38:Q46">IF(OR(Flag="Ignore",Flag="Det",Flag="Hole"),"",N39-Xray)</f>
      </c>
      <c r="R38" s="48">
        <f aca="true" t="shared" si="39" ref="R38:R46">IF(OR(Flag="Ignore",Flag="Det",Flag="Hole"),"",O39-Yray)</f>
      </c>
      <c r="S38" s="49">
        <f aca="true" t="shared" si="40" ref="S38:S46">IF(OR(Flag="Ignore",Flag="Det",Flag="Hole"),"",P39-Zray)</f>
      </c>
      <c r="T38" s="48">
        <f t="shared" si="30"/>
      </c>
      <c r="U38" s="47">
        <f t="shared" si="31"/>
      </c>
      <c r="V38" s="48">
        <f t="shared" si="32"/>
      </c>
      <c r="W38" s="49">
        <f t="shared" si="33"/>
      </c>
      <c r="X38" s="49">
        <f t="shared" si="34"/>
      </c>
      <c r="Y38" s="139" t="e">
        <f>Xnorm*VertexCalc!Xnorm+Ynorm*VertexCalc!Ynorm+Znorm*VertexCalc!Znorm</f>
        <v>#VALUE!</v>
      </c>
    </row>
    <row r="39" spans="1:25" ht="12.75">
      <c r="A39" s="55" t="s">
        <v>14</v>
      </c>
      <c r="B39" s="55" t="str">
        <f>"-Zsyno"</f>
        <v>-Zsyno</v>
      </c>
      <c r="C39" s="18">
        <f ca="1" t="shared" si="18"/>
      </c>
      <c r="D39" s="19" t="str">
        <f ca="1" t="shared" si="18"/>
        <v>SM8B</v>
      </c>
      <c r="E39" s="19" t="str">
        <f ca="1" t="shared" si="18"/>
        <v>Spec</v>
      </c>
      <c r="F39" s="19" t="str">
        <f ca="1" t="shared" si="1"/>
        <v>Mirror</v>
      </c>
      <c r="G39" s="44">
        <f ca="1" t="shared" si="19"/>
        <v>72.751027</v>
      </c>
      <c r="H39" s="45">
        <f ca="1" t="shared" si="19"/>
        <v>170.860517</v>
      </c>
      <c r="I39" s="46">
        <f ca="1" t="shared" si="19"/>
        <v>-234.578711</v>
      </c>
      <c r="J39" s="45">
        <f t="shared" si="35"/>
        <v>-86.101819</v>
      </c>
      <c r="K39" s="45">
        <f t="shared" si="36"/>
        <v>0.0015449999999930242</v>
      </c>
      <c r="L39" s="45">
        <f t="shared" si="37"/>
        <v>-15.181977999999987</v>
      </c>
      <c r="M39" s="97">
        <f t="shared" si="23"/>
        <v>87.43006172643521</v>
      </c>
      <c r="N39" s="45">
        <f t="shared" si="24"/>
        <v>-0.9848079401957737</v>
      </c>
      <c r="O39" s="45">
        <f t="shared" si="25"/>
        <v>1.7671267404880266E-05</v>
      </c>
      <c r="P39" s="45">
        <f t="shared" si="26"/>
        <v>-0.17364711519367015</v>
      </c>
      <c r="Q39" s="44">
        <f t="shared" si="38"/>
        <v>1.8508344146753775</v>
      </c>
      <c r="R39" s="45">
        <f t="shared" si="39"/>
        <v>-3.563949589927077E-05</v>
      </c>
      <c r="S39" s="46">
        <f t="shared" si="40"/>
        <v>-0.32635102998046034</v>
      </c>
      <c r="T39" s="45">
        <f t="shared" si="30"/>
        <v>1.8793863430881443</v>
      </c>
      <c r="U39" s="44">
        <f t="shared" si="31"/>
        <v>0.9848078451150968</v>
      </c>
      <c r="V39" s="45">
        <f t="shared" si="32"/>
        <v>-1.896336856460772E-05</v>
      </c>
      <c r="W39" s="46">
        <f t="shared" si="33"/>
        <v>-0.1736476542892247</v>
      </c>
      <c r="X39" s="46">
        <f t="shared" si="34"/>
        <v>1</v>
      </c>
      <c r="Y39" s="139">
        <f>Xnorm*VertexCalc!Xnorm+Ynorm*VertexCalc!Ynorm+Znorm*VertexCalc!Znorm</f>
        <v>0.999999999820054</v>
      </c>
    </row>
    <row r="40" spans="1:25" ht="12.75">
      <c r="A40" s="55" t="s">
        <v>69</v>
      </c>
      <c r="B40" s="55" t="s">
        <v>120</v>
      </c>
      <c r="C40" s="18">
        <f ca="1" t="shared" si="18"/>
      </c>
      <c r="D40" s="19" t="str">
        <f ca="1" t="shared" si="18"/>
        <v>SBS1</v>
      </c>
      <c r="E40" s="19" t="str">
        <f ca="1" t="shared" si="18"/>
        <v>Spec</v>
      </c>
      <c r="F40" s="19" t="str">
        <f ca="1" t="shared" si="1"/>
        <v>Hole</v>
      </c>
      <c r="G40" s="44">
        <f ca="1" t="shared" si="19"/>
        <v>223.12771</v>
      </c>
      <c r="H40" s="45">
        <f ca="1" t="shared" si="19"/>
        <v>170.857397</v>
      </c>
      <c r="I40" s="46">
        <f ca="1" t="shared" si="19"/>
        <v>-321.3983</v>
      </c>
      <c r="J40" s="45">
        <f t="shared" si="35"/>
        <v>150.376683</v>
      </c>
      <c r="K40" s="45">
        <f t="shared" si="36"/>
        <v>-0.0031199999999955708</v>
      </c>
      <c r="L40" s="45">
        <f t="shared" si="37"/>
        <v>-86.81958900000001</v>
      </c>
      <c r="M40" s="97">
        <f t="shared" si="23"/>
        <v>173.6398221432682</v>
      </c>
      <c r="N40" s="45">
        <f t="shared" si="24"/>
        <v>0.8660264744796039</v>
      </c>
      <c r="O40" s="45">
        <f t="shared" si="25"/>
        <v>-1.7968228494390504E-05</v>
      </c>
      <c r="P40" s="45">
        <f t="shared" si="26"/>
        <v>-0.4999981451741305</v>
      </c>
      <c r="Q40" s="44">
        <f t="shared" si="38"/>
      </c>
      <c r="R40" s="45">
        <f t="shared" si="39"/>
      </c>
      <c r="S40" s="46">
        <f t="shared" si="40"/>
      </c>
      <c r="T40" s="45">
        <f t="shared" si="30"/>
      </c>
      <c r="U40" s="44">
        <f t="shared" si="31"/>
      </c>
      <c r="V40" s="45">
        <f t="shared" si="32"/>
      </c>
      <c r="W40" s="46">
        <f t="shared" si="33"/>
      </c>
      <c r="X40" s="46">
        <f t="shared" si="34"/>
      </c>
      <c r="Y40" s="139" t="e">
        <f>Xnorm*VertexCalc!Xnorm+Ynorm*VertexCalc!Ynorm+Znorm*VertexCalc!Znorm</f>
        <v>#VALUE!</v>
      </c>
    </row>
    <row r="41" spans="1:25" ht="12.75">
      <c r="A41" s="55" t="s">
        <v>70</v>
      </c>
      <c r="B41" s="55" t="s">
        <v>121</v>
      </c>
      <c r="C41" s="18">
        <f ca="1" t="shared" si="18"/>
      </c>
      <c r="D41" s="19" t="str">
        <f ca="1" t="shared" si="18"/>
        <v>SM9B</v>
      </c>
      <c r="E41" s="19" t="str">
        <f ca="1" t="shared" si="18"/>
        <v>Spec</v>
      </c>
      <c r="F41" s="19" t="str">
        <f ca="1" t="shared" si="1"/>
        <v>Mirror</v>
      </c>
      <c r="G41" s="44">
        <f ca="1" t="shared" si="19"/>
        <v>73.131956</v>
      </c>
      <c r="H41" s="45">
        <f ca="1" t="shared" si="19"/>
        <v>170.854284</v>
      </c>
      <c r="I41" s="46">
        <f ca="1" t="shared" si="19"/>
        <v>-407.99796</v>
      </c>
      <c r="J41" s="45">
        <f t="shared" si="35"/>
        <v>-149.995754</v>
      </c>
      <c r="K41" s="45">
        <f t="shared" si="36"/>
        <v>-0.0031129999999848224</v>
      </c>
      <c r="L41" s="45">
        <f t="shared" si="37"/>
        <v>-86.59965999999997</v>
      </c>
      <c r="M41" s="97">
        <f t="shared" si="23"/>
        <v>173.19996345217535</v>
      </c>
      <c r="N41" s="45">
        <f t="shared" si="24"/>
        <v>-0.8660264760472505</v>
      </c>
      <c r="O41" s="45">
        <f t="shared" si="25"/>
        <v>-1.7973444901126647E-05</v>
      </c>
      <c r="P41" s="45">
        <f t="shared" si="26"/>
        <v>-0.49999814245868596</v>
      </c>
      <c r="Q41" s="44">
        <f t="shared" si="38"/>
        <v>1.8660264760442815</v>
      </c>
      <c r="R41" s="45">
        <f t="shared" si="39"/>
        <v>1.7821444761215986E-05</v>
      </c>
      <c r="S41" s="46">
        <f t="shared" si="40"/>
        <v>0.4999957104564483</v>
      </c>
      <c r="T41" s="45">
        <f t="shared" si="30"/>
        <v>1.9318515781733057</v>
      </c>
      <c r="U41" s="44">
        <f t="shared" si="31"/>
        <v>0.9659264185340438</v>
      </c>
      <c r="V41" s="45">
        <f t="shared" si="32"/>
        <v>9.225058986191552E-06</v>
      </c>
      <c r="W41" s="46">
        <f t="shared" si="33"/>
        <v>0.2588168346396609</v>
      </c>
      <c r="X41" s="46">
        <f t="shared" si="34"/>
        <v>1</v>
      </c>
      <c r="Y41" s="139">
        <f>Xnorm*VertexCalc!Xnorm+Ynorm*VertexCalc!Ynorm+Znorm*VertexCalc!Znorm</f>
        <v>0.9999999999548307</v>
      </c>
    </row>
    <row r="42" spans="3:25" ht="12.75">
      <c r="C42" s="18">
        <f aca="true" ca="1" t="shared" si="41" ref="C42:E49">IF(INDIRECT("SurfaceList!"&amp;ThisCol)="","",INDIRECT("SurfaceList!"&amp;ThisCol))</f>
      </c>
      <c r="D42" s="19" t="str">
        <f ca="1" t="shared" si="41"/>
        <v>SRTB1</v>
      </c>
      <c r="E42" s="19" t="str">
        <f ca="1" t="shared" si="41"/>
        <v>Spec</v>
      </c>
      <c r="F42" s="19" t="str">
        <f ca="1" t="shared" si="1"/>
        <v>Mirror</v>
      </c>
      <c r="G42" s="44">
        <f ca="1" t="shared" si="42" ref="G42:I49">INDIRECT("RayImpacts!"&amp;Axe&amp;System&amp;Ray)</f>
        <v>198.131841</v>
      </c>
      <c r="H42" s="45">
        <f ca="1" t="shared" si="42"/>
        <v>170.854265</v>
      </c>
      <c r="I42" s="46">
        <f ca="1" t="shared" si="42"/>
        <v>-407.998264</v>
      </c>
      <c r="J42" s="45">
        <f t="shared" si="35"/>
        <v>124.999885</v>
      </c>
      <c r="K42" s="45">
        <f t="shared" si="36"/>
        <v>-1.900000000887303E-05</v>
      </c>
      <c r="L42" s="45">
        <f t="shared" si="37"/>
        <v>-0.00030400000002828165</v>
      </c>
      <c r="M42" s="97">
        <f t="shared" si="23"/>
        <v>124.99988500037111</v>
      </c>
      <c r="N42" s="45">
        <f t="shared" si="24"/>
        <v>0.9999999999970312</v>
      </c>
      <c r="O42" s="45">
        <f t="shared" si="25"/>
        <v>-1.520001399106617E-07</v>
      </c>
      <c r="P42" s="45">
        <f t="shared" si="26"/>
        <v>-2.4320022376610916E-06</v>
      </c>
      <c r="Q42" s="44">
        <f t="shared" si="38"/>
        <v>-0.9999975800172142</v>
      </c>
      <c r="R42" s="45">
        <f t="shared" si="39"/>
        <v>1.2001307286368847E-08</v>
      </c>
      <c r="S42" s="46">
        <f t="shared" si="40"/>
        <v>-0.9999975679948244</v>
      </c>
      <c r="T42" s="45">
        <f t="shared" si="30"/>
        <v>1.4142101314995053</v>
      </c>
      <c r="U42" s="44">
        <f t="shared" si="31"/>
        <v>-0.7071067854371145</v>
      </c>
      <c r="V42" s="45">
        <f t="shared" si="32"/>
        <v>8.486226352828987E-09</v>
      </c>
      <c r="W42" s="46">
        <f t="shared" si="33"/>
        <v>-0.7071067769359806</v>
      </c>
      <c r="X42" s="46">
        <f t="shared" si="34"/>
        <v>-1</v>
      </c>
      <c r="Y42" s="139">
        <f>Xnorm*VertexCalc!Xnorm+Ynorm*VertexCalc!Ynorm+Znorm*VertexCalc!Znorm</f>
        <v>1</v>
      </c>
    </row>
    <row r="43" spans="3:25" ht="12.75">
      <c r="C43" s="18">
        <f ca="1" t="shared" si="41"/>
      </c>
      <c r="D43" s="19" t="str">
        <f ca="1" t="shared" si="41"/>
        <v>SRTB2</v>
      </c>
      <c r="E43" s="19" t="str">
        <f ca="1" t="shared" si="41"/>
        <v>Spec</v>
      </c>
      <c r="F43" s="19" t="str">
        <f ca="1" t="shared" si="1"/>
        <v>Mirror</v>
      </c>
      <c r="G43" s="44">
        <f ca="1" t="shared" si="42"/>
        <v>198.131962</v>
      </c>
      <c r="H43" s="45">
        <f ca="1" t="shared" si="42"/>
        <v>170.854258</v>
      </c>
      <c r="I43" s="46">
        <f ca="1" t="shared" si="42"/>
        <v>-457.998681</v>
      </c>
      <c r="J43" s="45">
        <f t="shared" si="35"/>
        <v>0.00012099999997872146</v>
      </c>
      <c r="K43" s="45">
        <f t="shared" si="36"/>
        <v>-7.000000010748408E-06</v>
      </c>
      <c r="L43" s="45">
        <f t="shared" si="37"/>
        <v>-50.00041699999997</v>
      </c>
      <c r="M43" s="97">
        <f t="shared" si="23"/>
        <v>50.00041700014687</v>
      </c>
      <c r="N43" s="45">
        <f t="shared" si="24"/>
        <v>2.4199798169356476E-06</v>
      </c>
      <c r="O43" s="45">
        <f t="shared" si="25"/>
        <v>-1.3999883262429286E-07</v>
      </c>
      <c r="P43" s="45">
        <f t="shared" si="26"/>
        <v>-0.9999999999970621</v>
      </c>
      <c r="Q43" s="44">
        <f t="shared" si="38"/>
        <v>-1.000002419976848</v>
      </c>
      <c r="R43" s="45">
        <f t="shared" si="39"/>
        <v>-1.2001398259217404E-08</v>
      </c>
      <c r="S43" s="46">
        <f t="shared" si="40"/>
        <v>1.0000024320007586</v>
      </c>
      <c r="T43" s="45">
        <f t="shared" si="30"/>
        <v>1.414216993239363</v>
      </c>
      <c r="U43" s="44">
        <f t="shared" si="31"/>
        <v>-0.7071067769354634</v>
      </c>
      <c r="V43" s="45">
        <f t="shared" si="32"/>
        <v>-8.48624950526677E-09</v>
      </c>
      <c r="W43" s="46">
        <f t="shared" si="33"/>
        <v>0.7071067854376315</v>
      </c>
      <c r="X43" s="46">
        <f t="shared" si="34"/>
        <v>-1</v>
      </c>
      <c r="Y43" s="139">
        <f>Xnorm*VertexCalc!Xnorm+Ynorm*VertexCalc!Ynorm+Znorm*VertexCalc!Znorm</f>
        <v>1</v>
      </c>
    </row>
    <row r="44" spans="3:25" ht="12.75">
      <c r="C44" s="18">
        <f ca="1" t="shared" si="41"/>
      </c>
      <c r="D44" s="19" t="str">
        <f ca="1" t="shared" si="41"/>
        <v>SM10B</v>
      </c>
      <c r="E44" s="19" t="str">
        <f ca="1" t="shared" si="41"/>
        <v>Spec</v>
      </c>
      <c r="F44" s="19" t="str">
        <f ca="1" t="shared" si="1"/>
        <v>Mirror</v>
      </c>
      <c r="G44" s="44">
        <f ca="1" t="shared" si="42"/>
        <v>73.13215199999999</v>
      </c>
      <c r="H44" s="45">
        <f ca="1" t="shared" si="42"/>
        <v>170.854239</v>
      </c>
      <c r="I44" s="46">
        <f ca="1" t="shared" si="42"/>
        <v>-457.998377</v>
      </c>
      <c r="J44" s="45">
        <f t="shared" si="35"/>
        <v>-124.99981</v>
      </c>
      <c r="K44" s="45">
        <f t="shared" si="36"/>
        <v>-1.899999998045132E-05</v>
      </c>
      <c r="L44" s="45">
        <f t="shared" si="37"/>
        <v>0.00030399999997143823</v>
      </c>
      <c r="M44" s="97">
        <f t="shared" si="23"/>
        <v>124.9998100003711</v>
      </c>
      <c r="N44" s="45">
        <f t="shared" si="24"/>
        <v>-0.9999999999970312</v>
      </c>
      <c r="O44" s="45">
        <f t="shared" si="25"/>
        <v>-1.5200023088351026E-07</v>
      </c>
      <c r="P44" s="45">
        <f t="shared" si="26"/>
        <v>2.4320036964099043E-06</v>
      </c>
      <c r="Q44" s="44">
        <f t="shared" si="38"/>
        <v>1.8660259981303582</v>
      </c>
      <c r="R44" s="45">
        <f t="shared" si="39"/>
        <v>1.812545869940631E-05</v>
      </c>
      <c r="S44" s="46">
        <f t="shared" si="40"/>
        <v>-0.5000014022367656</v>
      </c>
      <c r="T44" s="45">
        <f t="shared" si="30"/>
        <v>1.9318525896831942</v>
      </c>
      <c r="U44" s="44">
        <f t="shared" si="31"/>
        <v>0.9659256653927042</v>
      </c>
      <c r="V44" s="45">
        <f t="shared" si="32"/>
        <v>9.382423274013218E-06</v>
      </c>
      <c r="W44" s="46">
        <f t="shared" si="33"/>
        <v>-0.2588196454051192</v>
      </c>
      <c r="X44" s="46">
        <f t="shared" si="34"/>
        <v>1</v>
      </c>
      <c r="Y44" s="139">
        <f>Xnorm*VertexCalc!Xnorm+Ynorm*VertexCalc!Ynorm+Znorm*VertexCalc!Znorm</f>
        <v>0.9999999999557918</v>
      </c>
    </row>
    <row r="45" spans="3:25" ht="12.75">
      <c r="C45" s="18">
        <f ca="1" t="shared" si="41"/>
      </c>
      <c r="D45" s="19" t="str">
        <f ca="1" t="shared" si="41"/>
        <v>SBS2</v>
      </c>
      <c r="E45" s="19" t="str">
        <f ca="1" t="shared" si="41"/>
        <v>Spec</v>
      </c>
      <c r="F45" s="19" t="str">
        <f ca="1" t="shared" si="1"/>
        <v>Hole</v>
      </c>
      <c r="G45" s="44">
        <f ca="1" t="shared" si="42"/>
        <v>223.12771</v>
      </c>
      <c r="H45" s="45">
        <f ca="1" t="shared" si="42"/>
        <v>170.857352</v>
      </c>
      <c r="I45" s="46">
        <f ca="1" t="shared" si="42"/>
        <v>-544.598115</v>
      </c>
      <c r="J45" s="45">
        <f t="shared" si="35"/>
        <v>149.99555800000002</v>
      </c>
      <c r="K45" s="45">
        <f t="shared" si="36"/>
        <v>0.0031129999999848224</v>
      </c>
      <c r="L45" s="45">
        <f t="shared" si="37"/>
        <v>-86.599738</v>
      </c>
      <c r="M45" s="97">
        <f t="shared" si="23"/>
        <v>173.1998327109203</v>
      </c>
      <c r="N45" s="45">
        <f t="shared" si="24"/>
        <v>0.866025998133327</v>
      </c>
      <c r="O45" s="45">
        <f t="shared" si="25"/>
        <v>1.79734584685228E-05</v>
      </c>
      <c r="P45" s="45">
        <f t="shared" si="26"/>
        <v>-0.49999897023306916</v>
      </c>
      <c r="Q45" s="44">
        <f t="shared" si="38"/>
      </c>
      <c r="R45" s="45">
        <f t="shared" si="39"/>
      </c>
      <c r="S45" s="46">
        <f t="shared" si="40"/>
      </c>
      <c r="T45" s="45">
        <f t="shared" si="30"/>
      </c>
      <c r="U45" s="44">
        <f t="shared" si="31"/>
      </c>
      <c r="V45" s="45">
        <f t="shared" si="32"/>
      </c>
      <c r="W45" s="46">
        <f t="shared" si="33"/>
      </c>
      <c r="X45" s="46">
        <f t="shared" si="34"/>
      </c>
      <c r="Y45" s="139" t="e">
        <f>Xnorm*VertexCalc!Xnorm+Ynorm*VertexCalc!Ynorm+Znorm*VertexCalc!Znorm</f>
        <v>#VALUE!</v>
      </c>
    </row>
    <row r="46" spans="3:25" ht="12.75">
      <c r="C46" s="18">
        <f ca="1" t="shared" si="41"/>
      </c>
      <c r="D46" s="19" t="str">
        <f ca="1" t="shared" si="41"/>
        <v>SM11B</v>
      </c>
      <c r="E46" s="19" t="str">
        <f ca="1" t="shared" si="41"/>
        <v>Spec</v>
      </c>
      <c r="F46" s="19" t="str">
        <f ca="1" t="shared" si="1"/>
        <v>Mirror</v>
      </c>
      <c r="G46" s="44">
        <f ca="1" t="shared" si="42"/>
        <v>91.509069</v>
      </c>
      <c r="H46" s="45">
        <f ca="1" t="shared" si="42"/>
        <v>170.860083</v>
      </c>
      <c r="I46" s="46">
        <f ca="1" t="shared" si="42"/>
        <v>-620.587965</v>
      </c>
      <c r="J46" s="45">
        <f t="shared" si="35"/>
        <v>-131.61864100000003</v>
      </c>
      <c r="K46" s="45">
        <f t="shared" si="36"/>
        <v>0.0027310000000113632</v>
      </c>
      <c r="L46" s="45">
        <f t="shared" si="37"/>
        <v>-75.98985000000005</v>
      </c>
      <c r="M46" s="97">
        <f t="shared" si="23"/>
        <v>151.980011742228</v>
      </c>
      <c r="N46" s="45">
        <f t="shared" si="24"/>
        <v>-0.86602599572921</v>
      </c>
      <c r="O46" s="45">
        <f t="shared" si="25"/>
        <v>1.7969468278785167E-05</v>
      </c>
      <c r="P46" s="45">
        <f t="shared" si="26"/>
        <v>-0.4999989743972766</v>
      </c>
      <c r="Q46" s="44">
        <f t="shared" si="38"/>
        <v>1.8508329361008786</v>
      </c>
      <c r="R46" s="45">
        <f t="shared" si="39"/>
        <v>-3.767309770612038E-05</v>
      </c>
      <c r="S46" s="46">
        <f t="shared" si="40"/>
        <v>0.3263461891977316</v>
      </c>
      <c r="T46" s="45">
        <f t="shared" si="30"/>
        <v>1.8793840464308893</v>
      </c>
      <c r="U46" s="44">
        <f t="shared" si="31"/>
        <v>0.9848082618428992</v>
      </c>
      <c r="V46" s="45">
        <f t="shared" si="32"/>
        <v>-2.0045449346909594E-05</v>
      </c>
      <c r="W46" s="46">
        <f t="shared" si="33"/>
        <v>0.17364529076294485</v>
      </c>
      <c r="X46" s="46">
        <f t="shared" si="34"/>
        <v>1</v>
      </c>
      <c r="Y46" s="139">
        <f>Xnorm*VertexCalc!Xnorm+Ynorm*VertexCalc!Ynorm+Znorm*VertexCalc!Znorm</f>
        <v>0.9999999997947934</v>
      </c>
    </row>
    <row r="47" spans="3:25" ht="12.75">
      <c r="C47" s="18">
        <f ca="1" t="shared" si="41"/>
      </c>
      <c r="D47" s="19" t="str">
        <f ca="1" t="shared" si="41"/>
        <v>SM12B</v>
      </c>
      <c r="E47" s="19" t="str">
        <f ca="1" t="shared" si="41"/>
        <v>Spec</v>
      </c>
      <c r="F47" s="19" t="str">
        <f ca="1" t="shared" si="1"/>
        <v>Mirror</v>
      </c>
      <c r="G47" s="44">
        <f ca="1" t="shared" si="42"/>
        <v>182.674398</v>
      </c>
      <c r="H47" s="45">
        <f ca="1" t="shared" si="42"/>
        <v>170.858259</v>
      </c>
      <c r="I47" s="46">
        <f ca="1" t="shared" si="42"/>
        <v>-636.663312</v>
      </c>
      <c r="J47" s="45">
        <f t="shared" si="35"/>
        <v>91.165329</v>
      </c>
      <c r="K47" s="45">
        <f t="shared" si="36"/>
        <v>-0.0018239999999991596</v>
      </c>
      <c r="L47" s="45">
        <f t="shared" si="37"/>
        <v>-16.075346999999965</v>
      </c>
      <c r="M47" s="97">
        <f t="shared" si="23"/>
        <v>92.57177753600514</v>
      </c>
      <c r="N47" s="45">
        <f t="shared" si="24"/>
        <v>0.9848069403716687</v>
      </c>
      <c r="O47" s="45">
        <f t="shared" si="25"/>
        <v>-1.970362942733521E-05</v>
      </c>
      <c r="P47" s="45">
        <f t="shared" si="26"/>
        <v>-0.173652785199545</v>
      </c>
      <c r="Q47" s="44">
        <f>IF(OR(Flag="Ignore",Flag="Det",Flag="Hole"),"",N49-Xray)</f>
        <v>-0.9848270782696398</v>
      </c>
      <c r="R47" s="45">
        <f>IF(OR(Flag="Ignore",Flag="Det",Flag="Hole"),"",O49-Yray)</f>
        <v>1.0000197034261087</v>
      </c>
      <c r="S47" s="46">
        <f>IF(OR(Flag="Ignore",Flag="Det",Flag="Hole"),"",P49-Zray)</f>
        <v>0.17365173517879398</v>
      </c>
      <c r="T47" s="45">
        <f t="shared" si="30"/>
        <v>1.414241389036597</v>
      </c>
      <c r="U47" s="44">
        <f t="shared" si="31"/>
        <v>-0.6963642033843452</v>
      </c>
      <c r="V47" s="45">
        <f t="shared" si="32"/>
        <v>0.7071068002806349</v>
      </c>
      <c r="W47" s="46">
        <f t="shared" si="33"/>
        <v>0.12278790348307386</v>
      </c>
      <c r="X47" s="46">
        <f t="shared" si="34"/>
        <v>-1</v>
      </c>
      <c r="Y47" s="139">
        <f>Xnorm*VertexCalc!Xnorm+Ynorm*VertexCalc!Ynorm+Znorm*VertexCalc!Znorm</f>
        <v>0.9999999999999942</v>
      </c>
    </row>
    <row r="48" spans="3:25" ht="12.75">
      <c r="C48" s="18"/>
      <c r="D48" s="19" t="str">
        <f ca="1" t="shared" si="41"/>
        <v>SFLB</v>
      </c>
      <c r="E48" s="19" t="str">
        <f ca="1" t="shared" si="41"/>
        <v>Spec</v>
      </c>
      <c r="F48" s="19" t="str">
        <f ca="1" t="shared" si="1"/>
        <v>Hole</v>
      </c>
      <c r="G48" s="44">
        <f ca="1" t="shared" si="42"/>
        <v>182.67286000000001</v>
      </c>
      <c r="H48" s="45">
        <f ca="1" t="shared" si="42"/>
        <v>246.956678</v>
      </c>
      <c r="I48" s="46">
        <f ca="1" t="shared" si="42"/>
        <v>-636.663401</v>
      </c>
      <c r="J48" s="45">
        <f>IF(Flag="Ignore","",G48-G47)</f>
        <v>-0.0015379999999822758</v>
      </c>
      <c r="K48" s="45">
        <f>IF(Flag="Ignore","",H48-H47)</f>
        <v>76.098419</v>
      </c>
      <c r="L48" s="45">
        <f>IF(Flag="Ignore","",I48-I47)</f>
        <v>-8.900000000267028E-05</v>
      </c>
      <c r="M48" s="97">
        <f t="shared" si="23"/>
        <v>76.09841901559406</v>
      </c>
      <c r="N48" s="45">
        <f t="shared" si="24"/>
        <v>-2.021066954974596E-05</v>
      </c>
      <c r="O48" s="45">
        <f t="shared" si="25"/>
        <v>0.9999999997950805</v>
      </c>
      <c r="P48" s="45">
        <f t="shared" si="26"/>
        <v>-1.1695380949298358E-06</v>
      </c>
      <c r="Q48" s="44">
        <f>IF(OR(Flag="Ignore",Flag="Det",Flag="Hole"),"",N50-Xray)</f>
      </c>
      <c r="R48" s="45">
        <f>IF(OR(Flag="Ignore",Flag="Det",Flag="Hole"),"",O50-Yray)</f>
      </c>
      <c r="S48" s="46">
        <f>IF(OR(Flag="Ignore",Flag="Det",Flag="Hole"),"",P50-Zray)</f>
      </c>
      <c r="T48" s="45">
        <f t="shared" si="30"/>
      </c>
      <c r="U48" s="44">
        <f t="shared" si="31"/>
      </c>
      <c r="V48" s="45">
        <f t="shared" si="32"/>
      </c>
      <c r="W48" s="46">
        <f t="shared" si="33"/>
      </c>
      <c r="X48" s="46">
        <f t="shared" si="34"/>
      </c>
      <c r="Y48" s="139" t="e">
        <f>Xnorm*VertexCalc!Xnorm+Ynorm*VertexCalc!Ynorm+Znorm*VertexCalc!Znorm</f>
        <v>#VALUE!</v>
      </c>
    </row>
    <row r="49" spans="3:25" ht="13.5" thickBot="1">
      <c r="C49" s="14">
        <f ca="1" t="shared" si="41"/>
      </c>
      <c r="D49" s="15" t="str">
        <f ca="1" t="shared" si="41"/>
        <v>SLW</v>
      </c>
      <c r="E49" s="15" t="str">
        <f ca="1" t="shared" si="41"/>
        <v>Spec</v>
      </c>
      <c r="F49" s="15" t="str">
        <f ca="1" t="shared" si="1"/>
        <v>Det</v>
      </c>
      <c r="G49" s="50">
        <f ca="1" t="shared" si="42"/>
        <v>182.672787</v>
      </c>
      <c r="H49" s="51">
        <f ca="1" t="shared" si="42"/>
        <v>250.856678</v>
      </c>
      <c r="I49" s="52">
        <f ca="1" t="shared" si="42"/>
        <v>-636.663396</v>
      </c>
      <c r="J49" s="51">
        <f>IF(Flag="Ignore","",G49-G47)</f>
        <v>-0.0016109999999969205</v>
      </c>
      <c r="K49" s="51">
        <f>IF(Flag="Ignore","",H49-H47)</f>
        <v>79.99841899999998</v>
      </c>
      <c r="L49" s="51">
        <f>IF(Flag="Ignore","",I49-I47)</f>
        <v>-8.400000001529406E-05</v>
      </c>
      <c r="M49" s="99">
        <f t="shared" si="23"/>
        <v>79.99841901626516</v>
      </c>
      <c r="N49" s="51">
        <f t="shared" si="24"/>
        <v>-2.013789797107583E-05</v>
      </c>
      <c r="O49" s="51">
        <f t="shared" si="25"/>
        <v>0.9999999997966813</v>
      </c>
      <c r="P49" s="51">
        <f t="shared" si="26"/>
        <v>-1.0500207510127833E-06</v>
      </c>
      <c r="Q49" s="50">
        <f>IF(OR(Flag="Ignore",Flag="Det",Flag="Hole"),"",N53-Xray)</f>
      </c>
      <c r="R49" s="51">
        <f>IF(OR(Flag="Ignore",Flag="Det",Flag="Hole"),"",O53-Yray)</f>
      </c>
      <c r="S49" s="52">
        <f>IF(OR(Flag="Ignore",Flag="Det",Flag="Hole"),"",P53-Zray)</f>
      </c>
      <c r="T49" s="51">
        <f t="shared" si="30"/>
      </c>
      <c r="U49" s="50">
        <f t="shared" si="31"/>
      </c>
      <c r="V49" s="51">
        <f t="shared" si="32"/>
      </c>
      <c r="W49" s="52">
        <f t="shared" si="33"/>
      </c>
      <c r="X49" s="52">
        <f t="shared" si="34"/>
      </c>
      <c r="Y49" s="139" t="e">
        <f>Xnorm*VertexCalc!Xnorm+Ynorm*VertexCalc!Ynorm+Znorm*VertexCalc!Znorm</f>
        <v>#VALUE!</v>
      </c>
    </row>
    <row r="50" spans="1:30" s="1" customFormat="1" ht="12.75">
      <c r="A50" s="25" t="s">
        <v>442</v>
      </c>
      <c r="C50" s="19"/>
      <c r="D50" s="19"/>
      <c r="E50" s="19"/>
      <c r="G50" s="21" t="s">
        <v>14</v>
      </c>
      <c r="H50" s="21" t="s">
        <v>69</v>
      </c>
      <c r="I50" s="21" t="s">
        <v>70</v>
      </c>
      <c r="J50" s="21"/>
      <c r="K50" s="21"/>
      <c r="L50" s="21"/>
      <c r="M50" s="21"/>
      <c r="N50" s="21"/>
      <c r="O50" s="21"/>
      <c r="P50" s="21"/>
      <c r="Q50" s="21"/>
      <c r="R50" s="21"/>
      <c r="S50" s="21"/>
      <c r="T50" s="21"/>
      <c r="U50" s="21"/>
      <c r="V50" s="21"/>
      <c r="W50" s="21"/>
      <c r="X50" s="21"/>
      <c r="Y50" s="140"/>
      <c r="Z50" s="19"/>
      <c r="AA50" s="19"/>
      <c r="AB50" s="19"/>
      <c r="AC50" s="19"/>
      <c r="AD50" s="19"/>
    </row>
    <row r="51" spans="1:30" s="1" customFormat="1" ht="12.75">
      <c r="A51" s="5"/>
      <c r="C51" s="23"/>
      <c r="G51" s="21"/>
      <c r="H51" s="21"/>
      <c r="I51" s="21"/>
      <c r="J51" s="21"/>
      <c r="K51" s="21"/>
      <c r="L51" s="21"/>
      <c r="M51" s="21"/>
      <c r="N51" s="21"/>
      <c r="O51" s="21"/>
      <c r="P51" s="20"/>
      <c r="Q51" s="20"/>
      <c r="R51" s="20"/>
      <c r="S51" s="20"/>
      <c r="T51" s="20"/>
      <c r="U51" s="20"/>
      <c r="V51" s="21"/>
      <c r="W51" s="21"/>
      <c r="X51" s="21"/>
      <c r="Y51" s="140"/>
      <c r="Z51" s="19"/>
      <c r="AA51" s="19"/>
      <c r="AB51" s="19"/>
      <c r="AC51" s="19"/>
      <c r="AD51" s="19"/>
    </row>
    <row r="52" spans="1:30" s="1" customFormat="1" ht="12.75">
      <c r="A52" s="25"/>
      <c r="C52" s="19"/>
      <c r="D52" s="19"/>
      <c r="E52" s="19"/>
      <c r="G52" s="21"/>
      <c r="H52" s="21"/>
      <c r="I52" s="21"/>
      <c r="J52" s="21"/>
      <c r="K52" s="21"/>
      <c r="L52" s="21"/>
      <c r="M52" s="21"/>
      <c r="N52" s="21"/>
      <c r="O52" s="21"/>
      <c r="P52" s="20"/>
      <c r="Q52" s="20"/>
      <c r="R52" s="20"/>
      <c r="S52" s="20"/>
      <c r="T52" s="20"/>
      <c r="U52" s="20"/>
      <c r="V52" s="21"/>
      <c r="W52" s="21"/>
      <c r="X52" s="21"/>
      <c r="Y52" s="140"/>
      <c r="Z52" s="19"/>
      <c r="AA52" s="19"/>
      <c r="AB52" s="19"/>
      <c r="AC52" s="19"/>
      <c r="AD52" s="19"/>
    </row>
    <row r="53" spans="3:24" ht="12.75">
      <c r="C53" s="19"/>
      <c r="D53" s="19"/>
      <c r="E53" s="19"/>
      <c r="F53" s="19"/>
      <c r="G53" s="45"/>
      <c r="H53" s="45"/>
      <c r="I53" s="45"/>
      <c r="J53" s="45"/>
      <c r="K53" s="45"/>
      <c r="L53" s="45"/>
      <c r="M53" s="45"/>
      <c r="N53" s="45"/>
      <c r="O53" s="45"/>
      <c r="P53" s="45"/>
      <c r="T53" s="45"/>
      <c r="U53" s="45"/>
      <c r="V53" s="45"/>
      <c r="W53" s="45"/>
      <c r="X53" s="45"/>
    </row>
    <row r="54" spans="3:24" ht="12.75">
      <c r="C54" s="19"/>
      <c r="D54" s="19"/>
      <c r="E54" s="19"/>
      <c r="F54" s="19"/>
      <c r="G54" s="45"/>
      <c r="H54" s="45"/>
      <c r="I54" s="45"/>
      <c r="J54" s="45"/>
      <c r="K54" s="45"/>
      <c r="L54" s="45"/>
      <c r="M54" s="45"/>
      <c r="N54" s="45"/>
      <c r="O54" s="45"/>
      <c r="P54" s="45"/>
      <c r="T54" s="45"/>
      <c r="U54" s="45"/>
      <c r="V54" s="45"/>
      <c r="W54" s="45"/>
      <c r="X54" s="45"/>
    </row>
    <row r="55" spans="3:24" ht="12.75">
      <c r="C55" s="23" t="s">
        <v>124</v>
      </c>
      <c r="D55" s="1"/>
      <c r="F55" s="1"/>
      <c r="G55" s="45"/>
      <c r="H55" s="45"/>
      <c r="I55" s="45"/>
      <c r="J55" s="45"/>
      <c r="K55" s="45"/>
      <c r="L55" s="45"/>
      <c r="M55" s="45"/>
      <c r="N55" s="45"/>
      <c r="O55" s="45"/>
      <c r="P55" s="45"/>
      <c r="T55" s="45"/>
      <c r="U55" s="45"/>
      <c r="V55" s="45"/>
      <c r="W55" s="45"/>
      <c r="X55" s="45"/>
    </row>
    <row r="56" spans="3:24" ht="12.75">
      <c r="C56" s="1" t="s">
        <v>14</v>
      </c>
      <c r="D56" s="1" t="str">
        <f>"-Zsyno"</f>
        <v>-Zsyno</v>
      </c>
      <c r="E56" s="1" t="s">
        <v>117</v>
      </c>
      <c r="F56" s="1"/>
      <c r="G56" s="45"/>
      <c r="H56" s="45"/>
      <c r="I56" s="45"/>
      <c r="J56" s="45"/>
      <c r="K56" s="45"/>
      <c r="L56" s="45"/>
      <c r="M56" s="45"/>
      <c r="N56" s="45"/>
      <c r="O56" s="45"/>
      <c r="P56" s="45"/>
      <c r="T56" s="45"/>
      <c r="U56" s="45"/>
      <c r="V56" s="45"/>
      <c r="W56" s="45"/>
      <c r="X56" s="45"/>
    </row>
    <row r="57" spans="3:24" ht="12.75">
      <c r="C57" s="1" t="s">
        <v>69</v>
      </c>
      <c r="D57" s="1" t="s">
        <v>120</v>
      </c>
      <c r="E57" s="1" t="s">
        <v>118</v>
      </c>
      <c r="F57" s="1"/>
      <c r="G57" s="45"/>
      <c r="H57" s="45"/>
      <c r="I57" s="45"/>
      <c r="J57" s="45"/>
      <c r="K57" s="45"/>
      <c r="L57" s="45"/>
      <c r="M57" s="45"/>
      <c r="N57" s="45"/>
      <c r="O57" s="45"/>
      <c r="P57" s="45"/>
      <c r="T57" s="45"/>
      <c r="U57" s="45"/>
      <c r="V57" s="45"/>
      <c r="W57" s="45"/>
      <c r="X57" s="45"/>
    </row>
    <row r="58" spans="3:24" ht="12.75">
      <c r="C58" s="1" t="s">
        <v>70</v>
      </c>
      <c r="D58" s="1" t="s">
        <v>121</v>
      </c>
      <c r="E58" s="1" t="s">
        <v>119</v>
      </c>
      <c r="F58" s="1"/>
      <c r="G58" s="45"/>
      <c r="H58" s="45"/>
      <c r="I58" s="45"/>
      <c r="J58" s="45"/>
      <c r="K58" s="45"/>
      <c r="L58" s="45"/>
      <c r="M58" s="45"/>
      <c r="N58" s="45"/>
      <c r="O58" s="45"/>
      <c r="P58" s="45"/>
      <c r="T58" s="45"/>
      <c r="U58" s="45"/>
      <c r="V58" s="45"/>
      <c r="W58" s="45"/>
      <c r="X58" s="45"/>
    </row>
    <row r="59" spans="3:24" ht="12.75">
      <c r="C59" s="19"/>
      <c r="D59" s="19"/>
      <c r="E59" s="19"/>
      <c r="F59" s="19"/>
      <c r="G59" s="45"/>
      <c r="H59" s="45"/>
      <c r="I59" s="45"/>
      <c r="J59" s="45"/>
      <c r="K59" s="45"/>
      <c r="L59" s="45"/>
      <c r="M59" s="45"/>
      <c r="N59" s="45"/>
      <c r="O59" s="45"/>
      <c r="P59" s="45"/>
      <c r="T59" s="45"/>
      <c r="U59" s="45"/>
      <c r="V59" s="45"/>
      <c r="W59" s="45"/>
      <c r="X59" s="45"/>
    </row>
    <row r="60" spans="3:24" ht="12.75">
      <c r="C60" s="29" t="s">
        <v>35</v>
      </c>
      <c r="D60" s="29" t="s">
        <v>342</v>
      </c>
      <c r="F60" s="29" t="s">
        <v>343</v>
      </c>
      <c r="G60" s="45"/>
      <c r="H60" s="45"/>
      <c r="I60" s="45"/>
      <c r="J60" s="45"/>
      <c r="K60" s="45"/>
      <c r="L60" s="45"/>
      <c r="M60" s="45"/>
      <c r="N60" s="45"/>
      <c r="O60" s="45"/>
      <c r="P60" s="45"/>
      <c r="T60" s="45"/>
      <c r="U60" s="45"/>
      <c r="V60" s="45"/>
      <c r="W60" s="45"/>
      <c r="X60" s="45"/>
    </row>
    <row r="61" spans="3:24" ht="12.75">
      <c r="C61" s="19" t="s">
        <v>14</v>
      </c>
      <c r="D61" s="19" t="str">
        <f>"-Zsyno"</f>
        <v>-Zsyno</v>
      </c>
      <c r="F61" s="19" t="s">
        <v>117</v>
      </c>
      <c r="G61" s="45"/>
      <c r="H61" s="45"/>
      <c r="I61" s="45"/>
      <c r="J61" s="45"/>
      <c r="K61" s="45"/>
      <c r="L61" s="45"/>
      <c r="M61" s="45"/>
      <c r="N61" s="45"/>
      <c r="O61" s="45"/>
      <c r="P61" s="45"/>
      <c r="T61" s="45"/>
      <c r="U61" s="45"/>
      <c r="V61" s="45"/>
      <c r="W61" s="45"/>
      <c r="X61" s="45"/>
    </row>
    <row r="62" spans="3:24" ht="12.75">
      <c r="C62" s="19" t="s">
        <v>69</v>
      </c>
      <c r="D62" s="19" t="s">
        <v>120</v>
      </c>
      <c r="F62" s="19" t="s">
        <v>118</v>
      </c>
      <c r="G62" s="45"/>
      <c r="H62" s="45"/>
      <c r="I62" s="45"/>
      <c r="J62" s="45"/>
      <c r="K62" s="45"/>
      <c r="L62" s="45"/>
      <c r="M62" s="45"/>
      <c r="N62" s="45"/>
      <c r="O62" s="45"/>
      <c r="P62" s="45"/>
      <c r="T62" s="45"/>
      <c r="U62" s="45"/>
      <c r="V62" s="45"/>
      <c r="W62" s="45"/>
      <c r="X62" s="45"/>
    </row>
    <row r="63" spans="3:24" ht="12.75">
      <c r="C63" s="19" t="s">
        <v>70</v>
      </c>
      <c r="D63" s="19" t="s">
        <v>121</v>
      </c>
      <c r="F63" s="19" t="s">
        <v>119</v>
      </c>
      <c r="G63" s="45"/>
      <c r="H63" s="45"/>
      <c r="I63" s="45"/>
      <c r="J63" s="45"/>
      <c r="K63" s="45"/>
      <c r="L63" s="45"/>
      <c r="M63" s="45"/>
      <c r="N63" s="45"/>
      <c r="O63" s="45"/>
      <c r="P63" s="45"/>
      <c r="T63" s="45"/>
      <c r="U63" s="45"/>
      <c r="V63" s="45"/>
      <c r="W63" s="45"/>
      <c r="X63" s="45"/>
    </row>
    <row r="64" spans="3:24" ht="12.75">
      <c r="C64" s="19"/>
      <c r="D64" s="19"/>
      <c r="F64" s="19"/>
      <c r="G64" s="45"/>
      <c r="H64" s="45"/>
      <c r="I64" s="45"/>
      <c r="J64" s="45"/>
      <c r="K64" s="45"/>
      <c r="L64" s="45"/>
      <c r="M64" s="45"/>
      <c r="N64" s="45"/>
      <c r="O64" s="45"/>
      <c r="P64" s="45"/>
      <c r="T64" s="45"/>
      <c r="U64" s="45"/>
      <c r="V64" s="45"/>
      <c r="W64" s="45"/>
      <c r="X64" s="45"/>
    </row>
    <row r="65" spans="3:24" ht="12.75">
      <c r="C65" s="19" t="s">
        <v>333</v>
      </c>
      <c r="D65" s="19">
        <v>-1</v>
      </c>
      <c r="F65" s="19"/>
      <c r="G65" s="45"/>
      <c r="H65" s="45"/>
      <c r="I65" s="45"/>
      <c r="J65" s="45"/>
      <c r="K65" s="45"/>
      <c r="L65" s="45"/>
      <c r="M65" s="45"/>
      <c r="N65" s="45"/>
      <c r="O65" s="45"/>
      <c r="P65" s="45"/>
      <c r="T65" s="45"/>
      <c r="U65" s="45"/>
      <c r="V65" s="45"/>
      <c r="W65" s="45"/>
      <c r="X65" s="45"/>
    </row>
    <row r="66" spans="3:24" ht="12.75">
      <c r="C66" s="19" t="s">
        <v>334</v>
      </c>
      <c r="D66" s="19">
        <v>-1</v>
      </c>
      <c r="F66" s="19"/>
      <c r="G66" s="45"/>
      <c r="H66" s="45"/>
      <c r="I66" s="45"/>
      <c r="J66" s="45"/>
      <c r="K66" s="45"/>
      <c r="L66" s="45"/>
      <c r="M66" s="45"/>
      <c r="N66" s="45"/>
      <c r="O66" s="45"/>
      <c r="P66" s="45"/>
      <c r="T66" s="45"/>
      <c r="U66" s="45"/>
      <c r="V66" s="45"/>
      <c r="W66" s="45"/>
      <c r="X66" s="45"/>
    </row>
    <row r="67" spans="3:24" ht="12.75">
      <c r="C67" s="19"/>
      <c r="D67" s="19"/>
      <c r="F67" s="19"/>
      <c r="G67" s="45"/>
      <c r="H67" s="45"/>
      <c r="I67" s="45"/>
      <c r="J67" s="45"/>
      <c r="K67" s="45"/>
      <c r="L67" s="45"/>
      <c r="M67" s="45"/>
      <c r="N67" s="45"/>
      <c r="O67" s="45"/>
      <c r="P67" s="45"/>
      <c r="T67" s="45"/>
      <c r="U67" s="45"/>
      <c r="V67" s="45"/>
      <c r="W67" s="45"/>
      <c r="X67" s="45"/>
    </row>
  </sheetData>
  <printOptions/>
  <pageMargins left="0.41" right="0.52" top="0.984251968503937" bottom="0.984251968503937" header="0.5118110236220472" footer="0.5118110236220472"/>
  <pageSetup fitToHeight="1" fitToWidth="1" horizontalDpi="600" verticalDpi="600" orientation="landscape" paperSize="9" scale="50" r:id="rId1"/>
  <headerFooter alignWithMargins="0">
    <oddHeader>&amp;L&amp;F, &amp;A&amp;R&amp;T, &amp;D</oddHeader>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E26"/>
  <sheetViews>
    <sheetView zoomScale="75" zoomScaleNormal="75" workbookViewId="0" topLeftCell="A1">
      <selection activeCell="F1" sqref="F1:H16384"/>
    </sheetView>
  </sheetViews>
  <sheetFormatPr defaultColWidth="12" defaultRowHeight="12.75"/>
  <cols>
    <col min="1" max="2" width="12" style="1" customWidth="1"/>
    <col min="3" max="3" width="20.16015625" style="1" customWidth="1"/>
    <col min="4" max="5" width="12" style="1" customWidth="1"/>
    <col min="6" max="6" width="13.33203125" style="9" customWidth="1"/>
    <col min="7" max="7" width="12.83203125" style="9" customWidth="1"/>
    <col min="8" max="8" width="14.83203125" style="9" customWidth="1"/>
    <col min="9" max="9" width="14.33203125" style="8" customWidth="1"/>
    <col min="10" max="11" width="13.5" style="8" customWidth="1"/>
    <col min="12" max="15" width="8.83203125" style="8" customWidth="1"/>
    <col min="16" max="16" width="12" style="8" customWidth="1"/>
    <col min="17" max="22" width="9.33203125" style="8" customWidth="1"/>
    <col min="23" max="23" width="15.83203125" style="30" customWidth="1"/>
    <col min="24" max="24" width="11.33203125" style="35" customWidth="1"/>
    <col min="25" max="25" width="12.5" style="1" customWidth="1"/>
    <col min="26" max="16384" width="12" style="1" customWidth="1"/>
  </cols>
  <sheetData>
    <row r="1" spans="3:28" s="5" customFormat="1" ht="12.75">
      <c r="C1" s="5" t="s">
        <v>116</v>
      </c>
      <c r="D1" s="5" t="s">
        <v>2</v>
      </c>
      <c r="E1" s="5" t="s">
        <v>145</v>
      </c>
      <c r="F1" s="7" t="str">
        <f>"X"&amp;Ray</f>
        <v>XCM3Cent</v>
      </c>
      <c r="G1" s="7" t="str">
        <f>"Y"&amp;Ray</f>
        <v>YCM3Cent</v>
      </c>
      <c r="H1" s="7" t="str">
        <f>"Z"&amp;Ray</f>
        <v>ZCM3Cent</v>
      </c>
      <c r="I1" s="6" t="s">
        <v>125</v>
      </c>
      <c r="J1" s="6" t="s">
        <v>126</v>
      </c>
      <c r="K1" s="6" t="s">
        <v>127</v>
      </c>
      <c r="L1" s="6" t="s">
        <v>128</v>
      </c>
      <c r="M1" s="6" t="s">
        <v>129</v>
      </c>
      <c r="N1" s="6" t="s">
        <v>130</v>
      </c>
      <c r="O1" s="6" t="s">
        <v>131</v>
      </c>
      <c r="P1" s="6" t="s">
        <v>132</v>
      </c>
      <c r="Q1" s="6" t="s">
        <v>133</v>
      </c>
      <c r="R1" s="6" t="s">
        <v>134</v>
      </c>
      <c r="S1" s="6" t="s">
        <v>135</v>
      </c>
      <c r="T1" s="6" t="s">
        <v>11</v>
      </c>
      <c r="U1" s="6" t="s">
        <v>12</v>
      </c>
      <c r="V1" s="6" t="s">
        <v>13</v>
      </c>
      <c r="W1" s="32" t="s">
        <v>327</v>
      </c>
      <c r="X1" s="33" t="s">
        <v>329</v>
      </c>
      <c r="Y1" s="7" t="s">
        <v>18</v>
      </c>
      <c r="Z1" s="7" t="s">
        <v>19</v>
      </c>
      <c r="AA1" s="6" t="s">
        <v>20</v>
      </c>
      <c r="AB1" s="5" t="s">
        <v>330</v>
      </c>
    </row>
    <row r="2" spans="1:28" ht="13.5" thickBot="1">
      <c r="A2" s="1" t="s">
        <v>33</v>
      </c>
      <c r="B2" s="1" t="str">
        <f>'CM3CentRay'!J4</f>
        <v>(BOLPHT154C)</v>
      </c>
      <c r="D2" s="1" t="s">
        <v>80</v>
      </c>
      <c r="E2" s="1" t="s">
        <v>115</v>
      </c>
      <c r="F2" s="9">
        <f ca="1">INDIRECT("RayImpacts!"&amp;F$1)</f>
        <v>3252.162</v>
      </c>
      <c r="G2" s="9">
        <f ca="1" t="shared" si="0" ref="G2:H17">INDIRECT("RayImpacts!"&amp;G$1)</f>
        <v>12.75945</v>
      </c>
      <c r="H2" s="9">
        <f ca="1" t="shared" si="0"/>
        <v>62.305383</v>
      </c>
      <c r="I2" s="9">
        <f>IF(Flag="Ignore","",F2-F1)</f>
      </c>
      <c r="J2" s="9">
        <f>IF(Flag="Ignore","",G2-G1)</f>
      </c>
      <c r="K2" s="9">
        <f>IF(Flag="Ignore","",H2-H1)</f>
      </c>
      <c r="L2" s="8">
        <f aca="true" t="shared" si="1" ref="L2:L22">IF(Flag="ignore","",SQRT(Xdiff^2+Ydiff^2+Zdiff^2))</f>
      </c>
      <c r="M2" s="8">
        <f aca="true" t="shared" si="2" ref="M2:M22">IF(Flag="ignore","",Xdiff/DiffMod)</f>
      </c>
      <c r="N2" s="8">
        <f aca="true" t="shared" si="3" ref="N2:N22">IF(Flag="ignore","",Ydiff/DiffMod)</f>
      </c>
      <c r="O2" s="8">
        <f aca="true" t="shared" si="4" ref="O2:O22">IF(Flag="ignore","",Zdiff/DiffMod)</f>
      </c>
      <c r="P2" s="8">
        <f>IF(OR(Flag="Ignore",Flag="Hole",Flag="Det"),"",M3-Xray)</f>
      </c>
      <c r="Q2" s="8">
        <f>IF(OR(Flag="Ignore",Flag="Hole",Flag="Det"),"",N3-Yray)</f>
      </c>
      <c r="R2" s="8">
        <f>IF(OR(Flag="Ignore",Flag="Hole",Flag="Det"),"",O3-Zray)</f>
      </c>
      <c r="S2" s="8">
        <f>IF(OR(Flag="Ignore",Flag="Hole",Flag="Det"),"",SQRT(dXray^2+dYray^2+dZray^2))</f>
      </c>
      <c r="T2" s="8">
        <f aca="true" t="shared" si="5" ref="T2:T22">IF(OR(Flag="Ignore",Flag="Hole",Flag="Det"),"",dXray/drayMod)</f>
      </c>
      <c r="U2" s="8">
        <f aca="true" t="shared" si="6" ref="U2:U22">IF(OR(Flag="Ignore",Flag="Hole",Flag="Det"),"",dYray/drayMod)</f>
      </c>
      <c r="V2" s="8">
        <f aca="true" t="shared" si="7" ref="V2:V22">IF(OR(Flag="Ignore",Flag="Hole",Flag="Det"),"",dZray/drayMod)</f>
      </c>
      <c r="W2" s="30">
        <f>IF(OR(Flag="Ignore",Flag="Hole",Flag="Det"),"",ACOS((Xnorm*VertexCalc!Xnorm+Ynorm*VertexCalc!Ynorm)/(SQRT(Xnorm^2+Ynorm^2)*SQRT(VertexCalc!Xnorm^2+VertexCalc!Ynorm^2)))*180/PI()*SIGN(Xnorm*Ynorm))</f>
      </c>
      <c r="X2" s="34">
        <f>IF(OR(Flag="Ignore",Flag="Hole",Flag="Det"),"",((Xnorm*GutCalc!Xnorm+Ynorm*GutCalc!Ynorm)/(SQRT(Xnorm^2+Ynorm^2)*SQRT(GutCalc!Xnorm^2+GutCalc!Ynorm^2)))*180/PI())</f>
      </c>
      <c r="Y2" s="30">
        <f>IF(OR(Flag="Ignore",Flag="Hole",Flag="Det"),"",VertexCalc!Xsag*COS(Theta*PI()/180)-VertexCalc!Ysag*SIN(Theta*PI()/180))</f>
      </c>
      <c r="Z2" s="30">
        <f>IF(OR(Flag="Ignore",Flag="Hole",Flag="Det"),"",VertexCalc!Xsag*SIN(Theta*PI()/180)+VertexCalc!Ysag*COS(Theta*PI()/180))</f>
      </c>
      <c r="AA2" s="30">
        <f>IF(OR(Flag="Ignore",Flag="Hole",Flag="Det"),"",VertexCalc!Zsag)</f>
      </c>
      <c r="AB2" s="30">
        <f>IF(OR(Flag="Ignore",Flag="Hole",Flag="Det"),"",ACOS(Xsag*Xnorm+Ysag*Ynorm+zSag*Znorm)*180/PI())</f>
      </c>
    </row>
    <row r="3" spans="3:28" ht="12.75">
      <c r="C3" s="10" t="s">
        <v>109</v>
      </c>
      <c r="D3" s="11" t="s">
        <v>81</v>
      </c>
      <c r="E3" s="11"/>
      <c r="F3" s="13">
        <f ca="1" t="shared" si="8" ref="F3:H22">INDIRECT("RayImpacts!"&amp;F$1)</f>
        <v>1252.625517</v>
      </c>
      <c r="G3" s="13">
        <f ca="1" t="shared" si="0"/>
        <v>11.427923</v>
      </c>
      <c r="H3" s="13">
        <f ca="1" t="shared" si="0"/>
        <v>55.803431</v>
      </c>
      <c r="I3" s="13">
        <f aca="true" t="shared" si="9" ref="I3:I22">IF(Flag="Ignore","",F3-F2)</f>
        <v>-1999.5364829999999</v>
      </c>
      <c r="J3" s="13">
        <f aca="true" t="shared" si="10" ref="J3:J22">IF(Flag="Ignore","",G3-G2)</f>
        <v>-1.3315269999999995</v>
      </c>
      <c r="K3" s="13">
        <f aca="true" t="shared" si="11" ref="K3:K22">IF(Flag="Ignore","",H3-H2)</f>
        <v>-6.501951999999996</v>
      </c>
      <c r="L3" s="12">
        <f t="shared" si="1"/>
        <v>1999.5474976083892</v>
      </c>
      <c r="M3" s="12">
        <f t="shared" si="2"/>
        <v>-0.9999944914494892</v>
      </c>
      <c r="N3" s="12">
        <f t="shared" si="3"/>
        <v>-0.0006659141638758804</v>
      </c>
      <c r="O3" s="12">
        <f t="shared" si="4"/>
        <v>-0.0032517117036613657</v>
      </c>
      <c r="P3" s="12">
        <f aca="true" t="shared" si="12" ref="P3:P22">IF(OR(Flag="Ignore",Flag="Hole",Flag="Det"),"",M4-Xray)</f>
        <v>1.9993513828495733</v>
      </c>
      <c r="Q3" s="12">
        <f aca="true" t="shared" si="13" ref="Q3:Q22">IF(OR(Flag="Ignore",Flag="Hole",Flag="Det"),"",N4-Yray)</f>
        <v>-0.006528123101971799</v>
      </c>
      <c r="R3" s="12">
        <f aca="true" t="shared" si="14" ref="R3:R22">IF(OR(Flag="Ignore",Flag="Hole",Flag="Det"),"",O4-Zray)</f>
        <v>-0.031877328120649646</v>
      </c>
      <c r="S3" s="12">
        <f aca="true" t="shared" si="15" ref="S3:S22">IF(OR(Flag="Ignore",Flag="Hole",Flag="Det"),"",SQRT(dXray^2+dYray^2+dZray^2))</f>
        <v>1.9996161462995459</v>
      </c>
      <c r="T3" s="12">
        <f t="shared" si="5"/>
        <v>0.9998675928625288</v>
      </c>
      <c r="U3" s="12">
        <f t="shared" si="6"/>
        <v>-0.003264688132296105</v>
      </c>
      <c r="V3" s="12">
        <f t="shared" si="7"/>
        <v>-0.01594172370514274</v>
      </c>
      <c r="W3" s="48">
        <f>IF(OR(Flag="Ignore",Flag="Hole",Flag="Det"),"",ACOS((Xnorm*VertexCalc!Xnorm+Ynorm*VertexCalc!Ynorm)/(SQRT(Xnorm^2+Ynorm^2)*SQRT(VertexCalc!Xnorm^2+VertexCalc!Ynorm^2)))*180/PI()*SIGN(Xnorm*Ynorm))</f>
        <v>-0.18707695701109645</v>
      </c>
      <c r="X3" s="61">
        <f>IF(OR(Flag="Ignore",Flag="Hole",Flag="Det"),"",(1-(Xnorm*GutCalc!Xnorm+Ynorm*GutCalc!Ynorm)/(SQRT(Xnorm^2+Ynorm^2)*SQRT(GutCalc!Xnorm^2+GutCalc!Ynorm^2))))</f>
        <v>5.330463180075462E-06</v>
      </c>
      <c r="Y3" s="48">
        <f>IF(OR(Flag="Ignore",Flag="Hole",Flag="Det"),"",VertexCalc!Xsag*COS(Theta*PI()/180)-VertexCalc!Ysag*SIN(Theta*PI()/180))</f>
        <v>0.0032651030529392854</v>
      </c>
      <c r="Z3" s="48">
        <f>IF(OR(Flag="Ignore",Flag="Hole",Flag="Det"),"",VertexCalc!Xsag*SIN(Theta*PI()/180)+VertexCalc!Ysag*COS(Theta*PI()/180))</f>
        <v>0.9999946695368199</v>
      </c>
      <c r="AA3" s="48">
        <f>IF(OR(Flag="Ignore",Flag="Hole",Flag="Det"),"",VertexCalc!Zsag)</f>
        <v>0</v>
      </c>
      <c r="AB3" s="49">
        <f aca="true" t="shared" si="16" ref="AB3:AB22">IF(OR(Flag="Ignore",Flag="Hole",Flag="Det"),"",ACOS(Xsag*Xnorm+Ysag*Ynorm+zSag*Znorm)*180/PI())</f>
        <v>90.00000000000033</v>
      </c>
    </row>
    <row r="4" spans="3:28" ht="13.5" thickBot="1">
      <c r="C4" s="14"/>
      <c r="D4" s="15" t="s">
        <v>82</v>
      </c>
      <c r="E4" s="15"/>
      <c r="F4" s="17">
        <f ca="1" t="shared" si="8"/>
        <v>2840.131</v>
      </c>
      <c r="G4" s="17">
        <f ca="1" t="shared" si="0"/>
        <v>3.55E-15</v>
      </c>
      <c r="H4" s="17">
        <f ca="1" t="shared" si="0"/>
        <v>1.42E-14</v>
      </c>
      <c r="I4" s="17">
        <f t="shared" si="9"/>
        <v>1587.505483</v>
      </c>
      <c r="J4" s="17">
        <f t="shared" si="10"/>
        <v>-11.427922999999996</v>
      </c>
      <c r="K4" s="17">
        <f t="shared" si="11"/>
        <v>-55.80343099999999</v>
      </c>
      <c r="L4" s="16">
        <f t="shared" si="1"/>
        <v>1588.5270784253344</v>
      </c>
      <c r="M4" s="16">
        <f t="shared" si="2"/>
        <v>0.9993568914000842</v>
      </c>
      <c r="N4" s="16">
        <f t="shared" si="3"/>
        <v>-0.00719403726584768</v>
      </c>
      <c r="O4" s="16">
        <f t="shared" si="4"/>
        <v>-0.03512903982431101</v>
      </c>
      <c r="P4" s="16">
        <f t="shared" si="12"/>
        <v>-1.9987137828074946</v>
      </c>
      <c r="Q4" s="16">
        <f t="shared" si="13"/>
        <v>2.1741908794170595E-10</v>
      </c>
      <c r="R4" s="16">
        <f t="shared" si="14"/>
        <v>1.6389338497457828E-10</v>
      </c>
      <c r="S4" s="16">
        <f t="shared" si="15"/>
        <v>1.9987137828074946</v>
      </c>
      <c r="T4" s="16">
        <f t="shared" si="5"/>
        <v>-1</v>
      </c>
      <c r="U4" s="16">
        <f t="shared" si="6"/>
        <v>1.0877950100304412E-10</v>
      </c>
      <c r="V4" s="16">
        <f t="shared" si="7"/>
        <v>8.199942702369588E-11</v>
      </c>
      <c r="W4" s="51" t="e">
        <f>IF(OR(Flag="Ignore",Flag="Hole",Flag="Det"),"",ACOS((Xnorm*VertexCalc!Xnorm+Ynorm*VertexCalc!Ynorm)/(SQRT(Xnorm^2+Ynorm^2)*SQRT(VertexCalc!Xnorm^2+VertexCalc!Ynorm^2)))*180/PI()*SIGN(Xnorm*Ynorm))</f>
        <v>#VALUE!</v>
      </c>
      <c r="X4" s="62" t="e">
        <f>IF(OR(Flag="Ignore",Flag="Hole",Flag="Det"),"",(1-(Xnorm*GutCalc!Xnorm+Ynorm*GutCalc!Ynorm)/(SQRT(Xnorm^2+Ynorm^2)*SQRT(GutCalc!Xnorm^2+GutCalc!Ynorm^2))))</f>
        <v>#VALUE!</v>
      </c>
      <c r="Y4" s="51" t="e">
        <f>IF(OR(Flag="Ignore",Flag="Hole",Flag="Det"),"",VertexCalc!Xsag*COS(Theta*PI()/180)-VertexCalc!Ysag*SIN(Theta*PI()/180))</f>
        <v>#VALUE!</v>
      </c>
      <c r="Z4" s="51" t="e">
        <f>IF(OR(Flag="Ignore",Flag="Hole",Flag="Det"),"",VertexCalc!Xsag*SIN(Theta*PI()/180)+VertexCalc!Ysag*COS(Theta*PI()/180))</f>
        <v>#VALUE!</v>
      </c>
      <c r="AA4" s="51">
        <f>IF(OR(Flag="Ignore",Flag="Hole",Flag="Det"),"",VertexCalc!Zsag)</f>
        <v>0</v>
      </c>
      <c r="AB4" s="52" t="e">
        <f t="shared" si="16"/>
        <v>#VALUE!</v>
      </c>
    </row>
    <row r="5" spans="1:28" ht="13.5" thickBot="1">
      <c r="A5" s="1" t="s">
        <v>3</v>
      </c>
      <c r="B5" s="24" t="s">
        <v>650</v>
      </c>
      <c r="C5" s="10" t="s">
        <v>110</v>
      </c>
      <c r="D5" s="11" t="s">
        <v>83</v>
      </c>
      <c r="E5" s="11" t="s">
        <v>146</v>
      </c>
      <c r="F5" s="13">
        <f ca="1" t="shared" si="8"/>
        <v>230.68079</v>
      </c>
      <c r="G5" s="13">
        <f ca="1" t="shared" si="0"/>
        <v>-18.784562</v>
      </c>
      <c r="H5" s="13">
        <f ca="1" t="shared" si="0"/>
        <v>-91.72647</v>
      </c>
      <c r="I5" s="13">
        <f t="shared" si="9"/>
        <v>-2609.45021</v>
      </c>
      <c r="J5" s="13">
        <f t="shared" si="10"/>
        <v>-18.784562000000005</v>
      </c>
      <c r="K5" s="13">
        <f t="shared" si="11"/>
        <v>-91.72647000000002</v>
      </c>
      <c r="L5" s="12">
        <f t="shared" si="1"/>
        <v>2611.129449785521</v>
      </c>
      <c r="M5" s="12">
        <f t="shared" si="2"/>
        <v>-0.9993568914074104</v>
      </c>
      <c r="N5" s="12">
        <f t="shared" si="3"/>
        <v>-0.007194037048428592</v>
      </c>
      <c r="O5" s="12">
        <f t="shared" si="4"/>
        <v>-0.035129039660417624</v>
      </c>
      <c r="P5" s="12">
        <f t="shared" si="12"/>
      </c>
      <c r="Q5" s="12">
        <f t="shared" si="13"/>
      </c>
      <c r="R5" s="12">
        <f t="shared" si="14"/>
      </c>
      <c r="S5" s="12">
        <f t="shared" si="15"/>
      </c>
      <c r="T5" s="12">
        <f t="shared" si="5"/>
      </c>
      <c r="U5" s="12">
        <f t="shared" si="6"/>
      </c>
      <c r="V5" s="12">
        <f t="shared" si="7"/>
      </c>
      <c r="W5" s="48">
        <f>IF(OR(Flag="Ignore",Flag="Hole",Flag="Det"),"",ACOS((Xnorm*VertexCalc!Xnorm+Ynorm*VertexCalc!Ynorm)/(SQRT(Xnorm^2+Ynorm^2)*SQRT(VertexCalc!Xnorm^2+VertexCalc!Ynorm^2)))*180/PI()*SIGN(Xnorm*Ynorm))</f>
      </c>
      <c r="X5" s="61">
        <f>IF(OR(Flag="Ignore",Flag="Hole",Flag="Det"),"",(1-(Xnorm*GutCalc!Xnorm+Ynorm*GutCalc!Ynorm)/(SQRT(Xnorm^2+Ynorm^2)*SQRT(GutCalc!Xnorm^2+GutCalc!Ynorm^2))))</f>
      </c>
      <c r="Y5" s="48">
        <f>IF(OR(Flag="Ignore",Flag="Hole",Flag="Det"),"",VertexCalc!Xsag*COS(Theta*PI()/180)-VertexCalc!Ysag*SIN(Theta*PI()/180))</f>
      </c>
      <c r="Z5" s="48">
        <f>IF(OR(Flag="Ignore",Flag="Hole",Flag="Det"),"",VertexCalc!Xsag*SIN(Theta*PI()/180)+VertexCalc!Ysag*COS(Theta*PI()/180))</f>
      </c>
      <c r="AA5" s="48">
        <f>IF(OR(Flag="Ignore",Flag="Hole",Flag="Det"),"",VertexCalc!Zsag)</f>
      </c>
      <c r="AB5" s="49">
        <f t="shared" si="16"/>
      </c>
    </row>
    <row r="6" spans="3:31" s="5" customFormat="1" ht="12.75">
      <c r="C6" s="36"/>
      <c r="D6" s="25" t="s">
        <v>84</v>
      </c>
      <c r="E6" s="25"/>
      <c r="F6" s="27">
        <f ca="1" t="shared" si="8"/>
        <v>131.229806</v>
      </c>
      <c r="G6" s="27">
        <f ca="1" t="shared" si="0"/>
        <v>-19.500476</v>
      </c>
      <c r="H6" s="27">
        <f ca="1" t="shared" si="0"/>
        <v>-95.222336</v>
      </c>
      <c r="I6" s="27">
        <f t="shared" si="9"/>
        <v>-99.450984</v>
      </c>
      <c r="J6" s="27">
        <f t="shared" si="10"/>
        <v>-0.7159139999999979</v>
      </c>
      <c r="K6" s="27">
        <f t="shared" si="11"/>
        <v>-3.4958659999999924</v>
      </c>
      <c r="L6" s="26">
        <f t="shared" si="1"/>
        <v>99.51498294484911</v>
      </c>
      <c r="M6" s="26">
        <f t="shared" si="2"/>
        <v>-0.9993568913649458</v>
      </c>
      <c r="N6" s="26">
        <f t="shared" si="3"/>
        <v>-0.007194032283528152</v>
      </c>
      <c r="O6" s="26">
        <f t="shared" si="4"/>
        <v>-0.03512904184425566</v>
      </c>
      <c r="P6" s="26">
        <f t="shared" si="12"/>
        <v>1.865488011099519</v>
      </c>
      <c r="Q6" s="26">
        <f t="shared" si="13"/>
        <v>0.09853450119552655</v>
      </c>
      <c r="R6" s="26">
        <f t="shared" si="14"/>
        <v>-0.45627079755973815</v>
      </c>
      <c r="S6" s="26">
        <f t="shared" si="15"/>
        <v>1.9230022382170255</v>
      </c>
      <c r="T6" s="26">
        <f t="shared" si="5"/>
        <v>0.9700914403662718</v>
      </c>
      <c r="U6" s="26">
        <f t="shared" si="6"/>
        <v>0.05123993058213288</v>
      </c>
      <c r="V6" s="26">
        <f t="shared" si="7"/>
        <v>-0.23727002938009295</v>
      </c>
      <c r="W6" s="54">
        <f>IF(OR(Flag="Ignore",Flag="Hole",Flag="Det"),"",ACOS((Xnorm*VertexCalc!Xnorm+Ynorm*VertexCalc!Ynorm)/(SQRT(Xnorm^2+Ynorm^2)*SQRT(VertexCalc!Xnorm^2+VertexCalc!Ynorm^2)))*180/PI()*SIGN(Xnorm*Ynorm))</f>
        <v>3.0235356781819513</v>
      </c>
      <c r="X6" s="63">
        <f>IF(OR(Flag="Ignore",Flag="Hole",Flag="Det"),"",(1-(Xnorm*GutCalc!Xnorm+Ynorm*GutCalc!Ynorm)/(SQRT(Xnorm^2+Ynorm^2)*SQRT(GutCalc!Xnorm^2+GutCalc!Ynorm^2))))</f>
        <v>0.0013920478036796302</v>
      </c>
      <c r="Y6" s="54">
        <f>IF(OR(Flag="Ignore",Flag="Hole",Flag="Det"),"",VertexCalc!Xsag*COS(Theta*PI()/180)-VertexCalc!Ysag*SIN(Theta*PI()/180))</f>
        <v>-0.05274616393892295</v>
      </c>
      <c r="Z6" s="54">
        <f>IF(OR(Flag="Ignore",Flag="Hole",Flag="Det"),"",VertexCalc!Xsag*SIN(Theta*PI()/180)+VertexCalc!Ysag*COS(Theta*PI()/180))</f>
        <v>0.9986079521963203</v>
      </c>
      <c r="AA6" s="54">
        <f>IF(OR(Flag="Ignore",Flag="Hole",Flag="Det"),"",VertexCalc!Zsag)</f>
        <v>0</v>
      </c>
      <c r="AB6" s="77">
        <f t="shared" si="16"/>
        <v>90</v>
      </c>
      <c r="AD6" s="32"/>
      <c r="AE6" s="32"/>
    </row>
    <row r="7" spans="3:28" ht="12.75">
      <c r="C7" s="18"/>
      <c r="D7" s="19" t="s">
        <v>86</v>
      </c>
      <c r="E7" s="19"/>
      <c r="F7" s="21">
        <f ca="1" t="shared" si="8"/>
        <v>316.117194</v>
      </c>
      <c r="G7" s="21">
        <f ca="1" t="shared" si="0"/>
        <v>-0.002619</v>
      </c>
      <c r="H7" s="21">
        <f ca="1" t="shared" si="0"/>
        <v>-200.11827</v>
      </c>
      <c r="I7" s="21">
        <f t="shared" si="9"/>
        <v>184.887388</v>
      </c>
      <c r="J7" s="21">
        <f t="shared" si="10"/>
        <v>19.497857</v>
      </c>
      <c r="K7" s="21">
        <f t="shared" si="11"/>
        <v>-104.895934</v>
      </c>
      <c r="L7" s="20">
        <f t="shared" si="1"/>
        <v>213.46350891613147</v>
      </c>
      <c r="M7" s="20">
        <f t="shared" si="2"/>
        <v>0.8661311197345731</v>
      </c>
      <c r="N7" s="20">
        <f t="shared" si="3"/>
        <v>0.0913404689119984</v>
      </c>
      <c r="O7" s="20">
        <f t="shared" si="4"/>
        <v>-0.4913998394039938</v>
      </c>
      <c r="P7" s="20">
        <f t="shared" si="12"/>
        <v>-1.855901950093028</v>
      </c>
      <c r="Q7" s="20">
        <f t="shared" si="13"/>
        <v>6.11796668881226E-10</v>
      </c>
      <c r="R7" s="20">
        <f t="shared" si="14"/>
        <v>0.6009928227501324</v>
      </c>
      <c r="S7" s="20">
        <f t="shared" si="15"/>
        <v>1.9507855908213687</v>
      </c>
      <c r="T7" s="20">
        <f t="shared" si="5"/>
        <v>-0.9513613176277408</v>
      </c>
      <c r="U7" s="20">
        <f t="shared" si="6"/>
        <v>3.136155360998089E-10</v>
      </c>
      <c r="V7" s="20">
        <f t="shared" si="7"/>
        <v>0.3080773333460431</v>
      </c>
      <c r="W7" s="45">
        <f>IF(OR(Flag="Ignore",Flag="Hole",Flag="Det"),"",ACOS((Xnorm*VertexCalc!Xnorm+Ynorm*VertexCalc!Ynorm)/(SQRT(Xnorm^2+Ynorm^2)*SQRT(VertexCalc!Xnorm^2+VertexCalc!Ynorm^2)))*180/PI()*SIGN(Xnorm*Ynorm))</f>
        <v>0</v>
      </c>
      <c r="X7" s="64">
        <f>IF(OR(Flag="Ignore",Flag="Hole",Flag="Det"),"",(1-(Xnorm*GutCalc!Xnorm+Ynorm*GutCalc!Ynorm)/(SQRT(Xnorm^2+Ynorm^2)*SQRT(GutCalc!Xnorm^2+GutCalc!Ynorm^2))))</f>
        <v>0</v>
      </c>
      <c r="Y7" s="45">
        <f>IF(OR(Flag="Ignore",Flag="Hole",Flag="Det"),"",VertexCalc!Xsag*COS(Theta*PI()/180)-VertexCalc!Ysag*SIN(Theta*PI()/180))</f>
        <v>0</v>
      </c>
      <c r="Z7" s="45">
        <f>IF(OR(Flag="Ignore",Flag="Hole",Flag="Det"),"",VertexCalc!Xsag*SIN(Theta*PI()/180)+VertexCalc!Ysag*COS(Theta*PI()/180))</f>
        <v>1</v>
      </c>
      <c r="AA7" s="45">
        <f>IF(OR(Flag="Ignore",Flag="Hole",Flag="Det"),"",VertexCalc!Zsag)</f>
        <v>0</v>
      </c>
      <c r="AB7" s="46">
        <f t="shared" si="16"/>
        <v>89.99999998203116</v>
      </c>
    </row>
    <row r="8" spans="3:28" ht="13.5" thickBot="1">
      <c r="C8" s="14"/>
      <c r="D8" s="15" t="s">
        <v>87</v>
      </c>
      <c r="E8" s="15"/>
      <c r="F8" s="17">
        <f ca="1" t="shared" si="8"/>
        <v>120.717899</v>
      </c>
      <c r="G8" s="17">
        <f ca="1" t="shared" si="0"/>
        <v>18.0297</v>
      </c>
      <c r="H8" s="17">
        <f ca="1" t="shared" si="0"/>
        <v>-178.482563</v>
      </c>
      <c r="I8" s="17">
        <f t="shared" si="9"/>
        <v>-195.399295</v>
      </c>
      <c r="J8" s="17">
        <f t="shared" si="10"/>
        <v>18.032318999999998</v>
      </c>
      <c r="K8" s="17">
        <f t="shared" si="11"/>
        <v>21.635706999999996</v>
      </c>
      <c r="L8" s="16">
        <f t="shared" si="1"/>
        <v>197.4187246246025</v>
      </c>
      <c r="M8" s="16">
        <f t="shared" si="2"/>
        <v>-0.989770830358455</v>
      </c>
      <c r="N8" s="16">
        <f t="shared" si="3"/>
        <v>0.09134046952379507</v>
      </c>
      <c r="O8" s="16">
        <f t="shared" si="4"/>
        <v>0.10959298334613866</v>
      </c>
      <c r="P8" s="16">
        <f t="shared" si="12"/>
        <v>1.899207903316571</v>
      </c>
      <c r="Q8" s="16">
        <f t="shared" si="13"/>
        <v>-0.12784904994035776</v>
      </c>
      <c r="R8" s="16">
        <f t="shared" si="14"/>
        <v>-0.5238288266592709</v>
      </c>
      <c r="S8" s="16">
        <f t="shared" si="15"/>
        <v>1.9742676311052678</v>
      </c>
      <c r="T8" s="16">
        <f t="shared" si="5"/>
        <v>0.9619809763346646</v>
      </c>
      <c r="U8" s="16">
        <f t="shared" si="6"/>
        <v>-0.06475770960636332</v>
      </c>
      <c r="V8" s="16">
        <f t="shared" si="7"/>
        <v>-0.26532817456264135</v>
      </c>
      <c r="W8" s="51">
        <f>IF(OR(Flag="Ignore",Flag="Hole",Flag="Det"),"",ACOS((Xnorm*VertexCalc!Xnorm+Ynorm*VertexCalc!Ynorm)/(SQRT(Xnorm^2+Ynorm^2)*SQRT(VertexCalc!Xnorm^2+VertexCalc!Ynorm^2)))*180/PI()*SIGN(Xnorm*Ynorm))</f>
        <v>-3.851171857661354</v>
      </c>
      <c r="X8" s="62">
        <f>IF(OR(Flag="Ignore",Flag="Hole",Flag="Det"),"",(1-(Xnorm*GutCalc!Xnorm+Ynorm*GutCalc!Ynorm)/(SQRT(Xnorm^2+Ynorm^2)*SQRT(GutCalc!Xnorm^2+GutCalc!Ynorm^2))))</f>
        <v>0.0022581200262108414</v>
      </c>
      <c r="Y8" s="51">
        <f>IF(OR(Flag="Ignore",Flag="Hole",Flag="Det"),"",VertexCalc!Xsag*COS(Theta*PI()/180)-VertexCalc!Ysag*SIN(Theta*PI()/180))</f>
        <v>0.06716502770318128</v>
      </c>
      <c r="Z8" s="51">
        <f>IF(OR(Flag="Ignore",Flag="Hole",Flag="Det"),"",VertexCalc!Xsag*SIN(Theta*PI()/180)+VertexCalc!Ysag*COS(Theta*PI()/180))</f>
        <v>0.997741879973789</v>
      </c>
      <c r="AA8" s="51">
        <f>IF(OR(Flag="Ignore",Flag="Hole",Flag="Det"),"",VertexCalc!Zsag)</f>
        <v>0</v>
      </c>
      <c r="AB8" s="52">
        <f t="shared" si="16"/>
        <v>89.99999999999991</v>
      </c>
    </row>
    <row r="9" spans="3:28" ht="12.75">
      <c r="C9" s="10" t="s">
        <v>111</v>
      </c>
      <c r="D9" s="11" t="s">
        <v>90</v>
      </c>
      <c r="E9" s="11"/>
      <c r="F9" s="13">
        <f ca="1" t="shared" si="8"/>
        <v>296.485541</v>
      </c>
      <c r="G9" s="13">
        <f ca="1" t="shared" si="0"/>
        <v>10.973657</v>
      </c>
      <c r="H9" s="13">
        <f ca="1" t="shared" si="0"/>
        <v>-258.542261</v>
      </c>
      <c r="I9" s="13">
        <f t="shared" si="9"/>
        <v>175.76764200000002</v>
      </c>
      <c r="J9" s="13">
        <f t="shared" si="10"/>
        <v>-7.056042999999999</v>
      </c>
      <c r="K9" s="13">
        <f t="shared" si="11"/>
        <v>-80.059698</v>
      </c>
      <c r="L9" s="12">
        <f t="shared" si="1"/>
        <v>193.27081249094294</v>
      </c>
      <c r="M9" s="12">
        <f t="shared" si="2"/>
        <v>0.9094370729581159</v>
      </c>
      <c r="N9" s="12">
        <f t="shared" si="3"/>
        <v>-0.036508580416562686</v>
      </c>
      <c r="O9" s="12">
        <f t="shared" si="4"/>
        <v>-0.41423584331313223</v>
      </c>
      <c r="P9" s="12">
        <f t="shared" si="12"/>
        <v>-1.9047756806395706</v>
      </c>
      <c r="Q9" s="12">
        <f t="shared" si="13"/>
        <v>0.059000516695390914</v>
      </c>
      <c r="R9" s="12">
        <f t="shared" si="14"/>
        <v>0.32045328170825516</v>
      </c>
      <c r="S9" s="12">
        <f t="shared" si="15"/>
        <v>1.932444503804405</v>
      </c>
      <c r="T9" s="12">
        <f t="shared" si="5"/>
        <v>-0.9856819571737441</v>
      </c>
      <c r="U9" s="12">
        <f t="shared" si="6"/>
        <v>0.030531545190165387</v>
      </c>
      <c r="V9" s="12">
        <f t="shared" si="7"/>
        <v>0.16582793507258736</v>
      </c>
      <c r="W9" s="48">
        <f>IF(OR(Flag="Ignore",Flag="Hole",Flag="Det"),"",ACOS((Xnorm*VertexCalc!Xnorm+Ynorm*VertexCalc!Ynorm)/(SQRT(Xnorm^2+Ynorm^2)*SQRT(VertexCalc!Xnorm^2+VertexCalc!Ynorm^2)))*180/PI()*SIGN(Xnorm*Ynorm))</f>
        <v>-1.774172210408984</v>
      </c>
      <c r="X9" s="61">
        <f>IF(OR(Flag="Ignore",Flag="Hole",Flag="Det"),"",(1-(Xnorm*GutCalc!Xnorm+Ynorm*GutCalc!Ynorm)/(SQRT(Xnorm^2+Ynorm^2)*SQRT(GutCalc!Xnorm^2+GutCalc!Ynorm^2))))</f>
        <v>0.00047938184496465475</v>
      </c>
      <c r="Y9" s="48">
        <f>IF(OR(Flag="Ignore",Flag="Hole",Flag="Det"),"",VertexCalc!Xsag*COS(Theta*PI()/180)-VertexCalc!Ysag*SIN(Theta*PI()/180))</f>
        <v>0.030960198367840246</v>
      </c>
      <c r="Z9" s="48">
        <f>IF(OR(Flag="Ignore",Flag="Hole",Flag="Det"),"",VertexCalc!Xsag*SIN(Theta*PI()/180)+VertexCalc!Ysag*COS(Theta*PI()/180))</f>
        <v>0.9995206181550353</v>
      </c>
      <c r="AA9" s="48">
        <f>IF(OR(Flag="Ignore",Flag="Hole",Flag="Det"),"",VertexCalc!Zsag)</f>
        <v>0</v>
      </c>
      <c r="AB9" s="49">
        <f t="shared" si="16"/>
        <v>89.99999999999986</v>
      </c>
    </row>
    <row r="10" spans="3:28" ht="12.75">
      <c r="C10" s="18"/>
      <c r="D10" s="19" t="s">
        <v>93</v>
      </c>
      <c r="E10" s="19"/>
      <c r="F10" s="21">
        <f ca="1" t="shared" si="8"/>
        <v>95.212653</v>
      </c>
      <c r="G10" s="21">
        <f ca="1" t="shared" si="0"/>
        <v>15.521875</v>
      </c>
      <c r="H10" s="21">
        <f ca="1" t="shared" si="0"/>
        <v>-277.506548</v>
      </c>
      <c r="I10" s="21">
        <f t="shared" si="9"/>
        <v>-201.27288800000002</v>
      </c>
      <c r="J10" s="21">
        <f t="shared" si="10"/>
        <v>4.548218</v>
      </c>
      <c r="K10" s="21">
        <f t="shared" si="11"/>
        <v>-18.964287000000013</v>
      </c>
      <c r="L10" s="20">
        <f t="shared" si="1"/>
        <v>202.21549374925365</v>
      </c>
      <c r="M10" s="20">
        <f t="shared" si="2"/>
        <v>-0.9953386076814547</v>
      </c>
      <c r="N10" s="20">
        <f t="shared" si="3"/>
        <v>0.022491936278828225</v>
      </c>
      <c r="O10" s="20">
        <f t="shared" si="4"/>
        <v>-0.09378256160487707</v>
      </c>
      <c r="P10" s="20">
        <f t="shared" si="12"/>
        <v>1.765649781823539</v>
      </c>
      <c r="Q10" s="20">
        <f t="shared" si="13"/>
        <v>-0.08676686012427744</v>
      </c>
      <c r="R10" s="20">
        <f t="shared" si="14"/>
        <v>-0.5406379843711379</v>
      </c>
      <c r="S10" s="20">
        <f t="shared" si="15"/>
        <v>1.8486040869299796</v>
      </c>
      <c r="T10" s="20">
        <f t="shared" si="5"/>
        <v>0.9551259754898602</v>
      </c>
      <c r="U10" s="20">
        <f t="shared" si="6"/>
        <v>-0.04693642123683347</v>
      </c>
      <c r="V10" s="20">
        <f t="shared" si="7"/>
        <v>-0.29245742135569336</v>
      </c>
      <c r="W10" s="45">
        <f>IF(OR(Flag="Ignore",Flag="Hole",Flag="Det"),"",ACOS((Xnorm*VertexCalc!Xnorm+Ynorm*VertexCalc!Ynorm)/(SQRT(Xnorm^2+Ynorm^2)*SQRT(VertexCalc!Xnorm^2+VertexCalc!Ynorm^2)))*180/PI()*SIGN(Xnorm*Ynorm))</f>
        <v>-2.813343246164872</v>
      </c>
      <c r="X10" s="64">
        <f>IF(OR(Flag="Ignore",Flag="Hole",Flag="Det"),"",(1-(Xnorm*GutCalc!Xnorm+Ynorm*GutCalc!Ynorm)/(SQRT(Xnorm^2+Ynorm^2)*SQRT(GutCalc!Xnorm^2+GutCalc!Ynorm^2))))</f>
        <v>0.001205266052667242</v>
      </c>
      <c r="Y10" s="45">
        <f>IF(OR(Flag="Ignore",Flag="Hole",Flag="Det"),"",VertexCalc!Xsag*COS(Theta*PI()/180)-VertexCalc!Ysag*SIN(Theta*PI()/180))</f>
        <v>0.049082374016305906</v>
      </c>
      <c r="Z10" s="45">
        <f>IF(OR(Flag="Ignore",Flag="Hole",Flag="Det"),"",VertexCalc!Xsag*SIN(Theta*PI()/180)+VertexCalc!Ysag*COS(Theta*PI()/180))</f>
        <v>0.9987947339473329</v>
      </c>
      <c r="AA10" s="45">
        <f>IF(OR(Flag="Ignore",Flag="Hole",Flag="Det"),"",VertexCalc!Zsag)</f>
        <v>0</v>
      </c>
      <c r="AB10" s="46">
        <f t="shared" si="16"/>
        <v>90.00000000000004</v>
      </c>
    </row>
    <row r="11" spans="3:28" ht="12.75">
      <c r="C11" s="18"/>
      <c r="D11" s="19" t="s">
        <v>96</v>
      </c>
      <c r="E11" s="19"/>
      <c r="F11" s="21">
        <f ca="1" t="shared" si="8"/>
        <v>240.450296</v>
      </c>
      <c r="G11" s="21">
        <f ca="1" t="shared" si="0"/>
        <v>3.403216</v>
      </c>
      <c r="H11" s="21">
        <f ca="1" t="shared" si="0"/>
        <v>-397.122812</v>
      </c>
      <c r="I11" s="21">
        <f t="shared" si="9"/>
        <v>145.237643</v>
      </c>
      <c r="J11" s="21">
        <f t="shared" si="10"/>
        <v>-12.118659</v>
      </c>
      <c r="K11" s="21">
        <f t="shared" si="11"/>
        <v>-119.616264</v>
      </c>
      <c r="L11" s="20">
        <f t="shared" si="1"/>
        <v>188.544120707784</v>
      </c>
      <c r="M11" s="20">
        <f t="shared" si="2"/>
        <v>0.7703111741420844</v>
      </c>
      <c r="N11" s="20">
        <f t="shared" si="3"/>
        <v>-0.06427492384544921</v>
      </c>
      <c r="O11" s="20">
        <f t="shared" si="4"/>
        <v>-0.6344205459760149</v>
      </c>
      <c r="P11" s="20">
        <f t="shared" si="12"/>
        <v>-1.4459407318430586</v>
      </c>
      <c r="Q11" s="20">
        <f t="shared" si="13"/>
        <v>0.0172099789170403</v>
      </c>
      <c r="R11" s="20">
        <f t="shared" si="14"/>
        <v>-0.1013169015687404</v>
      </c>
      <c r="S11" s="20">
        <f t="shared" si="15"/>
        <v>1.449588182181634</v>
      </c>
      <c r="T11" s="20">
        <f t="shared" si="5"/>
        <v>-0.9974838023768337</v>
      </c>
      <c r="U11" s="20">
        <f t="shared" si="6"/>
        <v>0.011872322862855597</v>
      </c>
      <c r="V11" s="20">
        <f t="shared" si="7"/>
        <v>-0.06989357585425275</v>
      </c>
      <c r="W11" s="45">
        <f>IF(OR(Flag="Ignore",Flag="Hole",Flag="Det"),"",ACOS((Xnorm*VertexCalc!Xnorm+Ynorm*VertexCalc!Ynorm)/(SQRT(Xnorm^2+Ynorm^2)*SQRT(VertexCalc!Xnorm^2+VertexCalc!Ynorm^2)))*180/PI()*SIGN(Xnorm*Ynorm))</f>
        <v>-0.6819177139485171</v>
      </c>
      <c r="X11" s="64">
        <f>IF(OR(Flag="Ignore",Flag="Hole",Flag="Det"),"",(1-(Xnorm*GutCalc!Xnorm+Ynorm*GutCalc!Ynorm)/(SQRT(Xnorm^2+Ynorm^2)*SQRT(GutCalc!Xnorm^2+GutCalc!Ynorm^2))))</f>
        <v>7.08245065260682E-05</v>
      </c>
      <c r="Y11" s="45">
        <f>IF(OR(Flag="Ignore",Flag="Hole",Flag="Det"),"",VertexCalc!Xsag*COS(Theta*PI()/180)-VertexCalc!Ysag*SIN(Theta*PI()/180))</f>
        <v>0.011901428357184274</v>
      </c>
      <c r="Z11" s="45">
        <f>IF(OR(Flag="Ignore",Flag="Hole",Flag="Det"),"",VertexCalc!Xsag*SIN(Theta*PI()/180)+VertexCalc!Ysag*COS(Theta*PI()/180))</f>
        <v>0.999929175493474</v>
      </c>
      <c r="AA11" s="45">
        <f>IF(OR(Flag="Ignore",Flag="Hole",Flag="Det"),"",VertexCalc!Zsag)</f>
        <v>0</v>
      </c>
      <c r="AB11" s="46">
        <f t="shared" si="16"/>
        <v>89.99999999999955</v>
      </c>
    </row>
    <row r="12" spans="3:28" ht="12.75">
      <c r="C12" s="18"/>
      <c r="D12" s="19" t="s">
        <v>97</v>
      </c>
      <c r="E12" s="19" t="s">
        <v>146</v>
      </c>
      <c r="F12" s="21">
        <f ca="1" t="shared" si="8"/>
        <v>192.856362</v>
      </c>
      <c r="G12" s="21">
        <f ca="1" t="shared" si="0"/>
        <v>0.087781</v>
      </c>
      <c r="H12" s="21">
        <f ca="1" t="shared" si="0"/>
        <v>-448.950976</v>
      </c>
      <c r="I12" s="21">
        <f t="shared" si="9"/>
        <v>-47.59393400000002</v>
      </c>
      <c r="J12" s="21">
        <f t="shared" si="10"/>
        <v>-3.315435</v>
      </c>
      <c r="K12" s="21">
        <f t="shared" si="11"/>
        <v>-51.828164000000015</v>
      </c>
      <c r="L12" s="20">
        <f t="shared" si="1"/>
        <v>70.44383043564909</v>
      </c>
      <c r="M12" s="20">
        <f t="shared" si="2"/>
        <v>-0.6756295577009742</v>
      </c>
      <c r="N12" s="20">
        <f t="shared" si="3"/>
        <v>-0.04706494492840891</v>
      </c>
      <c r="O12" s="20">
        <f t="shared" si="4"/>
        <v>-0.7357374475447553</v>
      </c>
      <c r="P12" s="20">
        <f t="shared" si="12"/>
      </c>
      <c r="Q12" s="20">
        <f t="shared" si="13"/>
      </c>
      <c r="R12" s="20">
        <f t="shared" si="14"/>
      </c>
      <c r="S12" s="20">
        <f t="shared" si="15"/>
      </c>
      <c r="T12" s="20">
        <f t="shared" si="5"/>
      </c>
      <c r="U12" s="20">
        <f t="shared" si="6"/>
      </c>
      <c r="V12" s="20">
        <f t="shared" si="7"/>
      </c>
      <c r="W12" s="45">
        <f>IF(OR(Flag="Ignore",Flag="Hole",Flag="Det"),"",ACOS((Xnorm*VertexCalc!Xnorm+Ynorm*VertexCalc!Ynorm)/(SQRT(Xnorm^2+Ynorm^2)*SQRT(VertexCalc!Xnorm^2+VertexCalc!Ynorm^2)))*180/PI()*SIGN(Xnorm*Ynorm))</f>
      </c>
      <c r="X12" s="64">
        <f>IF(OR(Flag="Ignore",Flag="Hole",Flag="Det"),"",(1-(Xnorm*GutCalc!Xnorm+Ynorm*GutCalc!Ynorm)/(SQRT(Xnorm^2+Ynorm^2)*SQRT(GutCalc!Xnorm^2+GutCalc!Ynorm^2))))</f>
      </c>
      <c r="Y12" s="45">
        <f>IF(OR(Flag="Ignore",Flag="Hole",Flag="Det"),"",VertexCalc!Xsag*COS(Theta*PI()/180)-VertexCalc!Ysag*SIN(Theta*PI()/180))</f>
      </c>
      <c r="Z12" s="45">
        <f>IF(OR(Flag="Ignore",Flag="Hole",Flag="Det"),"",VertexCalc!Xsag*SIN(Theta*PI()/180)+VertexCalc!Ysag*COS(Theta*PI()/180))</f>
      </c>
      <c r="AA12" s="45">
        <f>IF(OR(Flag="Ignore",Flag="Hole",Flag="Det"),"",VertexCalc!Zsag)</f>
      </c>
      <c r="AB12" s="46">
        <f t="shared" si="16"/>
      </c>
    </row>
    <row r="13" spans="3:28" ht="13.5" thickBot="1">
      <c r="C13" s="14"/>
      <c r="D13" s="15" t="s">
        <v>98</v>
      </c>
      <c r="E13" s="15"/>
      <c r="F13" s="17">
        <f ca="1" t="shared" si="8"/>
        <v>104.811354</v>
      </c>
      <c r="G13" s="17">
        <f ca="1" t="shared" si="0"/>
        <v>-6.04551</v>
      </c>
      <c r="H13" s="17">
        <f ca="1" t="shared" si="0"/>
        <v>-544.828974</v>
      </c>
      <c r="I13" s="17">
        <f t="shared" si="9"/>
        <v>-88.045008</v>
      </c>
      <c r="J13" s="17">
        <f t="shared" si="10"/>
        <v>-6.133291</v>
      </c>
      <c r="K13" s="17">
        <f t="shared" si="11"/>
        <v>-95.87799799999999</v>
      </c>
      <c r="L13" s="16">
        <f t="shared" si="1"/>
        <v>130.3155063401848</v>
      </c>
      <c r="M13" s="16">
        <f t="shared" si="2"/>
        <v>-0.6756295583900896</v>
      </c>
      <c r="N13" s="16">
        <f t="shared" si="3"/>
        <v>-0.047064936263142954</v>
      </c>
      <c r="O13" s="16">
        <f t="shared" si="4"/>
        <v>-0.7357374474662538</v>
      </c>
      <c r="P13" s="16">
        <f t="shared" si="12"/>
        <v>1.667834875605041</v>
      </c>
      <c r="Q13" s="16">
        <f t="shared" si="13"/>
        <v>0.032334725830780044</v>
      </c>
      <c r="R13" s="16">
        <f t="shared" si="14"/>
        <v>0.8594776163322944</v>
      </c>
      <c r="S13" s="16">
        <f t="shared" si="15"/>
        <v>1.8765448248723706</v>
      </c>
      <c r="T13" s="16">
        <f t="shared" si="5"/>
        <v>0.8887796622276131</v>
      </c>
      <c r="U13" s="16">
        <f t="shared" si="6"/>
        <v>0.01723099038307237</v>
      </c>
      <c r="V13" s="16">
        <f t="shared" si="7"/>
        <v>0.4580107040026342</v>
      </c>
      <c r="W13" s="51">
        <f>IF(OR(Flag="Ignore",Flag="Hole",Flag="Det"),"",ACOS((Xnorm*VertexCalc!Xnorm+Ynorm*VertexCalc!Ynorm)/(SQRT(Xnorm^2+Ynorm^2)*SQRT(VertexCalc!Xnorm^2+VertexCalc!Ynorm^2)))*180/PI()*SIGN(Xnorm*Ynorm))</f>
        <v>1.110668260058832</v>
      </c>
      <c r="X13" s="62">
        <f>IF(OR(Flag="Ignore",Flag="Hole",Flag="Det"),"",(1-(Xnorm*GutCalc!Xnorm+Ynorm*GutCalc!Ynorm)/(SQRT(Xnorm^2+Ynorm^2)*SQRT(GutCalc!Xnorm^2+GutCalc!Ynorm^2))))</f>
        <v>0.00018787970170808244</v>
      </c>
      <c r="Y13" s="51">
        <f>IF(OR(Flag="Ignore",Flag="Hole",Flag="Det"),"",VertexCalc!Xsag*COS(Theta*PI()/180)-VertexCalc!Ysag*SIN(Theta*PI()/180))</f>
        <v>-0.019383604015606726</v>
      </c>
      <c r="Z13" s="51">
        <f>IF(OR(Flag="Ignore",Flag="Hole",Flag="Det"),"",VertexCalc!Xsag*SIN(Theta*PI()/180)+VertexCalc!Ysag*COS(Theta*PI()/180))</f>
        <v>0.9998121202982919</v>
      </c>
      <c r="AA13" s="51">
        <f>IF(OR(Flag="Ignore",Flag="Hole",Flag="Det"),"",VertexCalc!Zsag)</f>
        <v>0</v>
      </c>
      <c r="AB13" s="52">
        <f t="shared" si="16"/>
        <v>90.00000000000033</v>
      </c>
    </row>
    <row r="14" spans="3:28" ht="12.75">
      <c r="C14" s="10" t="s">
        <v>112</v>
      </c>
      <c r="D14" s="11" t="s">
        <v>100</v>
      </c>
      <c r="E14" s="11"/>
      <c r="F14" s="13">
        <f ca="1" t="shared" si="8"/>
        <v>238.733246</v>
      </c>
      <c r="G14" s="13">
        <f ca="1" t="shared" si="0"/>
        <v>-8.033705</v>
      </c>
      <c r="H14" s="13">
        <f ca="1" t="shared" si="0"/>
        <v>-528.127272</v>
      </c>
      <c r="I14" s="13">
        <f t="shared" si="9"/>
        <v>133.921892</v>
      </c>
      <c r="J14" s="13">
        <f t="shared" si="10"/>
        <v>-1.9881949999999993</v>
      </c>
      <c r="K14" s="13">
        <f t="shared" si="11"/>
        <v>16.70170200000007</v>
      </c>
      <c r="L14" s="12">
        <f t="shared" si="1"/>
        <v>134.97397129044734</v>
      </c>
      <c r="M14" s="12">
        <f t="shared" si="2"/>
        <v>0.9922053172149512</v>
      </c>
      <c r="N14" s="12">
        <f t="shared" si="3"/>
        <v>-0.01473021043236291</v>
      </c>
      <c r="O14" s="12">
        <f t="shared" si="4"/>
        <v>0.1237401688660406</v>
      </c>
      <c r="P14" s="12">
        <f t="shared" si="12"/>
        <v>-1.7209942911092517</v>
      </c>
      <c r="Q14" s="12">
        <f t="shared" si="13"/>
        <v>-2.6543276257506854E-11</v>
      </c>
      <c r="R14" s="12">
        <f t="shared" si="14"/>
        <v>-0.8083200783214151</v>
      </c>
      <c r="S14" s="12">
        <f t="shared" si="15"/>
        <v>1.9013686383887198</v>
      </c>
      <c r="T14" s="12">
        <f t="shared" si="5"/>
        <v>-0.9051344680680528</v>
      </c>
      <c r="U14" s="12">
        <f t="shared" si="6"/>
        <v>-1.3960089443781121E-11</v>
      </c>
      <c r="V14" s="12">
        <f t="shared" si="7"/>
        <v>-0.4251253870508831</v>
      </c>
      <c r="W14" s="48">
        <f>IF(OR(Flag="Ignore",Flag="Hole",Flag="Det"),"",ACOS((Xnorm*VertexCalc!Xnorm+Ynorm*VertexCalc!Ynorm)/(SQRT(Xnorm^2+Ynorm^2)*SQRT(VertexCalc!Xnorm^2+VertexCalc!Ynorm^2)))*180/PI()*SIGN(Xnorm*Ynorm))</f>
        <v>0</v>
      </c>
      <c r="X14" s="61" t="e">
        <f>IF(OR(Flag="Ignore",Flag="Hole",Flag="Det"),"",(1-(Xnorm*GutCalc!Xnorm+Ynorm*GutCalc!Ynorm)/(SQRT(Xnorm^2+Ynorm^2)*SQRT(GutCalc!Xnorm^2+GutCalc!Ynorm^2))))</f>
        <v>#VALUE!</v>
      </c>
      <c r="Y14" s="48">
        <f>IF(OR(Flag="Ignore",Flag="Hole",Flag="Det"),"",VertexCalc!Xsag*COS(Theta*PI()/180)-VertexCalc!Ysag*SIN(Theta*PI()/180))</f>
        <v>0</v>
      </c>
      <c r="Z14" s="48">
        <f>IF(OR(Flag="Ignore",Flag="Hole",Flag="Det"),"",VertexCalc!Xsag*SIN(Theta*PI()/180)+VertexCalc!Ysag*COS(Theta*PI()/180))</f>
        <v>1</v>
      </c>
      <c r="AA14" s="48">
        <f>IF(OR(Flag="Ignore",Flag="Hole",Flag="Det"),"",VertexCalc!Zsag)</f>
        <v>0</v>
      </c>
      <c r="AB14" s="49">
        <f t="shared" si="16"/>
        <v>90.00000000079986</v>
      </c>
    </row>
    <row r="15" spans="3:28" ht="12.75">
      <c r="C15" s="18"/>
      <c r="D15" s="19" t="s">
        <v>102</v>
      </c>
      <c r="E15" s="19"/>
      <c r="F15" s="21">
        <f ca="1" t="shared" si="8"/>
        <v>133.090238</v>
      </c>
      <c r="G15" s="21">
        <f ca="1" t="shared" si="0"/>
        <v>-10.168951</v>
      </c>
      <c r="H15" s="21">
        <f ca="1" t="shared" si="0"/>
        <v>-627.36187</v>
      </c>
      <c r="I15" s="21">
        <f t="shared" si="9"/>
        <v>-105.64300800000001</v>
      </c>
      <c r="J15" s="21">
        <f t="shared" si="10"/>
        <v>-2.1352460000000004</v>
      </c>
      <c r="K15" s="21">
        <f t="shared" si="11"/>
        <v>-99.234598</v>
      </c>
      <c r="L15" s="20">
        <f t="shared" si="1"/>
        <v>144.95692413606943</v>
      </c>
      <c r="M15" s="20">
        <f t="shared" si="2"/>
        <v>-0.7287889738943005</v>
      </c>
      <c r="N15" s="20">
        <f t="shared" si="3"/>
        <v>-0.014730210458906186</v>
      </c>
      <c r="O15" s="20">
        <f t="shared" si="4"/>
        <v>-0.6845799094553745</v>
      </c>
      <c r="P15" s="20">
        <f t="shared" si="12"/>
        <v>0.7186385011480247</v>
      </c>
      <c r="Q15" s="20">
        <f t="shared" si="13"/>
        <v>-0.9851609163182187</v>
      </c>
      <c r="R15" s="20">
        <f t="shared" si="14"/>
        <v>0.6738699843669976</v>
      </c>
      <c r="S15" s="20">
        <f t="shared" si="15"/>
        <v>1.393227936198528</v>
      </c>
      <c r="T15" s="20">
        <f t="shared" si="5"/>
        <v>0.5158082769348248</v>
      </c>
      <c r="U15" s="20">
        <f t="shared" si="6"/>
        <v>-0.7071067775214623</v>
      </c>
      <c r="V15" s="20">
        <f t="shared" si="7"/>
        <v>0.4836753318381455</v>
      </c>
      <c r="W15" s="45">
        <f>IF(OR(Flag="Ignore",Flag="Hole",Flag="Det"),"",ACOS((Xnorm*VertexCalc!Xnorm+Ynorm*VertexCalc!Ynorm)/(SQRT(Xnorm^2+Ynorm^2)*SQRT(VertexCalc!Xnorm^2+VertexCalc!Ynorm^2)))*180/PI()*SIGN(Xnorm*Ynorm))</f>
        <v>0</v>
      </c>
      <c r="X15" s="64">
        <f>IF(OR(Flag="Ignore",Flag="Hole",Flag="Det"),"",(1-(Xnorm*GutCalc!Xnorm+Ynorm*GutCalc!Ynorm)/(SQRT(Xnorm^2+Ynorm^2)*SQRT(GutCalc!Xnorm^2+GutCalc!Ynorm^2))))</f>
        <v>0</v>
      </c>
      <c r="Y15" s="45">
        <f>IF(OR(Flag="Ignore",Flag="Hole",Flag="Det"),"",VertexCalc!Xsag*COS(Theta*PI()/180)-VertexCalc!Ysag*SIN(Theta*PI()/180))</f>
        <v>0.5158082818360726</v>
      </c>
      <c r="Z15" s="45">
        <f>IF(OR(Flag="Ignore",Flag="Hole",Flag="Det"),"",VertexCalc!Xsag*SIN(Theta*PI()/180)+VertexCalc!Ysag*COS(Theta*PI()/180))</f>
        <v>0.7071067811865476</v>
      </c>
      <c r="AA15" s="45">
        <f>IF(OR(Flag="Ignore",Flag="Hole",Flag="Det"),"",VertexCalc!Zsag)</f>
        <v>0.48367532125313006</v>
      </c>
      <c r="AB15" s="46">
        <f t="shared" si="16"/>
        <v>89.99999970302376</v>
      </c>
    </row>
    <row r="16" spans="3:28" ht="13.5" thickBot="1">
      <c r="C16" s="14"/>
      <c r="D16" s="15" t="s">
        <v>104</v>
      </c>
      <c r="E16" s="15" t="s">
        <v>147</v>
      </c>
      <c r="F16" s="17">
        <f ca="1" t="shared" si="8"/>
        <v>132.68589</v>
      </c>
      <c r="G16" s="17">
        <f ca="1" t="shared" si="0"/>
        <v>-50</v>
      </c>
      <c r="H16" s="17">
        <f ca="1" t="shared" si="0"/>
        <v>-627.788504</v>
      </c>
      <c r="I16" s="17">
        <f t="shared" si="9"/>
        <v>-0.4043479999999988</v>
      </c>
      <c r="J16" s="17">
        <f t="shared" si="10"/>
        <v>-39.831049</v>
      </c>
      <c r="K16" s="17">
        <f t="shared" si="11"/>
        <v>-0.4266340000000355</v>
      </c>
      <c r="L16" s="16">
        <f t="shared" si="1"/>
        <v>39.83538600685904</v>
      </c>
      <c r="M16" s="16">
        <f t="shared" si="2"/>
        <v>-0.010150472746275794</v>
      </c>
      <c r="N16" s="16">
        <f t="shared" si="3"/>
        <v>-0.9998911267771249</v>
      </c>
      <c r="O16" s="16">
        <f t="shared" si="4"/>
        <v>-0.010709925088376844</v>
      </c>
      <c r="P16" s="16">
        <f t="shared" si="12"/>
      </c>
      <c r="Q16" s="16">
        <f t="shared" si="13"/>
      </c>
      <c r="R16" s="16">
        <f t="shared" si="14"/>
      </c>
      <c r="S16" s="16">
        <f t="shared" si="15"/>
      </c>
      <c r="T16" s="16">
        <f t="shared" si="5"/>
      </c>
      <c r="U16" s="16">
        <f t="shared" si="6"/>
      </c>
      <c r="V16" s="16">
        <f t="shared" si="7"/>
      </c>
      <c r="W16" s="51">
        <f>IF(OR(Flag="Ignore",Flag="Hole",Flag="Det"),"",ACOS((Xnorm*VertexCalc!Xnorm+Ynorm*VertexCalc!Ynorm)/(SQRT(Xnorm^2+Ynorm^2)*SQRT(VertexCalc!Xnorm^2+VertexCalc!Ynorm^2)))*180/PI()*SIGN(Xnorm*Ynorm))</f>
      </c>
      <c r="X16" s="62">
        <f>IF(OR(Flag="Ignore",Flag="Hole",Flag="Det"),"",(1-(Xnorm*GutCalc!Xnorm+Ynorm*GutCalc!Ynorm)/(SQRT(Xnorm^2+Ynorm^2)*SQRT(GutCalc!Xnorm^2+GutCalc!Ynorm^2))))</f>
      </c>
      <c r="Y16" s="51">
        <f>IF(OR(Flag="Ignore",Flag="Hole",Flag="Det"),"",VertexCalc!Xsag*COS(Theta*PI()/180)-VertexCalc!Ysag*SIN(Theta*PI()/180))</f>
      </c>
      <c r="Z16" s="51">
        <f>IF(OR(Flag="Ignore",Flag="Hole",Flag="Det"),"",VertexCalc!Xsag*SIN(Theta*PI()/180)+VertexCalc!Ysag*COS(Theta*PI()/180))</f>
      </c>
      <c r="AA16" s="51">
        <f>IF(OR(Flag="Ignore",Flag="Hole",Flag="Det"),"",VertexCalc!Zsag)</f>
      </c>
      <c r="AB16" s="52">
        <f t="shared" si="16"/>
      </c>
    </row>
    <row r="17" spans="4:28" ht="13.5" thickBot="1">
      <c r="D17" s="1" t="s">
        <v>100</v>
      </c>
      <c r="E17" s="1" t="s">
        <v>115</v>
      </c>
      <c r="F17" s="9">
        <f ca="1" t="shared" si="8"/>
        <v>238.733246</v>
      </c>
      <c r="G17" s="9">
        <f ca="1" t="shared" si="0"/>
        <v>-8.033705</v>
      </c>
      <c r="H17" s="9">
        <f ca="1" t="shared" si="0"/>
        <v>-528.127272</v>
      </c>
      <c r="I17" s="9">
        <f t="shared" si="9"/>
      </c>
      <c r="J17" s="9">
        <f t="shared" si="10"/>
      </c>
      <c r="K17" s="9">
        <f t="shared" si="11"/>
      </c>
      <c r="L17" s="8">
        <f t="shared" si="1"/>
      </c>
      <c r="M17" s="8">
        <f t="shared" si="2"/>
      </c>
      <c r="N17" s="8">
        <f t="shared" si="3"/>
      </c>
      <c r="O17" s="8">
        <f t="shared" si="4"/>
      </c>
      <c r="P17" s="8">
        <f t="shared" si="12"/>
      </c>
      <c r="Q17" s="8">
        <f t="shared" si="13"/>
      </c>
      <c r="R17" s="8">
        <f t="shared" si="14"/>
      </c>
      <c r="S17" s="8">
        <f t="shared" si="15"/>
      </c>
      <c r="T17" s="8">
        <f t="shared" si="5"/>
      </c>
      <c r="U17" s="8">
        <f t="shared" si="6"/>
      </c>
      <c r="V17" s="8">
        <f t="shared" si="7"/>
      </c>
      <c r="W17" s="30">
        <f>IF(OR(Flag="Ignore",Flag="Hole",Flag="Det"),"",ACOS((Xnorm*VertexCalc!Xnorm+Ynorm*VertexCalc!Ynorm)/(SQRT(Xnorm^2+Ynorm^2)*SQRT(VertexCalc!Xnorm^2+VertexCalc!Ynorm^2)))*180/PI()*SIGN(Xnorm*Ynorm))</f>
      </c>
      <c r="X17" s="34">
        <f>IF(OR(Flag="Ignore",Flag="Hole",Flag="Det"),"",(1-(Xnorm*GutCalc!Xnorm+Ynorm*GutCalc!Ynorm)/(SQRT(Xnorm^2+Ynorm^2)*SQRT(GutCalc!Xnorm^2+GutCalc!Ynorm^2))))</f>
      </c>
      <c r="Y17" s="30">
        <f>IF(OR(Flag="Ignore",Flag="Hole",Flag="Det"),"",VertexCalc!Xsag*COS(Theta*PI()/180)-VertexCalc!Ysag*SIN(Theta*PI()/180))</f>
      </c>
      <c r="Z17" s="30">
        <f>IF(OR(Flag="Ignore",Flag="Hole",Flag="Det"),"",VertexCalc!Xsag*SIN(Theta*PI()/180)+VertexCalc!Ysag*COS(Theta*PI()/180))</f>
      </c>
      <c r="AA17" s="30">
        <f>IF(OR(Flag="Ignore",Flag="Hole",Flag="Det"),"",VertexCalc!Zsag)</f>
      </c>
      <c r="AB17" s="30">
        <f t="shared" si="16"/>
      </c>
    </row>
    <row r="18" spans="3:28" ht="12.75">
      <c r="C18" s="10" t="s">
        <v>113</v>
      </c>
      <c r="D18" s="11" t="s">
        <v>105</v>
      </c>
      <c r="E18" s="11"/>
      <c r="F18" s="13">
        <f ca="1" t="shared" si="8"/>
        <v>342.166446</v>
      </c>
      <c r="G18" s="13">
        <f ca="1" t="shared" si="8"/>
        <v>-9.569267</v>
      </c>
      <c r="H18" s="13">
        <f ca="1" t="shared" si="8"/>
        <v>-515.227885</v>
      </c>
      <c r="I18" s="13">
        <f t="shared" si="9"/>
        <v>103.4332</v>
      </c>
      <c r="J18" s="13">
        <f t="shared" si="10"/>
        <v>-1.5355620000000005</v>
      </c>
      <c r="K18" s="13">
        <f t="shared" si="11"/>
        <v>12.899386999999933</v>
      </c>
      <c r="L18" s="12">
        <f t="shared" si="1"/>
        <v>104.24576249359784</v>
      </c>
      <c r="M18" s="12">
        <f t="shared" si="2"/>
        <v>0.9922053187183725</v>
      </c>
      <c r="N18" s="12">
        <f t="shared" si="3"/>
        <v>-0.014730210257652494</v>
      </c>
      <c r="O18" s="12">
        <f t="shared" si="4"/>
        <v>0.12374015683171906</v>
      </c>
      <c r="P18" s="12">
        <f t="shared" si="12"/>
        <v>-1.6186085835908846</v>
      </c>
      <c r="Q18" s="12">
        <f t="shared" si="13"/>
        <v>-0.7606992320321275</v>
      </c>
      <c r="R18" s="12">
        <f t="shared" si="14"/>
        <v>-0.20328969980475026</v>
      </c>
      <c r="S18" s="12">
        <f t="shared" si="15"/>
        <v>1.7999677137479615</v>
      </c>
      <c r="T18" s="12">
        <f t="shared" si="5"/>
        <v>-0.8992431204338416</v>
      </c>
      <c r="U18" s="12">
        <f t="shared" si="6"/>
        <v>-0.4226182648844131</v>
      </c>
      <c r="V18" s="12">
        <f t="shared" si="7"/>
        <v>-0.1129407479101126</v>
      </c>
      <c r="W18" s="48">
        <f>IF(OR(Flag="Ignore",Flag="Hole",Flag="Det"),"",ACOS((Xnorm*VertexCalc!Xnorm+Ynorm*VertexCalc!Ynorm)/(SQRT(Xnorm^2+Ynorm^2)*SQRT(VertexCalc!Xnorm^2+VertexCalc!Ynorm^2)))*180/PI()*SIGN(Xnorm*Ynorm))</f>
        <v>0</v>
      </c>
      <c r="X18" s="61" t="e">
        <f>IF(OR(Flag="Ignore",Flag="Hole",Flag="Det"),"",(1-(Xnorm*GutCalc!Xnorm+Ynorm*GutCalc!Ynorm)/(SQRT(Xnorm^2+Ynorm^2)*SQRT(GutCalc!Xnorm^2+GutCalc!Ynorm^2))))</f>
        <v>#VALUE!</v>
      </c>
      <c r="Y18" s="48">
        <f>IF(OR(Flag="Ignore",Flag="Hole",Flag="Det"),"",VertexCalc!Xsag*COS(Theta*PI()/180)-VertexCalc!Ysag*SIN(Theta*PI()/180))</f>
        <v>-0.4193239540327994</v>
      </c>
      <c r="Z18" s="48">
        <f>IF(OR(Flag="Ignore",Flag="Hole",Flag="Det"),"",VertexCalc!Xsag*SIN(Theta*PI()/180)+VertexCalc!Ysag*COS(Theta*PI()/180))</f>
        <v>0.9063077870366499</v>
      </c>
      <c r="AA18" s="48">
        <f>IF(OR(Flag="Ignore",Flag="Hole",Flag="Det"),"",VertexCalc!Zsag)</f>
        <v>-0.05266513771964412</v>
      </c>
      <c r="AB18" s="49">
        <f t="shared" si="16"/>
        <v>90.00000019874211</v>
      </c>
    </row>
    <row r="19" spans="3:28" ht="13.5" thickBot="1">
      <c r="C19" s="14"/>
      <c r="D19" s="15" t="s">
        <v>106</v>
      </c>
      <c r="E19" s="15" t="s">
        <v>147</v>
      </c>
      <c r="F19" s="17">
        <f ca="1" t="shared" si="8"/>
        <v>291.711826</v>
      </c>
      <c r="G19" s="17">
        <f ca="1" t="shared" si="8"/>
        <v>-72.027431</v>
      </c>
      <c r="H19" s="17">
        <f ca="1" t="shared" si="8"/>
        <v>-521.635326</v>
      </c>
      <c r="I19" s="17">
        <f t="shared" si="9"/>
        <v>-50.454620000000034</v>
      </c>
      <c r="J19" s="17">
        <f t="shared" si="10"/>
        <v>-62.45816400000001</v>
      </c>
      <c r="K19" s="17">
        <f t="shared" si="11"/>
        <v>-6.407440999999949</v>
      </c>
      <c r="L19" s="16">
        <f t="shared" si="1"/>
        <v>80.54654697604225</v>
      </c>
      <c r="M19" s="16">
        <f t="shared" si="2"/>
        <v>-0.6264032648725121</v>
      </c>
      <c r="N19" s="16">
        <f t="shared" si="3"/>
        <v>-0.7754294422897801</v>
      </c>
      <c r="O19" s="16">
        <f t="shared" si="4"/>
        <v>-0.0795495429730312</v>
      </c>
      <c r="P19" s="16">
        <f t="shared" si="12"/>
      </c>
      <c r="Q19" s="16">
        <f t="shared" si="13"/>
      </c>
      <c r="R19" s="16">
        <f t="shared" si="14"/>
      </c>
      <c r="S19" s="16">
        <f t="shared" si="15"/>
      </c>
      <c r="T19" s="16">
        <f t="shared" si="5"/>
      </c>
      <c r="U19" s="16">
        <f t="shared" si="6"/>
      </c>
      <c r="V19" s="16">
        <f t="shared" si="7"/>
      </c>
      <c r="W19" s="51">
        <f>IF(OR(Flag="Ignore",Flag="Hole",Flag="Det"),"",ACOS((Xnorm*VertexCalc!Xnorm+Ynorm*VertexCalc!Ynorm)/(SQRT(Xnorm^2+Ynorm^2)*SQRT(VertexCalc!Xnorm^2+VertexCalc!Ynorm^2)))*180/PI()*SIGN(Xnorm*Ynorm))</f>
      </c>
      <c r="X19" s="62">
        <f>IF(OR(Flag="Ignore",Flag="Hole",Flag="Det"),"",(1-(Xnorm*GutCalc!Xnorm+Ynorm*GutCalc!Ynorm)/(SQRT(Xnorm^2+Ynorm^2)*SQRT(GutCalc!Xnorm^2+GutCalc!Ynorm^2))))</f>
      </c>
      <c r="Y19" s="51">
        <f>IF(OR(Flag="Ignore",Flag="Hole",Flag="Det"),"",VertexCalc!Xsag*COS(Theta*PI()/180)-VertexCalc!Ysag*SIN(Theta*PI()/180))</f>
      </c>
      <c r="Z19" s="51">
        <f>IF(OR(Flag="Ignore",Flag="Hole",Flag="Det"),"",VertexCalc!Xsag*SIN(Theta*PI()/180)+VertexCalc!Ysag*COS(Theta*PI()/180))</f>
      </c>
      <c r="AA19" s="51">
        <f>IF(OR(Flag="Ignore",Flag="Hole",Flag="Det"),"",VertexCalc!Zsag)</f>
      </c>
      <c r="AB19" s="52">
        <f t="shared" si="16"/>
      </c>
    </row>
    <row r="20" spans="4:28" ht="13.5" thickBot="1">
      <c r="D20" s="1" t="s">
        <v>105</v>
      </c>
      <c r="E20" s="1" t="s">
        <v>115</v>
      </c>
      <c r="F20" s="9">
        <f ca="1" t="shared" si="8"/>
        <v>342.166446</v>
      </c>
      <c r="G20" s="9">
        <f ca="1" t="shared" si="8"/>
        <v>-9.569267</v>
      </c>
      <c r="H20" s="9">
        <f ca="1" t="shared" si="8"/>
        <v>-515.227885</v>
      </c>
      <c r="I20" s="9">
        <f t="shared" si="9"/>
      </c>
      <c r="J20" s="9">
        <f t="shared" si="10"/>
      </c>
      <c r="K20" s="9">
        <f t="shared" si="11"/>
      </c>
      <c r="L20" s="8">
        <f t="shared" si="1"/>
      </c>
      <c r="M20" s="8">
        <f t="shared" si="2"/>
      </c>
      <c r="N20" s="8">
        <f t="shared" si="3"/>
      </c>
      <c r="O20" s="8">
        <f t="shared" si="4"/>
      </c>
      <c r="P20" s="8">
        <f t="shared" si="12"/>
      </c>
      <c r="Q20" s="8">
        <f t="shared" si="13"/>
      </c>
      <c r="R20" s="8">
        <f t="shared" si="14"/>
      </c>
      <c r="S20" s="8">
        <f t="shared" si="15"/>
      </c>
      <c r="T20" s="8">
        <f t="shared" si="5"/>
      </c>
      <c r="U20" s="8">
        <f t="shared" si="6"/>
      </c>
      <c r="V20" s="8">
        <f t="shared" si="7"/>
      </c>
      <c r="W20" s="30">
        <f>IF(OR(Flag="Ignore",Flag="Hole",Flag="Det"),"",ACOS((Xnorm*VertexCalc!Xnorm+Ynorm*VertexCalc!Ynorm)/(SQRT(Xnorm^2+Ynorm^2)*SQRT(VertexCalc!Xnorm^2+VertexCalc!Ynorm^2)))*180/PI()*SIGN(Xnorm*Ynorm))</f>
      </c>
      <c r="X20" s="34">
        <f>IF(OR(Flag="Ignore",Flag="Hole",Flag="Det"),"",(1-(Xnorm*GutCalc!Xnorm+Ynorm*GutCalc!Ynorm)/(SQRT(Xnorm^2+Ynorm^2)*SQRT(GutCalc!Xnorm^2+GutCalc!Ynorm^2))))</f>
      </c>
      <c r="Y20" s="30">
        <f>IF(OR(Flag="Ignore",Flag="Hole",Flag="Det"),"",VertexCalc!Xsag*COS(Theta*PI()/180)-VertexCalc!Ysag*SIN(Theta*PI()/180))</f>
      </c>
      <c r="Z20" s="30">
        <f>IF(OR(Flag="Ignore",Flag="Hole",Flag="Det"),"",VertexCalc!Xsag*SIN(Theta*PI()/180)+VertexCalc!Ysag*COS(Theta*PI()/180))</f>
      </c>
      <c r="AA20" s="30">
        <f>IF(OR(Flag="Ignore",Flag="Hole",Flag="Det"),"",VertexCalc!Zsag)</f>
      </c>
      <c r="AB20" s="30">
        <f t="shared" si="16"/>
      </c>
    </row>
    <row r="21" spans="3:28" ht="12.75">
      <c r="C21" s="10" t="s">
        <v>114</v>
      </c>
      <c r="D21" s="11" t="s">
        <v>107</v>
      </c>
      <c r="E21" s="11"/>
      <c r="F21" s="13">
        <f ca="1" t="shared" si="8"/>
        <v>380.47202</v>
      </c>
      <c r="G21" s="13">
        <f ca="1" t="shared" si="8"/>
        <v>-10.137949</v>
      </c>
      <c r="H21" s="13">
        <f ca="1" t="shared" si="8"/>
        <v>-510.45071</v>
      </c>
      <c r="I21" s="13">
        <f t="shared" si="9"/>
        <v>38.30557399999998</v>
      </c>
      <c r="J21" s="13">
        <f t="shared" si="10"/>
        <v>-0.5686820000000008</v>
      </c>
      <c r="K21" s="13">
        <f t="shared" si="11"/>
        <v>4.777175</v>
      </c>
      <c r="L21" s="12">
        <f t="shared" si="1"/>
        <v>38.6064994485025</v>
      </c>
      <c r="M21" s="12">
        <f t="shared" si="2"/>
        <v>0.9922053163896943</v>
      </c>
      <c r="N21" s="12">
        <f t="shared" si="3"/>
        <v>-0.0147302140345195</v>
      </c>
      <c r="O21" s="12">
        <f t="shared" si="4"/>
        <v>0.12374017505452184</v>
      </c>
      <c r="P21" s="12">
        <f t="shared" si="12"/>
        <v>-0.9930502605969074</v>
      </c>
      <c r="Q21" s="12">
        <f t="shared" si="13"/>
        <v>-3.0266912257742584E-09</v>
      </c>
      <c r="R21" s="12">
        <f t="shared" si="14"/>
        <v>0.8761509724083488</v>
      </c>
      <c r="S21" s="12">
        <f t="shared" si="15"/>
        <v>1.3243071194113851</v>
      </c>
      <c r="T21" s="12">
        <f t="shared" si="5"/>
        <v>-0.7498640202419877</v>
      </c>
      <c r="U21" s="12">
        <f t="shared" si="6"/>
        <v>-2.285490413371433E-09</v>
      </c>
      <c r="V21" s="12">
        <f t="shared" si="7"/>
        <v>0.6615919823777522</v>
      </c>
      <c r="W21" s="48">
        <f>IF(OR(Flag="Ignore",Flag="Hole",Flag="Det"),"",ACOS((Xnorm*VertexCalc!Xnorm+Ynorm*VertexCalc!Ynorm)/(SQRT(Xnorm^2+Ynorm^2)*SQRT(VertexCalc!Xnorm^2+VertexCalc!Ynorm^2)))*180/PI()*SIGN(Xnorm*Ynorm))</f>
        <v>0</v>
      </c>
      <c r="X21" s="61">
        <f>IF(OR(Flag="Ignore",Flag="Hole",Flag="Det"),"",(1-(Xnorm*GutCalc!Xnorm+Ynorm*GutCalc!Ynorm)/(SQRT(Xnorm^2+Ynorm^2)*SQRT(GutCalc!Xnorm^2+GutCalc!Ynorm^2))))</f>
        <v>0</v>
      </c>
      <c r="Y21" s="48">
        <f>IF(OR(Flag="Ignore",Flag="Hole",Flag="Det"),"",VertexCalc!Xsag*COS(Theta*PI()/180)-VertexCalc!Ysag*SIN(Theta*PI()/180))</f>
        <v>0</v>
      </c>
      <c r="Z21" s="48">
        <f>IF(OR(Flag="Ignore",Flag="Hole",Flag="Det"),"",VertexCalc!Xsag*SIN(Theta*PI()/180)+VertexCalc!Ysag*COS(Theta*PI()/180))</f>
        <v>1</v>
      </c>
      <c r="AA21" s="48">
        <f>IF(OR(Flag="Ignore",Flag="Hole",Flag="Det"),"",VertexCalc!Zsag)</f>
        <v>0</v>
      </c>
      <c r="AB21" s="49">
        <f t="shared" si="16"/>
        <v>90.00000013094896</v>
      </c>
    </row>
    <row r="22" spans="3:28" ht="13.5" thickBot="1">
      <c r="C22" s="14"/>
      <c r="D22" s="15" t="s">
        <v>108</v>
      </c>
      <c r="E22" s="15" t="s">
        <v>147</v>
      </c>
      <c r="F22" s="17">
        <f ca="1" t="shared" si="8"/>
        <v>380.43658300000004</v>
      </c>
      <c r="G22" s="17">
        <f ca="1" t="shared" si="8"/>
        <v>-10.755735</v>
      </c>
      <c r="H22" s="17">
        <f ca="1" t="shared" si="8"/>
        <v>-468.515228</v>
      </c>
      <c r="I22" s="17">
        <f t="shared" si="9"/>
        <v>-0.035436999999944874</v>
      </c>
      <c r="J22" s="17">
        <f t="shared" si="10"/>
        <v>-0.6177859999999988</v>
      </c>
      <c r="K22" s="17">
        <f t="shared" si="11"/>
        <v>41.935482000000036</v>
      </c>
      <c r="L22" s="16">
        <f t="shared" si="1"/>
        <v>41.94004728055385</v>
      </c>
      <c r="M22" s="16">
        <f t="shared" si="2"/>
        <v>-0.0008449442072130373</v>
      </c>
      <c r="N22" s="16">
        <f t="shared" si="3"/>
        <v>-0.014730217061210726</v>
      </c>
      <c r="O22" s="16">
        <f t="shared" si="4"/>
        <v>0.9998911474628707</v>
      </c>
      <c r="P22" s="16">
        <f t="shared" si="12"/>
      </c>
      <c r="Q22" s="16">
        <f t="shared" si="13"/>
      </c>
      <c r="R22" s="16">
        <f t="shared" si="14"/>
      </c>
      <c r="S22" s="16">
        <f t="shared" si="15"/>
      </c>
      <c r="T22" s="16">
        <f t="shared" si="5"/>
      </c>
      <c r="U22" s="16">
        <f t="shared" si="6"/>
      </c>
      <c r="V22" s="16">
        <f t="shared" si="7"/>
      </c>
      <c r="W22" s="51">
        <f>IF(OR(Flag="Ignore",Flag="Hole",Flag="Det"),"",ACOS((Xnorm*VertexCalc!Xnorm+Ynorm*VertexCalc!Ynorm)/(SQRT(Xnorm^2+Ynorm^2)*SQRT(VertexCalc!Xnorm^2+VertexCalc!Ynorm^2)))*180/PI()*SIGN(Xnorm*Ynorm))</f>
      </c>
      <c r="X22" s="62"/>
      <c r="Y22" s="51">
        <f>IF(OR(Flag="Ignore",Flag="Hole",Flag="Det"),"",VertexCalc!Xsag*COS(Theta*PI()/180)-VertexCalc!Ysag*SIN(Theta*PI()/180))</f>
      </c>
      <c r="Z22" s="51">
        <f>IF(OR(Flag="Ignore",Flag="Hole",Flag="Det"),"",VertexCalc!Xsag*SIN(Theta*PI()/180)+VertexCalc!Ysag*COS(Theta*PI()/180))</f>
      </c>
      <c r="AA22" s="51">
        <f>IF(OR(Flag="Ignore",Flag="Hole",Flag="Det"),"",VertexCalc!Zsag)</f>
      </c>
      <c r="AB22" s="52">
        <f t="shared" si="16"/>
      </c>
    </row>
    <row r="23" spans="1:26" ht="12.75">
      <c r="A23" s="23" t="s">
        <v>124</v>
      </c>
      <c r="I23" s="9"/>
      <c r="J23" s="9"/>
      <c r="K23" s="9"/>
      <c r="X23" s="34"/>
      <c r="Y23" s="9"/>
      <c r="Z23" s="9"/>
    </row>
    <row r="24" spans="1:26" ht="12.75">
      <c r="A24" s="1" t="s">
        <v>14</v>
      </c>
      <c r="B24" s="1" t="str">
        <f>"-Zsyno"</f>
        <v>-Zsyno</v>
      </c>
      <c r="C24" s="1" t="s">
        <v>117</v>
      </c>
      <c r="I24" s="9"/>
      <c r="J24" s="9"/>
      <c r="K24" s="9"/>
      <c r="X24" s="34"/>
      <c r="Y24" s="9"/>
      <c r="Z24" s="9"/>
    </row>
    <row r="25" spans="1:3" ht="12.75">
      <c r="A25" s="1" t="s">
        <v>69</v>
      </c>
      <c r="B25" s="1" t="s">
        <v>120</v>
      </c>
      <c r="C25" s="1" t="s">
        <v>118</v>
      </c>
    </row>
    <row r="26" spans="1:3" ht="12.75">
      <c r="A26" s="1" t="s">
        <v>70</v>
      </c>
      <c r="B26" s="1" t="s">
        <v>121</v>
      </c>
      <c r="C26" s="1" t="s">
        <v>119</v>
      </c>
    </row>
  </sheetData>
  <printOptions/>
  <pageMargins left="0.33" right="0.25" top="0.984251968503937" bottom="0.984251968503937" header="0.5118110236220472" footer="0.5118110236220472"/>
  <pageSetup fitToHeight="1" fitToWidth="1" horizontalDpi="600" verticalDpi="600" orientation="landscape" paperSize="9" scale="48" r:id="rId1"/>
  <headerFooter alignWithMargins="0">
    <oddHeader>&amp;L&amp;F, &amp;A&amp;R&amp;T, &amp;D</oddHeader>
    <oddFooter>&amp;CPage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E26"/>
  <sheetViews>
    <sheetView zoomScale="60" zoomScaleNormal="60" workbookViewId="0" topLeftCell="B1">
      <selection activeCell="F1" sqref="F1:H16384"/>
    </sheetView>
  </sheetViews>
  <sheetFormatPr defaultColWidth="12" defaultRowHeight="12.75"/>
  <cols>
    <col min="1" max="2" width="12" style="1" customWidth="1"/>
    <col min="3" max="3" width="20.16015625" style="1" customWidth="1"/>
    <col min="4" max="5" width="12" style="1" customWidth="1"/>
    <col min="6" max="6" width="13.33203125" style="9" customWidth="1"/>
    <col min="7" max="7" width="12.83203125" style="9" customWidth="1"/>
    <col min="8" max="8" width="14.83203125" style="9" customWidth="1"/>
    <col min="9" max="9" width="14.33203125" style="8" customWidth="1"/>
    <col min="10" max="11" width="13.5" style="8" customWidth="1"/>
    <col min="12" max="15" width="8.83203125" style="8" customWidth="1"/>
    <col min="16" max="16" width="12" style="8" customWidth="1"/>
    <col min="17" max="22" width="9.33203125" style="8" customWidth="1"/>
    <col min="23" max="23" width="15.83203125" style="30" customWidth="1"/>
    <col min="24" max="24" width="12.66015625" style="35" customWidth="1"/>
    <col min="25" max="25" width="12.5" style="1" customWidth="1"/>
    <col min="26" max="16384" width="12" style="1" customWidth="1"/>
  </cols>
  <sheetData>
    <row r="1" spans="3:28" s="5" customFormat="1" ht="12.75">
      <c r="C1" s="5" t="s">
        <v>116</v>
      </c>
      <c r="D1" s="5" t="s">
        <v>2</v>
      </c>
      <c r="E1" s="5" t="s">
        <v>145</v>
      </c>
      <c r="F1" s="7" t="str">
        <f>"X"&amp;Ray</f>
        <v>XCM5Cent</v>
      </c>
      <c r="G1" s="7" t="str">
        <f>"Y"&amp;Ray</f>
        <v>YCM5Cent</v>
      </c>
      <c r="H1" s="7" t="str">
        <f>"Z"&amp;Ray</f>
        <v>ZCM5Cent</v>
      </c>
      <c r="I1" s="6" t="s">
        <v>125</v>
      </c>
      <c r="J1" s="6" t="s">
        <v>126</v>
      </c>
      <c r="K1" s="6" t="s">
        <v>127</v>
      </c>
      <c r="L1" s="6" t="s">
        <v>128</v>
      </c>
      <c r="M1" s="6" t="s">
        <v>129</v>
      </c>
      <c r="N1" s="6" t="s">
        <v>130</v>
      </c>
      <c r="O1" s="6" t="s">
        <v>131</v>
      </c>
      <c r="P1" s="6" t="s">
        <v>132</v>
      </c>
      <c r="Q1" s="6" t="s">
        <v>133</v>
      </c>
      <c r="R1" s="6" t="s">
        <v>134</v>
      </c>
      <c r="S1" s="6" t="s">
        <v>135</v>
      </c>
      <c r="T1" s="6" t="s">
        <v>11</v>
      </c>
      <c r="U1" s="6" t="s">
        <v>12</v>
      </c>
      <c r="V1" s="6" t="s">
        <v>13</v>
      </c>
      <c r="W1" s="32" t="s">
        <v>327</v>
      </c>
      <c r="X1" s="33" t="s">
        <v>329</v>
      </c>
      <c r="Y1" s="7" t="s">
        <v>18</v>
      </c>
      <c r="Z1" s="7" t="s">
        <v>19</v>
      </c>
      <c r="AA1" s="6" t="s">
        <v>20</v>
      </c>
      <c r="AB1" s="5" t="s">
        <v>330</v>
      </c>
    </row>
    <row r="2" spans="1:28" ht="13.5" thickBot="1">
      <c r="A2" s="1" t="s">
        <v>33</v>
      </c>
      <c r="B2" s="1" t="str">
        <f>'CM3CentRay'!J4</f>
        <v>(BOLPHT154C)</v>
      </c>
      <c r="D2" s="1" t="s">
        <v>80</v>
      </c>
      <c r="E2" s="1" t="s">
        <v>115</v>
      </c>
      <c r="F2" s="9">
        <f ca="1">INDIRECT("RayImpacts!"&amp;F$1)</f>
        <v>3252.162</v>
      </c>
      <c r="G2" s="9">
        <f ca="1" t="shared" si="0" ref="G2:H17">INDIRECT("RayImpacts!"&amp;G$1)</f>
        <v>13.817514</v>
      </c>
      <c r="H2" s="9">
        <f ca="1" t="shared" si="0"/>
        <v>60.298241</v>
      </c>
      <c r="I2" s="9">
        <f>IF(Flag="Ignore","",F2-F1)</f>
      </c>
      <c r="J2" s="9">
        <f>IF(Flag="Ignore","",G2-G1)</f>
      </c>
      <c r="K2" s="9">
        <f>IF(Flag="Ignore","",H2-H1)</f>
      </c>
      <c r="L2" s="8">
        <f aca="true" t="shared" si="1" ref="L2:L22">IF(Flag="ignore","",SQRT(Xdiff^2+Ydiff^2+Zdiff^2))</f>
      </c>
      <c r="M2" s="8">
        <f aca="true" t="shared" si="2" ref="M2:M22">IF(Flag="ignore","",Xdiff/DiffMod)</f>
      </c>
      <c r="N2" s="8">
        <f aca="true" t="shared" si="3" ref="N2:N22">IF(Flag="ignore","",Ydiff/DiffMod)</f>
      </c>
      <c r="O2" s="8">
        <f aca="true" t="shared" si="4" ref="O2:O22">IF(Flag="ignore","",Zdiff/DiffMod)</f>
      </c>
      <c r="P2" s="8">
        <f>IF(OR(Flag="Ignore",Flag="Hole",Flag="Det"),"",M3-Xray)</f>
      </c>
      <c r="Q2" s="8">
        <f>IF(OR(Flag="Ignore",Flag="Hole",Flag="Det"),"",N3-Yray)</f>
      </c>
      <c r="R2" s="8">
        <f>IF(OR(Flag="Ignore",Flag="Hole",Flag="Det"),"",O3-Zray)</f>
      </c>
      <c r="S2" s="8">
        <f>IF(OR(Flag="Ignore",Flag="Hole",Flag="Det"),"",SQRT(dXray^2+dYray^2+dZray^2))</f>
      </c>
      <c r="T2" s="8">
        <f aca="true" t="shared" si="5" ref="T2:T22">IF(OR(Flag="Ignore",Flag="Hole",Flag="Det"),"",dXray/drayMod)</f>
      </c>
      <c r="U2" s="8">
        <f aca="true" t="shared" si="6" ref="U2:U22">IF(OR(Flag="Ignore",Flag="Hole",Flag="Det"),"",dYray/drayMod)</f>
      </c>
      <c r="V2" s="8">
        <f aca="true" t="shared" si="7" ref="V2:V22">IF(OR(Flag="Ignore",Flag="Hole",Flag="Det"),"",dZray/drayMod)</f>
      </c>
      <c r="W2" s="30">
        <f>IF(OR(Flag="Ignore",Flag="Hole",Flag="Det"),"",ACOS((Xnorm*VertexCalc!Xnorm+Ynorm*VertexCalc!Ynorm)/(SQRT(Xnorm^2+Ynorm^2)*SQRT(VertexCalc!Xnorm^2+VertexCalc!Ynorm^2)))*180/PI()*SIGN(Xnorm*Ynorm))</f>
      </c>
      <c r="X2" s="34">
        <f>IF(OR(Flag="Ignore",Flag="Hole",Flag="Det"),"",((Xnorm*GutCalc!Xnorm+Ynorm*GutCalc!Ynorm)/(SQRT(Xnorm^2+Ynorm^2)*SQRT(GutCalc!Xnorm^2+GutCalc!Ynorm^2)))*180/PI())</f>
      </c>
      <c r="Y2" s="30">
        <f>IF(OR(Flag="Ignore",Flag="Hole",Flag="Det"),"",VertexCalc!Xsag*COS(Theta*PI()/180)-VertexCalc!Ysag*SIN(Theta*PI()/180))</f>
      </c>
      <c r="Z2" s="30">
        <f>IF(OR(Flag="Ignore",Flag="Hole",Flag="Det"),"",VertexCalc!Xsag*SIN(Theta*PI()/180)+VertexCalc!Ysag*COS(Theta*PI()/180))</f>
      </c>
      <c r="AA2" s="30">
        <f>IF(OR(Flag="Ignore",Flag="Hole",Flag="Det"),"",VertexCalc!Zsag)</f>
      </c>
      <c r="AB2" s="30">
        <f>IF(OR(Flag="Ignore",Flag="Hole",Flag="Det"),"",ACOS(Xsag*Xnorm+Ysag*Ynorm+Zsag*Znorm)*180/PI())</f>
      </c>
    </row>
    <row r="3" spans="3:28" ht="12.75">
      <c r="C3" s="10" t="s">
        <v>109</v>
      </c>
      <c r="D3" s="11" t="s">
        <v>81</v>
      </c>
      <c r="E3" s="11"/>
      <c r="F3" s="13">
        <f ca="1" t="shared" si="8" ref="F3:H22">INDIRECT("RayImpacts!"&amp;F$1)</f>
        <v>1252.600535</v>
      </c>
      <c r="G3" s="13">
        <f ca="1" t="shared" si="0"/>
        <v>12.375513</v>
      </c>
      <c r="H3" s="13">
        <f ca="1" t="shared" si="0"/>
        <v>54.005491</v>
      </c>
      <c r="I3" s="13">
        <f aca="true" t="shared" si="9" ref="I3:I22">IF(Flag="Ignore","",F3-F2)</f>
        <v>-1999.5614649999998</v>
      </c>
      <c r="J3" s="13">
        <f aca="true" t="shared" si="10" ref="J3:J22">IF(Flag="Ignore","",G3-G2)</f>
        <v>-1.4420009999999994</v>
      </c>
      <c r="K3" s="13">
        <f aca="true" t="shared" si="11" ref="K3:K22">IF(Flag="Ignore","",H3-H2)</f>
        <v>-6.292749999999998</v>
      </c>
      <c r="L3" s="12">
        <f t="shared" si="1"/>
        <v>1999.5718867753649</v>
      </c>
      <c r="M3" s="12">
        <f t="shared" si="2"/>
        <v>-0.9999947879966536</v>
      </c>
      <c r="N3" s="12">
        <f t="shared" si="3"/>
        <v>-0.0007211548679679933</v>
      </c>
      <c r="O3" s="12">
        <f t="shared" si="4"/>
        <v>-0.0031470486465720827</v>
      </c>
      <c r="P3" s="12">
        <f aca="true" t="shared" si="12" ref="P3:P22">IF(OR(Flag="Ignore",Flag="Hole",Flag="Det"),"",M4-Xray)</f>
        <v>1.999386328257419</v>
      </c>
      <c r="Q3" s="12">
        <f aca="true" t="shared" si="13" ref="Q3:Q22">IF(OR(Flag="Ignore",Flag="Hole",Flag="Det"),"",N4-Yray)</f>
        <v>-0.007069551056272096</v>
      </c>
      <c r="R3" s="12">
        <f aca="true" t="shared" si="14" ref="R3:R22">IF(OR(Flag="Ignore",Flag="Hole",Flag="Det"),"",O4-Zray)</f>
        <v>-0.03085080652720495</v>
      </c>
      <c r="S3" s="12">
        <f aca="true" t="shared" si="15" ref="S3:S22">IF(OR(Flag="Ignore",Flag="Hole",Flag="Det"),"",SQRT(dXray^2+dYray^2+dZray^2))</f>
        <v>1.9996368271359175</v>
      </c>
      <c r="T3" s="12">
        <f t="shared" si="5"/>
        <v>0.9998747278130212</v>
      </c>
      <c r="U3" s="12">
        <f t="shared" si="6"/>
        <v>-0.0035354175119878257</v>
      </c>
      <c r="V3" s="12">
        <f t="shared" si="7"/>
        <v>-0.015428204816267863</v>
      </c>
      <c r="W3" s="48">
        <f>IF(OR(Flag="Ignore",Flag="Hole",Flag="Det"),"",ACOS((Xnorm*VertexCalc!Xnorm+Ynorm*VertexCalc!Ynorm)/(SQRT(Xnorm^2+Ynorm^2)*SQRT(VertexCalc!Xnorm^2+VertexCalc!Ynorm^2)))*180/PI()*SIGN(Xnorm*Ynorm))</f>
        <v>-0.20258903685848983</v>
      </c>
      <c r="X3" s="61">
        <f>IF(OR(Flag="Ignore",Flag="Hole",Flag="Det"),"",(1-(Xnorm*GutCalc!Xnorm+Ynorm*GutCalc!Ynorm)/(SQRT(Xnorm^2+Ynorm^2)*SQRT(GutCalc!Xnorm^2+GutCalc!Ynorm^2))))</f>
        <v>6.251095970855047E-06</v>
      </c>
      <c r="Y3" s="48">
        <f>IF(OR(Flag="Ignore",Flag="Hole",Flag="Det"),"",VertexCalc!Xsag*COS(Theta*PI()/180)-VertexCalc!Ysag*SIN(Theta*PI()/180))</f>
        <v>0.0035358383539847455</v>
      </c>
      <c r="Z3" s="48">
        <f>IF(OR(Flag="Ignore",Flag="Hole",Flag="Det"),"",VertexCalc!Xsag*SIN(Theta*PI()/180)+VertexCalc!Ysag*COS(Theta*PI()/180))</f>
        <v>0.9999937489040291</v>
      </c>
      <c r="AA3" s="48">
        <f>IF(OR(Flag="Ignore",Flag="Hole",Flag="Det"),"",VertexCalc!Zsag)</f>
        <v>0</v>
      </c>
      <c r="AB3" s="49">
        <f aca="true" t="shared" si="16" ref="AB3:AB22">IF(OR(Flag="Ignore",Flag="Hole",Flag="Det"),"",ACOS(Xsag*Xnorm+Ysag*Ynorm+Zsag*Znorm)*180/PI())</f>
        <v>89.99999999999841</v>
      </c>
    </row>
    <row r="4" spans="3:28" ht="13.5" thickBot="1">
      <c r="C4" s="14"/>
      <c r="D4" s="15" t="s">
        <v>82</v>
      </c>
      <c r="E4" s="15"/>
      <c r="F4" s="17">
        <f ca="1" t="shared" si="8"/>
        <v>2840.131</v>
      </c>
      <c r="G4" s="17">
        <f ca="1" t="shared" si="0"/>
        <v>1.78E-15</v>
      </c>
      <c r="H4" s="17">
        <f ca="1" t="shared" si="0"/>
        <v>-7.11E-15</v>
      </c>
      <c r="I4" s="17">
        <f t="shared" si="9"/>
        <v>1587.5304649999998</v>
      </c>
      <c r="J4" s="17">
        <f t="shared" si="10"/>
        <v>-12.375512999999998</v>
      </c>
      <c r="K4" s="17">
        <f t="shared" si="11"/>
        <v>-54.005491000000006</v>
      </c>
      <c r="L4" s="16">
        <f t="shared" si="1"/>
        <v>1588.49700147129</v>
      </c>
      <c r="M4" s="16">
        <f t="shared" si="2"/>
        <v>0.9993915402607654</v>
      </c>
      <c r="N4" s="16">
        <f t="shared" si="3"/>
        <v>-0.007790705924240089</v>
      </c>
      <c r="O4" s="16">
        <f t="shared" si="4"/>
        <v>-0.033997855173777035</v>
      </c>
      <c r="P4" s="16">
        <f t="shared" si="12"/>
        <v>-1.998783080531279</v>
      </c>
      <c r="Q4" s="16">
        <f t="shared" si="13"/>
        <v>1.4851431889839617E-10</v>
      </c>
      <c r="R4" s="16">
        <f t="shared" si="14"/>
        <v>2.5252468172087816E-10</v>
      </c>
      <c r="S4" s="16">
        <f t="shared" si="15"/>
        <v>1.998783080531279</v>
      </c>
      <c r="T4" s="16">
        <f t="shared" si="5"/>
        <v>-1</v>
      </c>
      <c r="U4" s="16">
        <f t="shared" si="6"/>
        <v>7.430236944917548E-11</v>
      </c>
      <c r="V4" s="16">
        <f t="shared" si="7"/>
        <v>1.2633921318453265E-10</v>
      </c>
      <c r="W4" s="51" t="e">
        <f>IF(OR(Flag="Ignore",Flag="Hole",Flag="Det"),"",ACOS((Xnorm*VertexCalc!Xnorm+Ynorm*VertexCalc!Ynorm)/(SQRT(Xnorm^2+Ynorm^2)*SQRT(VertexCalc!Xnorm^2+VertexCalc!Ynorm^2)))*180/PI()*SIGN(Xnorm*Ynorm))</f>
        <v>#VALUE!</v>
      </c>
      <c r="X4" s="62" t="e">
        <f>IF(OR(Flag="Ignore",Flag="Hole",Flag="Det"),"",(1-(Xnorm*GutCalc!Xnorm+Ynorm*GutCalc!Ynorm)/(SQRT(Xnorm^2+Ynorm^2)*SQRT(GutCalc!Xnorm^2+GutCalc!Ynorm^2))))</f>
        <v>#VALUE!</v>
      </c>
      <c r="Y4" s="51" t="e">
        <f>IF(OR(Flag="Ignore",Flag="Hole",Flag="Det"),"",VertexCalc!Xsag*COS(Theta*PI()/180)-VertexCalc!Ysag*SIN(Theta*PI()/180))</f>
        <v>#VALUE!</v>
      </c>
      <c r="Z4" s="51" t="e">
        <f>IF(OR(Flag="Ignore",Flag="Hole",Flag="Det"),"",VertexCalc!Xsag*SIN(Theta*PI()/180)+VertexCalc!Ysag*COS(Theta*PI()/180))</f>
        <v>#VALUE!</v>
      </c>
      <c r="AA4" s="51">
        <f>IF(OR(Flag="Ignore",Flag="Hole",Flag="Det"),"",VertexCalc!Zsag)</f>
        <v>0</v>
      </c>
      <c r="AB4" s="52" t="e">
        <f t="shared" si="16"/>
        <v>#VALUE!</v>
      </c>
    </row>
    <row r="5" spans="1:28" ht="13.5" thickBot="1">
      <c r="A5" s="1" t="s">
        <v>3</v>
      </c>
      <c r="B5" s="24" t="s">
        <v>659</v>
      </c>
      <c r="C5" s="10" t="s">
        <v>110</v>
      </c>
      <c r="D5" s="11" t="s">
        <v>83</v>
      </c>
      <c r="E5" s="11" t="s">
        <v>146</v>
      </c>
      <c r="F5" s="13">
        <f ca="1" t="shared" si="8"/>
        <v>229.022003</v>
      </c>
      <c r="G5" s="13">
        <f ca="1" t="shared" si="0"/>
        <v>-20.354767</v>
      </c>
      <c r="H5" s="13">
        <f ca="1" t="shared" si="0"/>
        <v>-88.826152</v>
      </c>
      <c r="I5" s="13">
        <f t="shared" si="9"/>
        <v>-2611.108997</v>
      </c>
      <c r="J5" s="13">
        <f t="shared" si="10"/>
        <v>-20.354767000000002</v>
      </c>
      <c r="K5" s="13">
        <f t="shared" si="11"/>
        <v>-88.82615199999998</v>
      </c>
      <c r="L5" s="12">
        <f t="shared" si="1"/>
        <v>2612.6987189557653</v>
      </c>
      <c r="M5" s="12">
        <f t="shared" si="2"/>
        <v>-0.9993915402705135</v>
      </c>
      <c r="N5" s="12">
        <f t="shared" si="3"/>
        <v>-0.00779070577572577</v>
      </c>
      <c r="O5" s="12">
        <f t="shared" si="4"/>
        <v>-0.03399785492125235</v>
      </c>
      <c r="P5" s="12">
        <f t="shared" si="12"/>
      </c>
      <c r="Q5" s="12">
        <f t="shared" si="13"/>
      </c>
      <c r="R5" s="12">
        <f t="shared" si="14"/>
      </c>
      <c r="S5" s="12">
        <f t="shared" si="15"/>
      </c>
      <c r="T5" s="12">
        <f t="shared" si="5"/>
      </c>
      <c r="U5" s="12">
        <f t="shared" si="6"/>
      </c>
      <c r="V5" s="12">
        <f t="shared" si="7"/>
      </c>
      <c r="W5" s="48">
        <f>IF(OR(Flag="Ignore",Flag="Hole",Flag="Det"),"",ACOS((Xnorm*VertexCalc!Xnorm+Ynorm*VertexCalc!Ynorm)/(SQRT(Xnorm^2+Ynorm^2)*SQRT(VertexCalc!Xnorm^2+VertexCalc!Ynorm^2)))*180/PI()*SIGN(Xnorm*Ynorm))</f>
      </c>
      <c r="X5" s="61">
        <f>IF(OR(Flag="Ignore",Flag="Hole",Flag="Det"),"",(1-(Xnorm*GutCalc!Xnorm+Ynorm*GutCalc!Ynorm)/(SQRT(Xnorm^2+Ynorm^2)*SQRT(GutCalc!Xnorm^2+GutCalc!Ynorm^2))))</f>
      </c>
      <c r="Y5" s="48">
        <f>IF(OR(Flag="Ignore",Flag="Hole",Flag="Det"),"",VertexCalc!Xsag*COS(Theta*PI()/180)-VertexCalc!Ysag*SIN(Theta*PI()/180))</f>
      </c>
      <c r="Z5" s="48">
        <f>IF(OR(Flag="Ignore",Flag="Hole",Flag="Det"),"",VertexCalc!Xsag*SIN(Theta*PI()/180)+VertexCalc!Ysag*COS(Theta*PI()/180))</f>
      </c>
      <c r="AA5" s="48">
        <f>IF(OR(Flag="Ignore",Flag="Hole",Flag="Det"),"",VertexCalc!Zsag)</f>
      </c>
      <c r="AB5" s="49">
        <f t="shared" si="16"/>
      </c>
    </row>
    <row r="6" spans="3:31" ht="12.75">
      <c r="C6" s="18"/>
      <c r="D6" s="19" t="s">
        <v>84</v>
      </c>
      <c r="E6" s="19"/>
      <c r="F6" s="21">
        <f ca="1" t="shared" si="8"/>
        <v>132.089046</v>
      </c>
      <c r="G6" s="21">
        <f ca="1" t="shared" si="0"/>
        <v>-21.110403</v>
      </c>
      <c r="H6" s="21">
        <f ca="1" t="shared" si="0"/>
        <v>-92.123671</v>
      </c>
      <c r="I6" s="21">
        <f t="shared" si="9"/>
        <v>-96.93295700000002</v>
      </c>
      <c r="J6" s="21">
        <f t="shared" si="10"/>
        <v>-0.7556360000000026</v>
      </c>
      <c r="K6" s="21">
        <f t="shared" si="11"/>
        <v>-3.2975190000000083</v>
      </c>
      <c r="L6" s="20">
        <f t="shared" si="1"/>
        <v>96.9919727095171</v>
      </c>
      <c r="M6" s="20">
        <f t="shared" si="2"/>
        <v>-0.9993915402701022</v>
      </c>
      <c r="N6" s="20">
        <f t="shared" si="3"/>
        <v>-0.007790706580049358</v>
      </c>
      <c r="O6" s="20">
        <f t="shared" si="4"/>
        <v>-0.03399785474902963</v>
      </c>
      <c r="P6" s="20">
        <f t="shared" si="12"/>
        <v>1.8576483563603174</v>
      </c>
      <c r="Q6" s="20">
        <f t="shared" si="13"/>
        <v>0.10627744567888708</v>
      </c>
      <c r="R6" s="20">
        <f t="shared" si="14"/>
        <v>-0.4696841876709521</v>
      </c>
      <c r="S6" s="20">
        <f t="shared" si="15"/>
        <v>1.919050689141988</v>
      </c>
      <c r="T6" s="20">
        <f t="shared" si="5"/>
        <v>0.9680037983732864</v>
      </c>
      <c r="U6" s="20">
        <f t="shared" si="6"/>
        <v>0.05538021808397566</v>
      </c>
      <c r="V6" s="20">
        <f t="shared" si="7"/>
        <v>-0.24474819259774164</v>
      </c>
      <c r="W6" s="45">
        <f>IF(OR(Flag="Ignore",Flag="Hole",Flag="Det"),"",ACOS((Xnorm*VertexCalc!Xnorm+Ynorm*VertexCalc!Ynorm)/(SQRT(Xnorm^2+Ynorm^2)*SQRT(VertexCalc!Xnorm^2+VertexCalc!Ynorm^2)))*180/PI()*SIGN(Xnorm*Ynorm))</f>
        <v>3.274364913555407</v>
      </c>
      <c r="X6" s="64">
        <f>IF(OR(Flag="Ignore",Flag="Hole",Flag="Det"),"",(1-(Xnorm*GutCalc!Xnorm+Ynorm*GutCalc!Ynorm)/(SQRT(Xnorm^2+Ynorm^2)*SQRT(GutCalc!Xnorm^2+GutCalc!Ynorm^2))))</f>
        <v>0.0016325282068733182</v>
      </c>
      <c r="Y6" s="45">
        <f>IF(OR(Flag="Ignore",Flag="Hole",Flag="Det"),"",VertexCalc!Xsag*COS(Theta*PI()/180)-VertexCalc!Ysag*SIN(Theta*PI()/180))</f>
        <v>-0.05711734644922337</v>
      </c>
      <c r="Z6" s="45">
        <f>IF(OR(Flag="Ignore",Flag="Hole",Flag="Det"),"",VertexCalc!Xsag*SIN(Theta*PI()/180)+VertexCalc!Ysag*COS(Theta*PI()/180))</f>
        <v>0.9983674717931266</v>
      </c>
      <c r="AA6" s="45">
        <f>IF(OR(Flag="Ignore",Flag="Hole",Flag="Det"),"",VertexCalc!Zsag)</f>
        <v>0</v>
      </c>
      <c r="AB6" s="46">
        <f t="shared" si="16"/>
        <v>90.00000000000001</v>
      </c>
      <c r="AD6" s="30"/>
      <c r="AE6" s="30"/>
    </row>
    <row r="7" spans="3:28" ht="12.75">
      <c r="C7" s="18"/>
      <c r="D7" s="19" t="s">
        <v>86</v>
      </c>
      <c r="E7" s="19"/>
      <c r="F7" s="21">
        <f ca="1" t="shared" si="8"/>
        <v>316.115744</v>
      </c>
      <c r="G7" s="21">
        <f ca="1" t="shared" si="0"/>
        <v>0.00704</v>
      </c>
      <c r="H7" s="21">
        <f ca="1" t="shared" si="0"/>
        <v>-200.122747</v>
      </c>
      <c r="I7" s="21">
        <f t="shared" si="9"/>
        <v>184.026698</v>
      </c>
      <c r="J7" s="21">
        <f t="shared" si="10"/>
        <v>21.117443</v>
      </c>
      <c r="K7" s="21">
        <f t="shared" si="11"/>
        <v>-107.999076</v>
      </c>
      <c r="L7" s="20">
        <f t="shared" si="1"/>
        <v>214.41915117940195</v>
      </c>
      <c r="M7" s="20">
        <f t="shared" si="2"/>
        <v>0.8582568160902151</v>
      </c>
      <c r="N7" s="20">
        <f t="shared" si="3"/>
        <v>0.09848673909883772</v>
      </c>
      <c r="O7" s="20">
        <f t="shared" si="4"/>
        <v>-0.5036820424199817</v>
      </c>
      <c r="P7" s="20">
        <f t="shared" si="12"/>
        <v>-1.8488477203500944</v>
      </c>
      <c r="Q7" s="20">
        <f t="shared" si="13"/>
        <v>5.110376843919795E-10</v>
      </c>
      <c r="R7" s="20">
        <f t="shared" si="14"/>
        <v>0.5987084730517365</v>
      </c>
      <c r="S7" s="20">
        <f t="shared" si="15"/>
        <v>1.9433707131547708</v>
      </c>
      <c r="T7" s="20">
        <f t="shared" si="5"/>
        <v>-0.9513613166212469</v>
      </c>
      <c r="U7" s="20">
        <f t="shared" si="6"/>
        <v>2.629645908177686E-10</v>
      </c>
      <c r="V7" s="20">
        <f t="shared" si="7"/>
        <v>0.3080773364541565</v>
      </c>
      <c r="W7" s="45">
        <f>IF(OR(Flag="Ignore",Flag="Hole",Flag="Det"),"",ACOS((Xnorm*VertexCalc!Xnorm+Ynorm*VertexCalc!Ynorm)/(SQRT(Xnorm^2+Ynorm^2)*SQRT(VertexCalc!Xnorm^2+VertexCalc!Ynorm^2)))*180/PI()*SIGN(Xnorm*Ynorm))</f>
        <v>0</v>
      </c>
      <c r="X7" s="64">
        <f>IF(OR(Flag="Ignore",Flag="Hole",Flag="Det"),"",(1-(Xnorm*GutCalc!Xnorm+Ynorm*GutCalc!Ynorm)/(SQRT(Xnorm^2+Ynorm^2)*SQRT(GutCalc!Xnorm^2+GutCalc!Ynorm^2))))</f>
        <v>0</v>
      </c>
      <c r="Y7" s="45">
        <f>IF(OR(Flag="Ignore",Flag="Hole",Flag="Det"),"",VertexCalc!Xsag*COS(Theta*PI()/180)-VertexCalc!Ysag*SIN(Theta*PI()/180))</f>
        <v>0</v>
      </c>
      <c r="Z7" s="45">
        <f>IF(OR(Flag="Ignore",Flag="Hole",Flag="Det"),"",VertexCalc!Xsag*SIN(Theta*PI()/180)+VertexCalc!Ysag*COS(Theta*PI()/180))</f>
        <v>1</v>
      </c>
      <c r="AA7" s="45">
        <f>IF(OR(Flag="Ignore",Flag="Hole",Flag="Det"),"",VertexCalc!Zsag)</f>
        <v>0</v>
      </c>
      <c r="AB7" s="46">
        <f t="shared" si="16"/>
        <v>89.99999998493324</v>
      </c>
    </row>
    <row r="8" spans="3:28" s="5" customFormat="1" ht="13.5" thickBot="1">
      <c r="C8" s="37"/>
      <c r="D8" s="38" t="s">
        <v>87</v>
      </c>
      <c r="E8" s="38"/>
      <c r="F8" s="39">
        <f ca="1" t="shared" si="8"/>
        <v>120.054658</v>
      </c>
      <c r="G8" s="39">
        <f ca="1" t="shared" si="0"/>
        <v>19.499867</v>
      </c>
      <c r="H8" s="39">
        <f ca="1" t="shared" si="0"/>
        <v>-181.314796</v>
      </c>
      <c r="I8" s="39">
        <f t="shared" si="9"/>
        <v>-196.061086</v>
      </c>
      <c r="J8" s="39">
        <f t="shared" si="10"/>
        <v>19.492827</v>
      </c>
      <c r="K8" s="39">
        <f t="shared" si="11"/>
        <v>18.807951000000003</v>
      </c>
      <c r="L8" s="40">
        <f t="shared" si="1"/>
        <v>197.92336589895018</v>
      </c>
      <c r="M8" s="40">
        <f t="shared" si="2"/>
        <v>-0.9905909042598792</v>
      </c>
      <c r="N8" s="40">
        <f t="shared" si="3"/>
        <v>0.0984867396098754</v>
      </c>
      <c r="O8" s="40">
        <f t="shared" si="4"/>
        <v>0.09502643063175475</v>
      </c>
      <c r="P8" s="40">
        <f t="shared" si="12"/>
        <v>1.902079501569418</v>
      </c>
      <c r="Q8" s="40">
        <f t="shared" si="13"/>
        <v>-0.13816254814672796</v>
      </c>
      <c r="R8" s="40">
        <f t="shared" si="14"/>
        <v>-0.5044337671459364</v>
      </c>
      <c r="S8" s="40">
        <f t="shared" si="15"/>
        <v>1.9726755296900713</v>
      </c>
      <c r="T8" s="40">
        <f t="shared" si="5"/>
        <v>0.9642130562993577</v>
      </c>
      <c r="U8" s="40">
        <f t="shared" si="6"/>
        <v>-0.07003815177270171</v>
      </c>
      <c r="V8" s="40">
        <f t="shared" si="7"/>
        <v>-0.25571046000919795</v>
      </c>
      <c r="W8" s="65">
        <f>IF(OR(Flag="Ignore",Flag="Hole",Flag="Det"),"",ACOS((Xnorm*VertexCalc!Xnorm+Ynorm*VertexCalc!Ynorm)/(SQRT(Xnorm^2+Ynorm^2)*SQRT(VertexCalc!Xnorm^2+VertexCalc!Ynorm^2)))*180/PI()*SIGN(Xnorm*Ynorm))</f>
        <v>-4.154533166530466</v>
      </c>
      <c r="X8" s="66">
        <f>IF(OR(Flag="Ignore",Flag="Hole",Flag="Det"),"",(1-(Xnorm*GutCalc!Xnorm+Ynorm*GutCalc!Ynorm)/(SQRT(Xnorm^2+Ynorm^2)*SQRT(GutCalc!Xnorm^2+GutCalc!Ynorm^2))))</f>
        <v>0.0026277189193376627</v>
      </c>
      <c r="Y8" s="65">
        <f>IF(OR(Flag="Ignore",Flag="Hole",Flag="Det"),"",VertexCalc!Xsag*COS(Theta*PI()/180)-VertexCalc!Ysag*SIN(Theta*PI()/180))</f>
        <v>0.07244675929230021</v>
      </c>
      <c r="Z8" s="65">
        <f>IF(OR(Flag="Ignore",Flag="Hole",Flag="Det"),"",VertexCalc!Xsag*SIN(Theta*PI()/180)+VertexCalc!Ysag*COS(Theta*PI()/180))</f>
        <v>0.9973722810806622</v>
      </c>
      <c r="AA8" s="65">
        <f>IF(OR(Flag="Ignore",Flag="Hole",Flag="Det"),"",VertexCalc!Zsag)</f>
        <v>0</v>
      </c>
      <c r="AB8" s="67">
        <f t="shared" si="16"/>
        <v>90.00000000000001</v>
      </c>
    </row>
    <row r="9" spans="3:28" ht="12.75">
      <c r="C9" s="10" t="s">
        <v>111</v>
      </c>
      <c r="D9" s="11" t="s">
        <v>90</v>
      </c>
      <c r="E9" s="11"/>
      <c r="F9" s="13">
        <f ca="1" t="shared" si="8"/>
        <v>296.20107</v>
      </c>
      <c r="G9" s="13">
        <f ca="1" t="shared" si="0"/>
        <v>11.832463</v>
      </c>
      <c r="H9" s="13">
        <f ca="1" t="shared" si="0"/>
        <v>-260.433321</v>
      </c>
      <c r="I9" s="13">
        <f t="shared" si="9"/>
        <v>176.146412</v>
      </c>
      <c r="J9" s="13">
        <f t="shared" si="10"/>
        <v>-7.667403999999998</v>
      </c>
      <c r="K9" s="13">
        <f t="shared" si="11"/>
        <v>-79.11852499999998</v>
      </c>
      <c r="L9" s="12">
        <f t="shared" si="1"/>
        <v>193.25136103724748</v>
      </c>
      <c r="M9" s="12">
        <f t="shared" si="2"/>
        <v>0.911488597309539</v>
      </c>
      <c r="N9" s="12">
        <f t="shared" si="3"/>
        <v>-0.03967580853685255</v>
      </c>
      <c r="O9" s="12">
        <f t="shared" si="4"/>
        <v>-0.4094073365141816</v>
      </c>
      <c r="P9" s="12">
        <f t="shared" si="12"/>
        <v>-1.9060960045783064</v>
      </c>
      <c r="Q9" s="12">
        <f t="shared" si="13"/>
        <v>0.06360154389549083</v>
      </c>
      <c r="R9" s="12">
        <f t="shared" si="14"/>
        <v>0.30849319184829005</v>
      </c>
      <c r="S9" s="12">
        <f t="shared" si="15"/>
        <v>1.9319459579584568</v>
      </c>
      <c r="T9" s="12">
        <f t="shared" si="5"/>
        <v>-0.9866197326723016</v>
      </c>
      <c r="U9" s="12">
        <f t="shared" si="6"/>
        <v>0.03292097464398042</v>
      </c>
      <c r="V9" s="12">
        <f t="shared" si="7"/>
        <v>0.15968003172008172</v>
      </c>
      <c r="W9" s="48">
        <f>IF(OR(Flag="Ignore",Flag="Hole",Flag="Det"),"",ACOS((Xnorm*VertexCalc!Xnorm+Ynorm*VertexCalc!Ynorm)/(SQRT(Xnorm^2+Ynorm^2)*SQRT(VertexCalc!Xnorm^2+VertexCalc!Ynorm^2)))*180/PI()*SIGN(Xnorm*Ynorm))</f>
        <v>-1.9111044247943842</v>
      </c>
      <c r="X9" s="61">
        <f>IF(OR(Flag="Ignore",Flag="Hole",Flag="Det"),"",(1-(Xnorm*GutCalc!Xnorm+Ynorm*GutCalc!Ynorm)/(SQRT(Xnorm^2+Ynorm^2)*SQRT(GutCalc!Xnorm^2+GutCalc!Ynorm^2))))</f>
        <v>0.0005562285932794175</v>
      </c>
      <c r="Y9" s="48">
        <f>IF(OR(Flag="Ignore",Flag="Hole",Flag="Det"),"",VertexCalc!Xsag*COS(Theta*PI()/180)-VertexCalc!Ysag*SIN(Theta*PI()/180))</f>
        <v>0.033348879985856575</v>
      </c>
      <c r="Z9" s="48">
        <f>IF(OR(Flag="Ignore",Flag="Hole",Flag="Det"),"",VertexCalc!Xsag*SIN(Theta*PI()/180)+VertexCalc!Ysag*COS(Theta*PI()/180))</f>
        <v>0.9994437714067205</v>
      </c>
      <c r="AA9" s="48">
        <f>IF(OR(Flag="Ignore",Flag="Hole",Flag="Det"),"",VertexCalc!Zsag)</f>
        <v>0</v>
      </c>
      <c r="AB9" s="49">
        <f t="shared" si="16"/>
        <v>90.0000000000001</v>
      </c>
    </row>
    <row r="10" spans="3:28" ht="12.75">
      <c r="C10" s="18"/>
      <c r="D10" s="19" t="s">
        <v>93</v>
      </c>
      <c r="E10" s="19"/>
      <c r="F10" s="21">
        <f ca="1" t="shared" si="8"/>
        <v>94.24581</v>
      </c>
      <c r="G10" s="21">
        <f ca="1" t="shared" si="0"/>
        <v>16.690589</v>
      </c>
      <c r="H10" s="21">
        <f ca="1" t="shared" si="0"/>
        <v>-280.923961</v>
      </c>
      <c r="I10" s="21">
        <f t="shared" si="9"/>
        <v>-201.95526</v>
      </c>
      <c r="J10" s="21">
        <f t="shared" si="10"/>
        <v>4.858125999999999</v>
      </c>
      <c r="K10" s="21">
        <f t="shared" si="11"/>
        <v>-20.49064000000004</v>
      </c>
      <c r="L10" s="20">
        <f t="shared" si="1"/>
        <v>203.05022717916145</v>
      </c>
      <c r="M10" s="20">
        <f t="shared" si="2"/>
        <v>-0.9946074072687675</v>
      </c>
      <c r="N10" s="20">
        <f t="shared" si="3"/>
        <v>0.02392573535863828</v>
      </c>
      <c r="O10" s="20">
        <f t="shared" si="4"/>
        <v>-0.10091414466589155</v>
      </c>
      <c r="P10" s="20">
        <f t="shared" si="12"/>
        <v>1.7735807286435192</v>
      </c>
      <c r="Q10" s="20">
        <f t="shared" si="13"/>
        <v>-0.09343302945652342</v>
      </c>
      <c r="R10" s="20">
        <f t="shared" si="14"/>
        <v>-0.5222786831599573</v>
      </c>
      <c r="S10" s="20">
        <f t="shared" si="15"/>
        <v>1.8512410310093061</v>
      </c>
      <c r="T10" s="20">
        <f t="shared" si="5"/>
        <v>0.9580495996658813</v>
      </c>
      <c r="U10" s="20">
        <f t="shared" si="6"/>
        <v>-0.05047048325499962</v>
      </c>
      <c r="V10" s="20">
        <f t="shared" si="7"/>
        <v>-0.2821235454549148</v>
      </c>
      <c r="W10" s="45">
        <f>IF(OR(Flag="Ignore",Flag="Hole",Flag="Det"),"",ACOS((Xnorm*VertexCalc!Xnorm+Ynorm*VertexCalc!Ynorm)/(SQRT(Xnorm^2+Ynorm^2)*SQRT(VertexCalc!Xnorm^2+VertexCalc!Ynorm^2)))*180/PI()*SIGN(Xnorm*Ynorm))</f>
        <v>-3.0155798205953874</v>
      </c>
      <c r="X10" s="64">
        <f>IF(OR(Flag="Ignore",Flag="Hole",Flag="Det"),"",(1-(Xnorm*GutCalc!Xnorm+Ynorm*GutCalc!Ynorm)/(SQRT(Xnorm^2+Ynorm^2)*SQRT(GutCalc!Xnorm^2+GutCalc!Ynorm^2))))</f>
        <v>0.0013847333141879803</v>
      </c>
      <c r="Y10" s="45">
        <f>IF(OR(Flag="Ignore",Flag="Hole",Flag="Det"),"",VertexCalc!Xsag*COS(Theta*PI()/180)-VertexCalc!Ysag*SIN(Theta*PI()/180))</f>
        <v>0.05260750081522893</v>
      </c>
      <c r="Z10" s="45">
        <f>IF(OR(Flag="Ignore",Flag="Hole",Flag="Det"),"",VertexCalc!Xsag*SIN(Theta*PI()/180)+VertexCalc!Ysag*COS(Theta*PI()/180))</f>
        <v>0.9986152666858121</v>
      </c>
      <c r="AA10" s="45">
        <f>IF(OR(Flag="Ignore",Flag="Hole",Flag="Det"),"",VertexCalc!Zsag)</f>
        <v>0</v>
      </c>
      <c r="AB10" s="46">
        <f t="shared" si="16"/>
        <v>90.00000000000004</v>
      </c>
    </row>
    <row r="11" spans="3:28" ht="12.75">
      <c r="C11" s="18"/>
      <c r="D11" s="19" t="s">
        <v>96</v>
      </c>
      <c r="E11" s="19"/>
      <c r="F11" s="21">
        <f ca="1" t="shared" si="8"/>
        <v>240.511584</v>
      </c>
      <c r="G11" s="21">
        <f ca="1" t="shared" si="0"/>
        <v>3.639387</v>
      </c>
      <c r="H11" s="21">
        <f ca="1" t="shared" si="0"/>
        <v>-397.939241</v>
      </c>
      <c r="I11" s="21">
        <f t="shared" si="9"/>
        <v>146.265774</v>
      </c>
      <c r="J11" s="21">
        <f t="shared" si="10"/>
        <v>-13.051202</v>
      </c>
      <c r="K11" s="21">
        <f t="shared" si="11"/>
        <v>-117.01527999999996</v>
      </c>
      <c r="L11" s="20">
        <f t="shared" si="1"/>
        <v>187.76737275400714</v>
      </c>
      <c r="M11" s="20">
        <f t="shared" si="2"/>
        <v>0.7789733213747516</v>
      </c>
      <c r="N11" s="20">
        <f t="shared" si="3"/>
        <v>-0.06950729409788514</v>
      </c>
      <c r="O11" s="20">
        <f t="shared" si="4"/>
        <v>-0.6231928278258488</v>
      </c>
      <c r="P11" s="20">
        <f t="shared" si="12"/>
        <v>-1.4607952516757998</v>
      </c>
      <c r="Q11" s="20">
        <f t="shared" si="13"/>
        <v>0.018597348263609162</v>
      </c>
      <c r="R11" s="20">
        <f t="shared" si="14"/>
        <v>-0.10655167045810798</v>
      </c>
      <c r="S11" s="20">
        <f t="shared" si="15"/>
        <v>1.4647941449768342</v>
      </c>
      <c r="T11" s="20">
        <f t="shared" si="5"/>
        <v>-0.9972699963918155</v>
      </c>
      <c r="U11" s="20">
        <f t="shared" si="6"/>
        <v>0.012696219688878727</v>
      </c>
      <c r="V11" s="20">
        <f t="shared" si="7"/>
        <v>-0.07274173700345662</v>
      </c>
      <c r="W11" s="45">
        <f>IF(OR(Flag="Ignore",Flag="Hole",Flag="Det"),"",ACOS((Xnorm*VertexCalc!Xnorm+Ynorm*VertexCalc!Ynorm)/(SQRT(Xnorm^2+Ynorm^2)*SQRT(VertexCalc!Xnorm^2+VertexCalc!Ynorm^2)))*180/PI()*SIGN(Xnorm*Ynorm))</f>
        <v>-0.7293917492750611</v>
      </c>
      <c r="X11" s="64">
        <f>IF(OR(Flag="Ignore",Flag="Hole",Flag="Det"),"",(1-(Xnorm*GutCalc!Xnorm+Ynorm*GutCalc!Ynorm)/(SQRT(Xnorm^2+Ynorm^2)*SQRT(GutCalc!Xnorm^2+GutCalc!Ynorm^2))))</f>
        <v>8.102901639484017E-05</v>
      </c>
      <c r="Y11" s="45">
        <f>IF(OR(Flag="Ignore",Flag="Hole",Flag="Det"),"",VertexCalc!Xsag*COS(Theta*PI()/180)-VertexCalc!Ysag*SIN(Theta*PI()/180))</f>
        <v>0.012729943718980154</v>
      </c>
      <c r="Z11" s="45">
        <f>IF(OR(Flag="Ignore",Flag="Hole",Flag="Det"),"",VertexCalc!Xsag*SIN(Theta*PI()/180)+VertexCalc!Ysag*COS(Theta*PI()/180))</f>
        <v>0.999918970983605</v>
      </c>
      <c r="AA11" s="45">
        <f>IF(OR(Flag="Ignore",Flag="Hole",Flag="Det"),"",VertexCalc!Zsag)</f>
        <v>0</v>
      </c>
      <c r="AB11" s="46">
        <f t="shared" si="16"/>
        <v>90.00000000000058</v>
      </c>
    </row>
    <row r="12" spans="3:28" ht="12.75">
      <c r="C12" s="18"/>
      <c r="D12" s="19" t="s">
        <v>97</v>
      </c>
      <c r="E12" s="19" t="s">
        <v>146</v>
      </c>
      <c r="F12" s="21">
        <f ca="1" t="shared" si="8"/>
        <v>192.85285</v>
      </c>
      <c r="G12" s="21">
        <f ca="1" t="shared" si="0"/>
        <v>0.080828</v>
      </c>
      <c r="H12" s="21">
        <f ca="1" t="shared" si="0"/>
        <v>-448.947719</v>
      </c>
      <c r="I12" s="21">
        <f t="shared" si="9"/>
        <v>-47.65873400000001</v>
      </c>
      <c r="J12" s="21">
        <f t="shared" si="10"/>
        <v>-3.5585590000000002</v>
      </c>
      <c r="K12" s="21">
        <f t="shared" si="11"/>
        <v>-51.008478000000025</v>
      </c>
      <c r="L12" s="20">
        <f t="shared" si="1"/>
        <v>69.89909224386054</v>
      </c>
      <c r="M12" s="20">
        <f t="shared" si="2"/>
        <v>-0.6818219303010481</v>
      </c>
      <c r="N12" s="20">
        <f t="shared" si="3"/>
        <v>-0.05090994583427598</v>
      </c>
      <c r="O12" s="20">
        <f t="shared" si="4"/>
        <v>-0.7297444982839568</v>
      </c>
      <c r="P12" s="20">
        <f t="shared" si="12"/>
      </c>
      <c r="Q12" s="20">
        <f t="shared" si="13"/>
      </c>
      <c r="R12" s="20">
        <f t="shared" si="14"/>
      </c>
      <c r="S12" s="20">
        <f t="shared" si="15"/>
      </c>
      <c r="T12" s="20">
        <f t="shared" si="5"/>
      </c>
      <c r="U12" s="20">
        <f t="shared" si="6"/>
      </c>
      <c r="V12" s="20">
        <f t="shared" si="7"/>
      </c>
      <c r="W12" s="45">
        <f>IF(OR(Flag="Ignore",Flag="Hole",Flag="Det"),"",ACOS((Xnorm*VertexCalc!Xnorm+Ynorm*VertexCalc!Ynorm)/(SQRT(Xnorm^2+Ynorm^2)*SQRT(VertexCalc!Xnorm^2+VertexCalc!Ynorm^2)))*180/PI()*SIGN(Xnorm*Ynorm))</f>
      </c>
      <c r="X12" s="64">
        <f>IF(OR(Flag="Ignore",Flag="Hole",Flag="Det"),"",(1-(Xnorm*GutCalc!Xnorm+Ynorm*GutCalc!Ynorm)/(SQRT(Xnorm^2+Ynorm^2)*SQRT(GutCalc!Xnorm^2+GutCalc!Ynorm^2))))</f>
      </c>
      <c r="Y12" s="45">
        <f>IF(OR(Flag="Ignore",Flag="Hole",Flag="Det"),"",VertexCalc!Xsag*COS(Theta*PI()/180)-VertexCalc!Ysag*SIN(Theta*PI()/180))</f>
      </c>
      <c r="Z12" s="45">
        <f>IF(OR(Flag="Ignore",Flag="Hole",Flag="Det"),"",VertexCalc!Xsag*SIN(Theta*PI()/180)+VertexCalc!Ysag*COS(Theta*PI()/180))</f>
      </c>
      <c r="AA12" s="45">
        <f>IF(OR(Flag="Ignore",Flag="Hole",Flag="Det"),"",VertexCalc!Zsag)</f>
      </c>
      <c r="AB12" s="46">
        <f t="shared" si="16"/>
      </c>
    </row>
    <row r="13" spans="3:28" ht="13.5" thickBot="1">
      <c r="C13" s="14"/>
      <c r="D13" s="15" t="s">
        <v>98</v>
      </c>
      <c r="E13" s="15"/>
      <c r="F13" s="17">
        <f ca="1" t="shared" si="8"/>
        <v>104.270608</v>
      </c>
      <c r="G13" s="17">
        <f ca="1" t="shared" si="0"/>
        <v>-6.533386</v>
      </c>
      <c r="H13" s="17">
        <f ca="1" t="shared" si="0"/>
        <v>-543.756057</v>
      </c>
      <c r="I13" s="17">
        <f t="shared" si="9"/>
        <v>-88.582242</v>
      </c>
      <c r="J13" s="17">
        <f t="shared" si="10"/>
        <v>-6.6142140000000005</v>
      </c>
      <c r="K13" s="17">
        <f t="shared" si="11"/>
        <v>-94.80833800000005</v>
      </c>
      <c r="L13" s="16">
        <f t="shared" si="1"/>
        <v>129.91990755425672</v>
      </c>
      <c r="M13" s="16">
        <f t="shared" si="2"/>
        <v>-0.6818219291220368</v>
      </c>
      <c r="N13" s="16">
        <f t="shared" si="3"/>
        <v>-0.050909934624436166</v>
      </c>
      <c r="O13" s="16">
        <f t="shared" si="4"/>
        <v>-0.729744500167586</v>
      </c>
      <c r="P13" s="16">
        <f t="shared" si="12"/>
        <v>1.6737811169087031</v>
      </c>
      <c r="Q13" s="16">
        <f t="shared" si="13"/>
        <v>0.035008029571202304</v>
      </c>
      <c r="R13" s="16">
        <f t="shared" si="14"/>
        <v>0.8552996640649528</v>
      </c>
      <c r="S13" s="16">
        <f t="shared" si="15"/>
        <v>1.8799750808998041</v>
      </c>
      <c r="T13" s="16">
        <f t="shared" si="5"/>
        <v>0.8903209058002985</v>
      </c>
      <c r="U13" s="16">
        <f t="shared" si="6"/>
        <v>0.01862153915063947</v>
      </c>
      <c r="V13" s="16">
        <f t="shared" si="7"/>
        <v>0.45495266014674224</v>
      </c>
      <c r="W13" s="51">
        <f>IF(OR(Flag="Ignore",Flag="Hole",Flag="Det"),"",ACOS((Xnorm*VertexCalc!Xnorm+Ynorm*VertexCalc!Ynorm)/(SQRT(Xnorm^2+Ynorm^2)*SQRT(VertexCalc!Xnorm^2+VertexCalc!Ynorm^2)))*180/PI()*SIGN(Xnorm*Ynorm))</f>
        <v>1.198197250919223</v>
      </c>
      <c r="X13" s="62">
        <f>IF(OR(Flag="Ignore",Flag="Hole",Flag="Det"),"",(1-(Xnorm*GutCalc!Xnorm+Ynorm*GutCalc!Ynorm)/(SQRT(Xnorm^2+Ynorm^2)*SQRT(GutCalc!Xnorm^2+GutCalc!Ynorm^2))))</f>
        <v>0.00021865808968224432</v>
      </c>
      <c r="Y13" s="51">
        <f>IF(OR(Flag="Ignore",Flag="Hole",Flag="Det"),"",VertexCalc!Xsag*COS(Theta*PI()/180)-VertexCalc!Ysag*SIN(Theta*PI()/180))</f>
        <v>-0.020910962866503787</v>
      </c>
      <c r="Z13" s="51">
        <f>IF(OR(Flag="Ignore",Flag="Hole",Flag="Det"),"",VertexCalc!Xsag*SIN(Theta*PI()/180)+VertexCalc!Ysag*COS(Theta*PI()/180))</f>
        <v>0.9997813419103178</v>
      </c>
      <c r="AA13" s="51">
        <f>IF(OR(Flag="Ignore",Flag="Hole",Flag="Det"),"",VertexCalc!Zsag)</f>
        <v>0</v>
      </c>
      <c r="AB13" s="52">
        <f t="shared" si="16"/>
        <v>90.00000000000001</v>
      </c>
    </row>
    <row r="14" spans="3:28" ht="12.75">
      <c r="C14" s="10" t="s">
        <v>112</v>
      </c>
      <c r="D14" s="11" t="s">
        <v>100</v>
      </c>
      <c r="E14" s="11"/>
      <c r="F14" s="13">
        <f ca="1" t="shared" si="8"/>
        <v>238.116781</v>
      </c>
      <c r="G14" s="13">
        <f ca="1" t="shared" si="0"/>
        <v>-8.679048</v>
      </c>
      <c r="H14" s="13">
        <f ca="1" t="shared" si="0"/>
        <v>-526.814757</v>
      </c>
      <c r="I14" s="13">
        <f t="shared" si="9"/>
        <v>133.84617300000002</v>
      </c>
      <c r="J14" s="13">
        <f t="shared" si="10"/>
        <v>-2.1456619999999997</v>
      </c>
      <c r="K14" s="13">
        <f t="shared" si="11"/>
        <v>16.94130000000007</v>
      </c>
      <c r="L14" s="12">
        <f t="shared" si="1"/>
        <v>134.9311288689685</v>
      </c>
      <c r="M14" s="12">
        <f t="shared" si="2"/>
        <v>0.9919591877866665</v>
      </c>
      <c r="N14" s="12">
        <f t="shared" si="3"/>
        <v>-0.015901905053233863</v>
      </c>
      <c r="O14" s="12">
        <f t="shared" si="4"/>
        <v>0.12555516389736687</v>
      </c>
      <c r="P14" s="12">
        <f t="shared" si="12"/>
        <v>-1.7219878092506353</v>
      </c>
      <c r="Q14" s="12">
        <f t="shared" si="13"/>
        <v>2.6450244841602633E-09</v>
      </c>
      <c r="R14" s="12">
        <f t="shared" si="14"/>
        <v>-0.8087867068922853</v>
      </c>
      <c r="S14" s="12">
        <f t="shared" si="15"/>
        <v>1.9024662815549374</v>
      </c>
      <c r="T14" s="12">
        <f t="shared" si="5"/>
        <v>-0.9051344698962065</v>
      </c>
      <c r="U14" s="12">
        <f t="shared" si="6"/>
        <v>1.3903134630057217E-09</v>
      </c>
      <c r="V14" s="12">
        <f t="shared" si="7"/>
        <v>-0.42512538315856085</v>
      </c>
      <c r="W14" s="48">
        <f>IF(OR(Flag="Ignore",Flag="Hole",Flag="Det"),"",ACOS((Xnorm*VertexCalc!Xnorm+Ynorm*VertexCalc!Ynorm)/(SQRT(Xnorm^2+Ynorm^2)*SQRT(VertexCalc!Xnorm^2+VertexCalc!Ynorm^2)))*180/PI()*SIGN(Xnorm*Ynorm))</f>
        <v>0</v>
      </c>
      <c r="X14" s="61" t="e">
        <f>IF(OR(Flag="Ignore",Flag="Hole",Flag="Det"),"",(1-(Xnorm*GutCalc!Xnorm+Ynorm*GutCalc!Ynorm)/(SQRT(Xnorm^2+Ynorm^2)*SQRT(GutCalc!Xnorm^2+GutCalc!Ynorm^2))))</f>
        <v>#VALUE!</v>
      </c>
      <c r="Y14" s="48">
        <f>IF(OR(Flag="Ignore",Flag="Hole",Flag="Det"),"",VertexCalc!Xsag*COS(Theta*PI()/180)-VertexCalc!Ysag*SIN(Theta*PI()/180))</f>
        <v>0</v>
      </c>
      <c r="Z14" s="48">
        <f>IF(OR(Flag="Ignore",Flag="Hole",Flag="Det"),"",VertexCalc!Xsag*SIN(Theta*PI()/180)+VertexCalc!Ysag*COS(Theta*PI()/180))</f>
        <v>1</v>
      </c>
      <c r="AA14" s="48">
        <f>IF(OR(Flag="Ignore",Flag="Hole",Flag="Det"),"",VertexCalc!Zsag)</f>
        <v>0</v>
      </c>
      <c r="AB14" s="49">
        <f t="shared" si="16"/>
        <v>89.9999999203409</v>
      </c>
    </row>
    <row r="15" spans="3:28" ht="12.75">
      <c r="C15" s="18"/>
      <c r="D15" s="19" t="s">
        <v>102</v>
      </c>
      <c r="E15" s="19"/>
      <c r="F15" s="21">
        <f ca="1" t="shared" si="8"/>
        <v>131.35487999999998</v>
      </c>
      <c r="G15" s="21">
        <f ca="1" t="shared" si="0"/>
        <v>-11.004597</v>
      </c>
      <c r="H15" s="21">
        <f ca="1" t="shared" si="0"/>
        <v>-626.732892</v>
      </c>
      <c r="I15" s="21">
        <f t="shared" si="9"/>
        <v>-106.76190100000002</v>
      </c>
      <c r="J15" s="21">
        <f t="shared" si="10"/>
        <v>-2.3255490000000005</v>
      </c>
      <c r="K15" s="21">
        <f t="shared" si="11"/>
        <v>-99.918135</v>
      </c>
      <c r="L15" s="20">
        <f t="shared" si="1"/>
        <v>146.2434456143708</v>
      </c>
      <c r="M15" s="20">
        <f t="shared" si="2"/>
        <v>-0.7300286214639689</v>
      </c>
      <c r="N15" s="20">
        <f t="shared" si="3"/>
        <v>-0.01590190240820938</v>
      </c>
      <c r="O15" s="20">
        <f t="shared" si="4"/>
        <v>-0.6832315429949184</v>
      </c>
      <c r="P15" s="20">
        <f t="shared" si="12"/>
        <v>0.7177706296589029</v>
      </c>
      <c r="Q15" s="20">
        <f t="shared" si="13"/>
        <v>-0.9839711912844178</v>
      </c>
      <c r="R15" s="20">
        <f t="shared" si="14"/>
        <v>0.6730561733976289</v>
      </c>
      <c r="S15" s="20">
        <f t="shared" si="15"/>
        <v>1.3915453979756727</v>
      </c>
      <c r="T15" s="20">
        <f t="shared" si="5"/>
        <v>0.5158082738105905</v>
      </c>
      <c r="U15" s="20">
        <f t="shared" si="6"/>
        <v>-0.7071067840947435</v>
      </c>
      <c r="V15" s="20">
        <f t="shared" si="7"/>
        <v>0.4836753255601622</v>
      </c>
      <c r="W15" s="45">
        <f>IF(OR(Flag="Ignore",Flag="Hole",Flag="Det"),"",ACOS((Xnorm*VertexCalc!Xnorm+Ynorm*VertexCalc!Ynorm)/(SQRT(Xnorm^2+Ynorm^2)*SQRT(VertexCalc!Xnorm^2+VertexCalc!Ynorm^2)))*180/PI()*SIGN(Xnorm*Ynorm))</f>
        <v>-8.537736462515939E-07</v>
      </c>
      <c r="X15" s="64">
        <f>IF(OR(Flag="Ignore",Flag="Hole",Flag="Det"),"",(1-(Xnorm*GutCalc!Xnorm+Ynorm*GutCalc!Ynorm)/(SQRT(Xnorm^2+Ynorm^2)*SQRT(GutCalc!Xnorm^2+GutCalc!Ynorm^2))))</f>
        <v>1.1102230246251565E-16</v>
      </c>
      <c r="Y15" s="45">
        <f>IF(OR(Flag="Ignore",Flag="Hole",Flag="Det"),"",VertexCalc!Xsag*COS(Theta*PI()/180)-VertexCalc!Ysag*SIN(Theta*PI()/180))</f>
        <v>0.5158082923727847</v>
      </c>
      <c r="Z15" s="45">
        <f>IF(OR(Flag="Ignore",Flag="Hole",Flag="Det"),"",VertexCalc!Xsag*SIN(Theta*PI()/180)+VertexCalc!Ysag*COS(Theta*PI()/180))</f>
        <v>0.7071067735004051</v>
      </c>
      <c r="AA15" s="45">
        <f>IF(OR(Flag="Ignore",Flag="Hole",Flag="Det"),"",VertexCalc!Zsag)</f>
        <v>0.48367532125313006</v>
      </c>
      <c r="AB15" s="46">
        <f t="shared" si="16"/>
        <v>89.99999961285033</v>
      </c>
    </row>
    <row r="16" spans="3:28" ht="13.5" thickBot="1">
      <c r="C16" s="14"/>
      <c r="D16" s="15" t="s">
        <v>104</v>
      </c>
      <c r="E16" s="15" t="s">
        <v>147</v>
      </c>
      <c r="F16" s="17">
        <f ca="1" t="shared" si="8"/>
        <v>130.876814</v>
      </c>
      <c r="G16" s="17">
        <f ca="1" t="shared" si="0"/>
        <v>-50</v>
      </c>
      <c r="H16" s="17">
        <f ca="1" t="shared" si="0"/>
        <v>-627.129735</v>
      </c>
      <c r="I16" s="17">
        <f t="shared" si="9"/>
        <v>-0.4780659999999841</v>
      </c>
      <c r="J16" s="17">
        <f t="shared" si="10"/>
        <v>-38.995402999999996</v>
      </c>
      <c r="K16" s="17">
        <f t="shared" si="11"/>
        <v>-0.39684299999998984</v>
      </c>
      <c r="L16" s="16">
        <f t="shared" si="1"/>
        <v>39.00035239070814</v>
      </c>
      <c r="M16" s="16">
        <f t="shared" si="2"/>
        <v>-0.012257991805065939</v>
      </c>
      <c r="N16" s="16">
        <f t="shared" si="3"/>
        <v>-0.9998730936926272</v>
      </c>
      <c r="O16" s="16">
        <f t="shared" si="4"/>
        <v>-0.010175369597289536</v>
      </c>
      <c r="P16" s="16">
        <f t="shared" si="12"/>
      </c>
      <c r="Q16" s="16">
        <f t="shared" si="13"/>
      </c>
      <c r="R16" s="16">
        <f t="shared" si="14"/>
      </c>
      <c r="S16" s="16">
        <f t="shared" si="15"/>
      </c>
      <c r="T16" s="16">
        <f t="shared" si="5"/>
      </c>
      <c r="U16" s="16">
        <f t="shared" si="6"/>
      </c>
      <c r="V16" s="16">
        <f t="shared" si="7"/>
      </c>
      <c r="W16" s="51">
        <f>IF(OR(Flag="Ignore",Flag="Hole",Flag="Det"),"",ACOS((Xnorm*VertexCalc!Xnorm+Ynorm*VertexCalc!Ynorm)/(SQRT(Xnorm^2+Ynorm^2)*SQRT(VertexCalc!Xnorm^2+VertexCalc!Ynorm^2)))*180/PI()*SIGN(Xnorm*Ynorm))</f>
      </c>
      <c r="X16" s="62">
        <f>IF(OR(Flag="Ignore",Flag="Hole",Flag="Det"),"",(1-(Xnorm*GutCalc!Xnorm+Ynorm*GutCalc!Ynorm)/(SQRT(Xnorm^2+Ynorm^2)*SQRT(GutCalc!Xnorm^2+GutCalc!Ynorm^2))))</f>
      </c>
      <c r="Y16" s="51">
        <f>IF(OR(Flag="Ignore",Flag="Hole",Flag="Det"),"",VertexCalc!Xsag*COS(Theta*PI()/180)-VertexCalc!Ysag*SIN(Theta*PI()/180))</f>
      </c>
      <c r="Z16" s="51">
        <f>IF(OR(Flag="Ignore",Flag="Hole",Flag="Det"),"",VertexCalc!Xsag*SIN(Theta*PI()/180)+VertexCalc!Ysag*COS(Theta*PI()/180))</f>
      </c>
      <c r="AA16" s="51">
        <f>IF(OR(Flag="Ignore",Flag="Hole",Flag="Det"),"",VertexCalc!Zsag)</f>
      </c>
      <c r="AB16" s="52">
        <f t="shared" si="16"/>
      </c>
    </row>
    <row r="17" spans="4:28" ht="13.5" thickBot="1">
      <c r="D17" s="1" t="s">
        <v>100</v>
      </c>
      <c r="E17" s="1" t="s">
        <v>115</v>
      </c>
      <c r="F17" s="9">
        <f ca="1" t="shared" si="8"/>
        <v>238.116781</v>
      </c>
      <c r="G17" s="9">
        <f ca="1" t="shared" si="0"/>
        <v>-8.679048</v>
      </c>
      <c r="H17" s="9">
        <f ca="1" t="shared" si="0"/>
        <v>-526.814757</v>
      </c>
      <c r="I17" s="9">
        <f t="shared" si="9"/>
      </c>
      <c r="J17" s="9">
        <f t="shared" si="10"/>
      </c>
      <c r="K17" s="9">
        <f t="shared" si="11"/>
      </c>
      <c r="L17" s="8">
        <f t="shared" si="1"/>
      </c>
      <c r="M17" s="8">
        <f t="shared" si="2"/>
      </c>
      <c r="N17" s="8">
        <f t="shared" si="3"/>
      </c>
      <c r="O17" s="8">
        <f t="shared" si="4"/>
      </c>
      <c r="P17" s="8">
        <f t="shared" si="12"/>
      </c>
      <c r="Q17" s="8">
        <f t="shared" si="13"/>
      </c>
      <c r="R17" s="8">
        <f t="shared" si="14"/>
      </c>
      <c r="S17" s="8">
        <f t="shared" si="15"/>
      </c>
      <c r="T17" s="8">
        <f t="shared" si="5"/>
      </c>
      <c r="U17" s="8">
        <f t="shared" si="6"/>
      </c>
      <c r="V17" s="8">
        <f t="shared" si="7"/>
      </c>
      <c r="W17" s="30">
        <f>IF(OR(Flag="Ignore",Flag="Hole",Flag="Det"),"",ACOS((Xnorm*VertexCalc!Xnorm+Ynorm*VertexCalc!Ynorm)/(SQRT(Xnorm^2+Ynorm^2)*SQRT(VertexCalc!Xnorm^2+VertexCalc!Ynorm^2)))*180/PI()*SIGN(Xnorm*Ynorm))</f>
      </c>
      <c r="X17" s="34">
        <f>IF(OR(Flag="Ignore",Flag="Hole",Flag="Det"),"",(1-(Xnorm*GutCalc!Xnorm+Ynorm*GutCalc!Ynorm)/(SQRT(Xnorm^2+Ynorm^2)*SQRT(GutCalc!Xnorm^2+GutCalc!Ynorm^2))))</f>
      </c>
      <c r="Y17" s="30">
        <f>IF(OR(Flag="Ignore",Flag="Hole",Flag="Det"),"",VertexCalc!Xsag*COS(Theta*PI()/180)-VertexCalc!Ysag*SIN(Theta*PI()/180))</f>
      </c>
      <c r="Z17" s="30">
        <f>IF(OR(Flag="Ignore",Flag="Hole",Flag="Det"),"",VertexCalc!Xsag*SIN(Theta*PI()/180)+VertexCalc!Ysag*COS(Theta*PI()/180))</f>
      </c>
      <c r="AA17" s="30">
        <f>IF(OR(Flag="Ignore",Flag="Hole",Flag="Det"),"",VertexCalc!Zsag)</f>
      </c>
      <c r="AB17" s="30">
        <f t="shared" si="16"/>
      </c>
    </row>
    <row r="18" spans="3:28" ht="12.75">
      <c r="C18" s="10" t="s">
        <v>113</v>
      </c>
      <c r="D18" s="11" t="s">
        <v>105</v>
      </c>
      <c r="E18" s="11"/>
      <c r="F18" s="13">
        <f ca="1" t="shared" si="8"/>
        <v>342.331781</v>
      </c>
      <c r="G18" s="13">
        <f ca="1" t="shared" si="8"/>
        <v>-10.349698</v>
      </c>
      <c r="H18" s="13">
        <f ca="1" t="shared" si="8"/>
        <v>-513.62396</v>
      </c>
      <c r="I18" s="13">
        <f t="shared" si="9"/>
        <v>104.21499999999997</v>
      </c>
      <c r="J18" s="13">
        <f t="shared" si="10"/>
        <v>-1.6706500000000002</v>
      </c>
      <c r="K18" s="13">
        <f t="shared" si="11"/>
        <v>13.190796999999975</v>
      </c>
      <c r="L18" s="12">
        <f t="shared" si="1"/>
        <v>105.05976595213652</v>
      </c>
      <c r="M18" s="12">
        <f t="shared" si="2"/>
        <v>0.9919591868068561</v>
      </c>
      <c r="N18" s="12">
        <f t="shared" si="3"/>
        <v>-0.01590190102613707</v>
      </c>
      <c r="O18" s="12">
        <f t="shared" si="4"/>
        <v>0.12555517214848436</v>
      </c>
      <c r="P18" s="12">
        <f t="shared" si="12"/>
        <v>-1.6176886197675606</v>
      </c>
      <c r="Q18" s="12">
        <f t="shared" si="13"/>
        <v>-0.7602668734003933</v>
      </c>
      <c r="R18" s="12">
        <f t="shared" si="14"/>
        <v>-0.20317417969104992</v>
      </c>
      <c r="S18" s="12">
        <f t="shared" si="15"/>
        <v>1.7989446730259984</v>
      </c>
      <c r="T18" s="12">
        <f t="shared" si="5"/>
        <v>-0.8992431196043692</v>
      </c>
      <c r="U18" s="12">
        <f t="shared" si="6"/>
        <v>-0.42261826325183816</v>
      </c>
      <c r="V18" s="12">
        <f t="shared" si="7"/>
        <v>-0.1129407606234445</v>
      </c>
      <c r="W18" s="48">
        <f>IF(OR(Flag="Ignore",Flag="Hole",Flag="Det"),"",ACOS((Xnorm*VertexCalc!Xnorm+Ynorm*VertexCalc!Ynorm)/(SQRT(Xnorm^2+Ynorm^2)*SQRT(VertexCalc!Xnorm^2+VertexCalc!Ynorm^2)))*180/PI()*SIGN(Xnorm*Ynorm))</f>
        <v>0</v>
      </c>
      <c r="X18" s="61" t="e">
        <f>IF(OR(Flag="Ignore",Flag="Hole",Flag="Det"),"",(1-(Xnorm*GutCalc!Xnorm+Ynorm*GutCalc!Ynorm)/(SQRT(Xnorm^2+Ynorm^2)*SQRT(GutCalc!Xnorm^2+GutCalc!Ynorm^2))))</f>
        <v>#VALUE!</v>
      </c>
      <c r="Y18" s="48">
        <f>IF(OR(Flag="Ignore",Flag="Hole",Flag="Det"),"",VertexCalc!Xsag*COS(Theta*PI()/180)-VertexCalc!Ysag*SIN(Theta*PI()/180))</f>
        <v>-0.4193239540327994</v>
      </c>
      <c r="Z18" s="48">
        <f>IF(OR(Flag="Ignore",Flag="Hole",Flag="Det"),"",VertexCalc!Xsag*SIN(Theta*PI()/180)+VertexCalc!Ysag*COS(Theta*PI()/180))</f>
        <v>0.9063077870366499</v>
      </c>
      <c r="AA18" s="48">
        <f>IF(OR(Flag="Ignore",Flag="Hole",Flag="Det"),"",VertexCalc!Zsag)</f>
        <v>-0.05266513771964412</v>
      </c>
      <c r="AB18" s="49">
        <f t="shared" si="16"/>
        <v>90.00000009553253</v>
      </c>
    </row>
    <row r="19" spans="3:28" ht="13.5" thickBot="1">
      <c r="C19" s="14"/>
      <c r="D19" s="15" t="s">
        <v>106</v>
      </c>
      <c r="E19" s="15" t="s">
        <v>147</v>
      </c>
      <c r="F19" s="17">
        <f ca="1" t="shared" si="8"/>
        <v>292.158272</v>
      </c>
      <c r="G19" s="17">
        <f ca="1" t="shared" si="8"/>
        <v>-72.58604</v>
      </c>
      <c r="H19" s="17">
        <f ca="1" t="shared" si="8"/>
        <v>-519.847765</v>
      </c>
      <c r="I19" s="17">
        <f t="shared" si="9"/>
        <v>-50.17350899999997</v>
      </c>
      <c r="J19" s="17">
        <f t="shared" si="10"/>
        <v>-62.23634199999999</v>
      </c>
      <c r="K19" s="17">
        <f t="shared" si="11"/>
        <v>-6.22380499999997</v>
      </c>
      <c r="L19" s="16">
        <f t="shared" si="1"/>
        <v>80.18403219838764</v>
      </c>
      <c r="M19" s="16">
        <f t="shared" si="2"/>
        <v>-0.6257294329607045</v>
      </c>
      <c r="N19" s="16">
        <f t="shared" si="3"/>
        <v>-0.7761687744265304</v>
      </c>
      <c r="O19" s="16">
        <f t="shared" si="4"/>
        <v>-0.07761900754256557</v>
      </c>
      <c r="P19" s="16">
        <f t="shared" si="12"/>
      </c>
      <c r="Q19" s="16">
        <f t="shared" si="13"/>
      </c>
      <c r="R19" s="16">
        <f t="shared" si="14"/>
      </c>
      <c r="S19" s="16">
        <f t="shared" si="15"/>
      </c>
      <c r="T19" s="16">
        <f t="shared" si="5"/>
      </c>
      <c r="U19" s="16">
        <f t="shared" si="6"/>
      </c>
      <c r="V19" s="16">
        <f t="shared" si="7"/>
      </c>
      <c r="W19" s="51">
        <f>IF(OR(Flag="Ignore",Flag="Hole",Flag="Det"),"",ACOS((Xnorm*VertexCalc!Xnorm+Ynorm*VertexCalc!Ynorm)/(SQRT(Xnorm^2+Ynorm^2)*SQRT(VertexCalc!Xnorm^2+VertexCalc!Ynorm^2)))*180/PI()*SIGN(Xnorm*Ynorm))</f>
      </c>
      <c r="X19" s="62">
        <f>IF(OR(Flag="Ignore",Flag="Hole",Flag="Det"),"",(1-(Xnorm*GutCalc!Xnorm+Ynorm*GutCalc!Ynorm)/(SQRT(Xnorm^2+Ynorm^2)*SQRT(GutCalc!Xnorm^2+GutCalc!Ynorm^2))))</f>
      </c>
      <c r="Y19" s="51">
        <f>IF(OR(Flag="Ignore",Flag="Hole",Flag="Det"),"",VertexCalc!Xsag*COS(Theta*PI()/180)-VertexCalc!Ysag*SIN(Theta*PI()/180))</f>
      </c>
      <c r="Z19" s="51">
        <f>IF(OR(Flag="Ignore",Flag="Hole",Flag="Det"),"",VertexCalc!Xsag*SIN(Theta*PI()/180)+VertexCalc!Ysag*COS(Theta*PI()/180))</f>
      </c>
      <c r="AA19" s="51">
        <f>IF(OR(Flag="Ignore",Flag="Hole",Flag="Det"),"",VertexCalc!Zsag)</f>
      </c>
      <c r="AB19" s="52">
        <f t="shared" si="16"/>
      </c>
    </row>
    <row r="20" spans="4:28" ht="13.5" thickBot="1">
      <c r="D20" s="1" t="s">
        <v>105</v>
      </c>
      <c r="E20" s="1" t="s">
        <v>115</v>
      </c>
      <c r="F20" s="9">
        <f ca="1" t="shared" si="8"/>
        <v>342.331781</v>
      </c>
      <c r="G20" s="9">
        <f ca="1" t="shared" si="8"/>
        <v>-10.349698</v>
      </c>
      <c r="H20" s="9">
        <f ca="1" t="shared" si="8"/>
        <v>-513.62396</v>
      </c>
      <c r="I20" s="9">
        <f t="shared" si="9"/>
      </c>
      <c r="J20" s="9">
        <f t="shared" si="10"/>
      </c>
      <c r="K20" s="9">
        <f t="shared" si="11"/>
      </c>
      <c r="L20" s="8">
        <f t="shared" si="1"/>
      </c>
      <c r="M20" s="8">
        <f t="shared" si="2"/>
      </c>
      <c r="N20" s="8">
        <f t="shared" si="3"/>
      </c>
      <c r="O20" s="8">
        <f t="shared" si="4"/>
      </c>
      <c r="P20" s="8">
        <f t="shared" si="12"/>
      </c>
      <c r="Q20" s="8">
        <f t="shared" si="13"/>
      </c>
      <c r="R20" s="8">
        <f t="shared" si="14"/>
      </c>
      <c r="S20" s="8">
        <f t="shared" si="15"/>
      </c>
      <c r="T20" s="8">
        <f t="shared" si="5"/>
      </c>
      <c r="U20" s="8">
        <f t="shared" si="6"/>
      </c>
      <c r="V20" s="8">
        <f t="shared" si="7"/>
      </c>
      <c r="W20" s="30">
        <f>IF(OR(Flag="Ignore",Flag="Hole",Flag="Det"),"",ACOS((Xnorm*VertexCalc!Xnorm+Ynorm*VertexCalc!Ynorm)/(SQRT(Xnorm^2+Ynorm^2)*SQRT(VertexCalc!Xnorm^2+VertexCalc!Ynorm^2)))*180/PI()*SIGN(Xnorm*Ynorm))</f>
      </c>
      <c r="X20" s="34">
        <f>IF(OR(Flag="Ignore",Flag="Hole",Flag="Det"),"",(1-(Xnorm*GutCalc!Xnorm+Ynorm*GutCalc!Ynorm)/(SQRT(Xnorm^2+Ynorm^2)*SQRT(GutCalc!Xnorm^2+GutCalc!Ynorm^2))))</f>
      </c>
      <c r="Y20" s="30">
        <f>IF(OR(Flag="Ignore",Flag="Hole",Flag="Det"),"",VertexCalc!Xsag*COS(Theta*PI()/180)-VertexCalc!Ysag*SIN(Theta*PI()/180))</f>
      </c>
      <c r="Z20" s="30">
        <f>IF(OR(Flag="Ignore",Flag="Hole",Flag="Det"),"",VertexCalc!Xsag*SIN(Theta*PI()/180)+VertexCalc!Ysag*COS(Theta*PI()/180))</f>
      </c>
      <c r="AA20" s="30">
        <f>IF(OR(Flag="Ignore",Flag="Hole",Flag="Det"),"",VertexCalc!Zsag)</f>
      </c>
      <c r="AB20" s="30">
        <f t="shared" si="16"/>
      </c>
    </row>
    <row r="21" spans="3:28" ht="12.75">
      <c r="C21" s="10" t="s">
        <v>114</v>
      </c>
      <c r="D21" s="11" t="s">
        <v>107</v>
      </c>
      <c r="E21" s="11"/>
      <c r="F21" s="13">
        <f ca="1" t="shared" si="8"/>
        <v>382.11503500000003</v>
      </c>
      <c r="G21" s="13">
        <f ca="1" t="shared" si="8"/>
        <v>-10.987456</v>
      </c>
      <c r="H21" s="13">
        <f ca="1" t="shared" si="8"/>
        <v>-508.588478</v>
      </c>
      <c r="I21" s="13">
        <f t="shared" si="9"/>
        <v>39.783254000000056</v>
      </c>
      <c r="J21" s="13">
        <f t="shared" si="10"/>
        <v>-0.6377579999999998</v>
      </c>
      <c r="K21" s="13">
        <f t="shared" si="11"/>
        <v>5.035482000000002</v>
      </c>
      <c r="L21" s="12">
        <f t="shared" si="1"/>
        <v>40.105736660325896</v>
      </c>
      <c r="M21" s="12">
        <f t="shared" si="2"/>
        <v>0.9919591887051696</v>
      </c>
      <c r="N21" s="12">
        <f t="shared" si="3"/>
        <v>-0.015901914616391875</v>
      </c>
      <c r="O21" s="12">
        <f t="shared" si="4"/>
        <v>0.1255551554294548</v>
      </c>
      <c r="P21" s="12">
        <f t="shared" si="12"/>
        <v>-0.9909726197938077</v>
      </c>
      <c r="Q21" s="12">
        <f t="shared" si="13"/>
        <v>1.5649312130883164E-08</v>
      </c>
      <c r="R21" s="12">
        <f t="shared" si="14"/>
        <v>0.874317914660456</v>
      </c>
      <c r="S21" s="12">
        <f t="shared" si="15"/>
        <v>1.321536435016913</v>
      </c>
      <c r="T21" s="12">
        <f t="shared" si="5"/>
        <v>-0.7498640170152594</v>
      </c>
      <c r="U21" s="12">
        <f t="shared" si="6"/>
        <v>1.1841756092546086E-08</v>
      </c>
      <c r="V21" s="12">
        <f t="shared" si="7"/>
        <v>0.6615919860350021</v>
      </c>
      <c r="W21" s="48">
        <f>IF(OR(Flag="Ignore",Flag="Hole",Flag="Det"),"",ACOS((Xnorm*VertexCalc!Xnorm+Ynorm*VertexCalc!Ynorm)/(SQRT(Xnorm^2+Ynorm^2)*SQRT(VertexCalc!Xnorm^2+VertexCalc!Ynorm^2)))*180/PI()*SIGN(Xnorm*Ynorm))</f>
        <v>-1.2074182617838684E-06</v>
      </c>
      <c r="X21" s="61">
        <f>IF(OR(Flag="Ignore",Flag="Hole",Flag="Det"),"",(1-(Xnorm*GutCalc!Xnorm+Ynorm*GutCalc!Ynorm)/(SQRT(Xnorm^2+Ynorm^2)*SQRT(GutCalc!Xnorm^2+GutCalc!Ynorm^2))))</f>
        <v>0</v>
      </c>
      <c r="Y21" s="48">
        <f>IF(OR(Flag="Ignore",Flag="Hole",Flag="Det"),"",VertexCalc!Xsag*COS(Theta*PI()/180)-VertexCalc!Ysag*SIN(Theta*PI()/180))</f>
        <v>2.1073424116835323E-08</v>
      </c>
      <c r="Z21" s="48">
        <f>IF(OR(Flag="Ignore",Flag="Hole",Flag="Det"),"",VertexCalc!Xsag*SIN(Theta*PI()/180)+VertexCalc!Ysag*COS(Theta*PI()/180))</f>
        <v>0.9999999999999998</v>
      </c>
      <c r="AA21" s="48">
        <f>IF(OR(Flag="Ignore",Flag="Hole",Flag="Det"),"",VertexCalc!Zsag)</f>
        <v>0</v>
      </c>
      <c r="AB21" s="49">
        <f t="shared" si="16"/>
        <v>90.00000022691687</v>
      </c>
    </row>
    <row r="22" spans="3:28" ht="13.5" thickBot="1">
      <c r="C22" s="14"/>
      <c r="D22" s="15" t="s">
        <v>108</v>
      </c>
      <c r="E22" s="15" t="s">
        <v>147</v>
      </c>
      <c r="F22" s="17">
        <f ca="1" t="shared" si="8"/>
        <v>382.154575</v>
      </c>
      <c r="G22" s="17">
        <f ca="1" t="shared" si="8"/>
        <v>-11.624777</v>
      </c>
      <c r="H22" s="17">
        <f ca="1" t="shared" si="8"/>
        <v>-468.51527</v>
      </c>
      <c r="I22" s="17">
        <f t="shared" si="9"/>
        <v>0.03953999999998814</v>
      </c>
      <c r="J22" s="17">
        <f t="shared" si="10"/>
        <v>-0.637321</v>
      </c>
      <c r="K22" s="17">
        <f t="shared" si="11"/>
        <v>40.07320800000002</v>
      </c>
      <c r="L22" s="16">
        <f t="shared" si="1"/>
        <v>40.078295134397955</v>
      </c>
      <c r="M22" s="16">
        <f t="shared" si="2"/>
        <v>0.0009865689113620051</v>
      </c>
      <c r="N22" s="16">
        <f t="shared" si="3"/>
        <v>-0.015901898967079744</v>
      </c>
      <c r="O22" s="16">
        <f t="shared" si="4"/>
        <v>0.9998730700899109</v>
      </c>
      <c r="P22" s="16">
        <f t="shared" si="12"/>
      </c>
      <c r="Q22" s="16">
        <f t="shared" si="13"/>
      </c>
      <c r="R22" s="16">
        <f t="shared" si="14"/>
      </c>
      <c r="S22" s="16">
        <f t="shared" si="15"/>
      </c>
      <c r="T22" s="16">
        <f t="shared" si="5"/>
      </c>
      <c r="U22" s="16">
        <f t="shared" si="6"/>
      </c>
      <c r="V22" s="16">
        <f t="shared" si="7"/>
      </c>
      <c r="W22" s="51">
        <f>IF(OR(Flag="Ignore",Flag="Hole",Flag="Det"),"",ACOS((Xnorm*VertexCalc!Xnorm+Ynorm*VertexCalc!Ynorm)/(SQRT(Xnorm^2+Ynorm^2)*SQRT(VertexCalc!Xnorm^2+VertexCalc!Ynorm^2)))*180/PI()*SIGN(Xnorm*Ynorm))</f>
      </c>
      <c r="X22" s="62"/>
      <c r="Y22" s="51">
        <f>IF(OR(Flag="Ignore",Flag="Hole",Flag="Det"),"",VertexCalc!Xsag*COS(Theta*PI()/180)-VertexCalc!Ysag*SIN(Theta*PI()/180))</f>
      </c>
      <c r="Z22" s="51">
        <f>IF(OR(Flag="Ignore",Flag="Hole",Flag="Det"),"",VertexCalc!Xsag*SIN(Theta*PI()/180)+VertexCalc!Ysag*COS(Theta*PI()/180))</f>
      </c>
      <c r="AA22" s="51">
        <f>IF(OR(Flag="Ignore",Flag="Hole",Flag="Det"),"",VertexCalc!Zsag)</f>
      </c>
      <c r="AB22" s="52">
        <f t="shared" si="16"/>
      </c>
    </row>
    <row r="23" spans="1:26" ht="12.75">
      <c r="A23" s="23" t="s">
        <v>124</v>
      </c>
      <c r="I23" s="9"/>
      <c r="J23" s="9"/>
      <c r="K23" s="9"/>
      <c r="X23" s="34"/>
      <c r="Y23" s="9"/>
      <c r="Z23" s="9"/>
    </row>
    <row r="24" spans="1:26" ht="12.75">
      <c r="A24" s="1" t="s">
        <v>14</v>
      </c>
      <c r="B24" s="1" t="str">
        <f>"-Zsyno"</f>
        <v>-Zsyno</v>
      </c>
      <c r="C24" s="1" t="s">
        <v>117</v>
      </c>
      <c r="I24" s="9"/>
      <c r="J24" s="9"/>
      <c r="K24" s="9"/>
      <c r="X24" s="34"/>
      <c r="Y24" s="9"/>
      <c r="Z24" s="9"/>
    </row>
    <row r="25" spans="1:3" ht="12.75">
      <c r="A25" s="1" t="s">
        <v>69</v>
      </c>
      <c r="B25" s="1" t="s">
        <v>120</v>
      </c>
      <c r="C25" s="1" t="s">
        <v>118</v>
      </c>
    </row>
    <row r="26" spans="1:3" ht="12.75">
      <c r="A26" s="1" t="s">
        <v>70</v>
      </c>
      <c r="B26" s="1" t="s">
        <v>121</v>
      </c>
      <c r="C26" s="1" t="s">
        <v>119</v>
      </c>
    </row>
  </sheetData>
  <printOptions/>
  <pageMargins left="0.25" right="0.34" top="0.984251968503937" bottom="0.984251968503937" header="0.5118110236220472" footer="0.5118110236220472"/>
  <pageSetup fitToHeight="1" fitToWidth="1" horizontalDpi="600" verticalDpi="600" orientation="landscape" paperSize="9" scale="47" r:id="rId1"/>
  <headerFooter alignWithMargins="0">
    <oddHeader>&amp;L&amp;F, &amp;A&amp;R&amp;T, &amp;D</oddHeader>
    <oddFooter>&amp;CPage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P56"/>
  <sheetViews>
    <sheetView zoomScale="75" zoomScaleNormal="75" workbookViewId="0" topLeftCell="A1">
      <selection activeCell="B6" sqref="B6"/>
    </sheetView>
  </sheetViews>
  <sheetFormatPr defaultColWidth="12" defaultRowHeight="12.75"/>
  <cols>
    <col min="1" max="1" width="12.83203125" style="19" customWidth="1"/>
    <col min="2" max="2" width="7.5" style="19" customWidth="1"/>
    <col min="3" max="3" width="18.66015625" style="19" customWidth="1"/>
    <col min="4" max="4" width="12" style="19" customWidth="1"/>
    <col min="5" max="5" width="12" style="1" customWidth="1"/>
    <col min="6" max="6" width="8.83203125" style="1" customWidth="1"/>
    <col min="7" max="7" width="11.16015625" style="20" customWidth="1"/>
    <col min="8" max="8" width="8.16015625" style="20" customWidth="1"/>
    <col min="9" max="9" width="9.66015625" style="45" customWidth="1"/>
    <col min="10" max="11" width="10" style="45" customWidth="1"/>
    <col min="12" max="12" width="11.16015625" style="45" customWidth="1"/>
    <col min="13" max="13" width="10" style="45" customWidth="1"/>
    <col min="14" max="14" width="12" style="8" customWidth="1"/>
    <col min="15" max="15" width="12" style="30" customWidth="1"/>
    <col min="16" max="16" width="12.83203125" style="30" bestFit="1" customWidth="1"/>
    <col min="17" max="16384" width="12" style="1" customWidth="1"/>
  </cols>
  <sheetData>
    <row r="1" spans="1:16" s="5" customFormat="1" ht="12.75">
      <c r="A1" s="19" t="s">
        <v>555</v>
      </c>
      <c r="B1" s="25"/>
      <c r="C1" s="25" t="s">
        <v>116</v>
      </c>
      <c r="D1" s="25" t="s">
        <v>2</v>
      </c>
      <c r="E1" s="5" t="s">
        <v>431</v>
      </c>
      <c r="F1" s="5" t="s">
        <v>145</v>
      </c>
      <c r="G1" s="6" t="s">
        <v>78</v>
      </c>
      <c r="H1" s="26" t="s">
        <v>79</v>
      </c>
      <c r="I1" s="54" t="s">
        <v>524</v>
      </c>
      <c r="J1" s="115" t="s">
        <v>526</v>
      </c>
      <c r="K1" s="54" t="s">
        <v>527</v>
      </c>
      <c r="L1" s="54" t="s">
        <v>528</v>
      </c>
      <c r="M1" s="41" t="s">
        <v>529</v>
      </c>
      <c r="N1" s="116" t="s">
        <v>530</v>
      </c>
      <c r="O1" s="32" t="s">
        <v>531</v>
      </c>
      <c r="P1" s="32" t="s">
        <v>532</v>
      </c>
    </row>
    <row r="2" spans="3:16" ht="13.5" thickBot="1">
      <c r="C2" s="19">
        <f aca="true" ca="1" t="shared" si="0" ref="C2:E21">IF(INDIRECT("SurfaceList!"&amp;ThisCol)="","",INDIRECT("SurfaceList!"&amp;ThisCol))</f>
      </c>
      <c r="D2" s="19" t="str">
        <f ca="1" t="shared" si="0"/>
        <v>Dummy</v>
      </c>
      <c r="E2" s="19" t="str">
        <f ca="1" t="shared" si="0"/>
        <v>Phot</v>
      </c>
      <c r="F2" s="19" t="str">
        <f aca="true" ca="1" t="shared" si="1" ref="F2:F49">IF(INDIRECT("SurfaceList!"&amp;ThisCol)="","",INDIRECT("SurfaceList!"&amp;ThisCol))</f>
        <v>Ignore</v>
      </c>
      <c r="G2" s="8">
        <f aca="true" ca="1" t="shared" si="2" ref="G2:G49">IF(INDIRECT("SurfaceList!"&amp;ThisCol)="","",INDIRECT("SurfaceList!"&amp;ThisCol))</f>
        <v>5</v>
      </c>
      <c r="H2" s="20">
        <f aca="true" ca="1" t="shared" si="3" ref="H2:H21">SurfNum+INDIRECT("Line0"&amp;System)</f>
        <v>318</v>
      </c>
      <c r="I2" s="45">
        <f aca="true" ca="1" t="shared" si="4" ref="I2:I21">IF(Flag="Ignore","",IF(INDIRECT(System&amp;"Glob!"&amp;"E"&amp;FIXED(Line,0))="CAO","Circ",IF(INDIRECT(System&amp;"Glob!"&amp;"F"&amp;FIXED(Line,0))="EAO","Ellips",IF(INDIRECT(System&amp;"Glob!"&amp;"F"&amp;FIXED(Line,0))="RAO","Rect",""))))</f>
      </c>
      <c r="J2" s="97">
        <f aca="true" ca="1" t="shared" si="5" ref="J2:J49">IF(Flag="Ignore","",IF(Type="Circ",2*INDIRECT(System&amp;"Glob!"&amp;Xcol&amp;FIXED(Line,0)),""))</f>
      </c>
      <c r="K2" s="45">
        <f aca="true" ca="1" t="shared" si="6" ref="K2:K49">IF(Flag="Ignore","",IF(Type="Ellips",2*INDIRECT(System&amp;"Glob!"&amp;Xcol&amp;FIXED(Line,0)),""))</f>
      </c>
      <c r="L2" s="45">
        <f aca="true" ca="1" t="shared" si="7" ref="L2:L49">IF(Flag="Ignore","",IF(Type="Ellips",2*INDIRECT(System&amp;"Glob!"&amp;Ycol&amp;FIXED(Line,0)),""))</f>
      </c>
      <c r="M2" s="44">
        <f aca="true" ca="1" t="shared" si="8" ref="M2:M49">IF(Flag="Ignore","",IF(Type="Rect",INDIRECT(System&amp;"Glob!"&amp;Xcol&amp;FIXED(Line,0)),""))</f>
      </c>
      <c r="N2" s="46">
        <f aca="true" ca="1" t="shared" si="9" ref="N2:N49">IF(Flag="Ignore","",IF(Type="Rect",INDIRECT(System&amp;"Glob!"&amp;Ycol&amp;FIXED(Line,0)),""))</f>
      </c>
      <c r="O2" s="45">
        <f aca="true" ca="1" t="shared" si="10" ref="O2:O49">IF(OR(Flag="Ignore",INDIRECT(System&amp;"Glob!"&amp;"G"&amp;FIXED(Line,0))=""),"",IF(Type="Circ",INDIRECT(System&amp;"Glob!"&amp;"F"&amp;FIXED(Line,0)),INDIRECT(System&amp;"Glob!"&amp;"G"&amp;FIXED(Line,0))))</f>
      </c>
      <c r="P2" s="45">
        <f aca="true" ca="1" t="shared" si="11" ref="P2:P49">IF(OR(Flag="Ignore",INDIRECT(System&amp;"Glob!"&amp;"G"&amp;FIXED(Line,0))=""),"",IF(Type="Circ",INDIRECT(System&amp;"Glob!"&amp;"G"&amp;FIXED(Line,0)),INDIRECT(System&amp;"Glob!"&amp;"H"&amp;FIXED(Line,0))))</f>
      </c>
    </row>
    <row r="3" spans="3:16" ht="12.75">
      <c r="C3" s="10" t="str">
        <f ca="1" t="shared" si="0"/>
        <v>Telescope</v>
      </c>
      <c r="D3" s="11" t="str">
        <f ca="1" t="shared" si="0"/>
        <v>M1</v>
      </c>
      <c r="E3" s="11" t="str">
        <f ca="1" t="shared" si="0"/>
        <v>Phot</v>
      </c>
      <c r="F3" s="11" t="str">
        <f ca="1" t="shared" si="1"/>
        <v>Mirror</v>
      </c>
      <c r="G3" s="12">
        <f ca="1" t="shared" si="2"/>
        <v>6</v>
      </c>
      <c r="H3" s="12">
        <f ca="1" t="shared" si="3"/>
        <v>319</v>
      </c>
      <c r="I3" s="48" t="str">
        <f ca="1" t="shared" si="4"/>
        <v>Circ</v>
      </c>
      <c r="J3" s="98">
        <f ca="1" t="shared" si="5"/>
        <v>3500</v>
      </c>
      <c r="K3" s="48">
        <f ca="1" t="shared" si="6"/>
      </c>
      <c r="L3" s="48">
        <f ca="1" t="shared" si="7"/>
      </c>
      <c r="M3" s="47">
        <f ca="1" t="shared" si="8"/>
      </c>
      <c r="N3" s="49">
        <f ca="1" t="shared" si="9"/>
      </c>
      <c r="O3" s="48">
        <f ca="1" t="shared" si="10"/>
      </c>
      <c r="P3" s="49">
        <f ca="1" t="shared" si="11"/>
      </c>
    </row>
    <row r="4" spans="1:16" ht="13.5" thickBot="1">
      <c r="A4" s="28" t="s">
        <v>433</v>
      </c>
      <c r="B4" s="28">
        <v>313</v>
      </c>
      <c r="C4" s="14">
        <f ca="1" t="shared" si="0"/>
      </c>
      <c r="D4" s="15" t="str">
        <f ca="1" t="shared" si="0"/>
        <v>M2</v>
      </c>
      <c r="E4" s="15" t="str">
        <f ca="1" t="shared" si="0"/>
        <v>Phot</v>
      </c>
      <c r="F4" s="15" t="str">
        <f ca="1" t="shared" si="1"/>
        <v>Mirror</v>
      </c>
      <c r="G4" s="16">
        <f ca="1" t="shared" si="2"/>
        <v>7</v>
      </c>
      <c r="H4" s="16">
        <f ca="1" t="shared" si="3"/>
        <v>320</v>
      </c>
      <c r="I4" s="51" t="str">
        <f ca="1" t="shared" si="4"/>
        <v>Circ</v>
      </c>
      <c r="J4" s="99">
        <f ca="1" t="shared" si="5"/>
        <v>308.12</v>
      </c>
      <c r="K4" s="51">
        <f ca="1" t="shared" si="6"/>
      </c>
      <c r="L4" s="51">
        <f ca="1" t="shared" si="7"/>
      </c>
      <c r="M4" s="50">
        <f ca="1" t="shared" si="8"/>
      </c>
      <c r="N4" s="52">
        <f ca="1" t="shared" si="9"/>
      </c>
      <c r="O4" s="51">
        <f ca="1" t="shared" si="10"/>
      </c>
      <c r="P4" s="52">
        <f ca="1" t="shared" si="11"/>
      </c>
    </row>
    <row r="5" spans="1:16" ht="12.75">
      <c r="A5" s="19" t="s">
        <v>545</v>
      </c>
      <c r="B5" s="28">
        <v>570</v>
      </c>
      <c r="C5" s="18" t="str">
        <f ca="1" t="shared" si="0"/>
        <v>Common optics</v>
      </c>
      <c r="D5" s="19" t="str">
        <f ca="1" t="shared" si="0"/>
        <v>CFP</v>
      </c>
      <c r="E5" s="19" t="str">
        <f ca="1" t="shared" si="0"/>
        <v>Phot</v>
      </c>
      <c r="F5" s="19" t="str">
        <f ca="1" t="shared" si="1"/>
        <v>Ignore</v>
      </c>
      <c r="G5" s="20">
        <f ca="1" t="shared" si="2"/>
        <v>9</v>
      </c>
      <c r="H5" s="20">
        <f ca="1" t="shared" si="3"/>
        <v>322</v>
      </c>
      <c r="I5" s="45">
        <f ca="1" t="shared" si="4"/>
      </c>
      <c r="J5" s="97">
        <f ca="1" t="shared" si="5"/>
      </c>
      <c r="K5" s="45">
        <f ca="1" t="shared" si="6"/>
      </c>
      <c r="L5" s="45">
        <f ca="1" t="shared" si="7"/>
      </c>
      <c r="M5" s="44">
        <f ca="1" t="shared" si="8"/>
      </c>
      <c r="N5" s="46">
        <f ca="1" t="shared" si="9"/>
      </c>
      <c r="O5" s="30">
        <f ca="1" t="shared" si="10"/>
      </c>
      <c r="P5" s="30">
        <f ca="1" t="shared" si="11"/>
      </c>
    </row>
    <row r="6" spans="2:16" ht="12.75">
      <c r="B6" s="28"/>
      <c r="C6" s="18">
        <f ca="1" t="shared" si="0"/>
      </c>
      <c r="D6" s="19" t="str">
        <f ca="1" t="shared" si="0"/>
        <v>CM3</v>
      </c>
      <c r="E6" s="19" t="str">
        <f ca="1" t="shared" si="0"/>
        <v>Phot</v>
      </c>
      <c r="F6" s="19" t="str">
        <f ca="1" t="shared" si="1"/>
        <v>Mirror</v>
      </c>
      <c r="G6" s="20">
        <f ca="1" t="shared" si="2"/>
        <v>11</v>
      </c>
      <c r="H6" s="20">
        <f ca="1" t="shared" si="3"/>
        <v>324</v>
      </c>
      <c r="I6" s="45" t="str">
        <f ca="1" t="shared" si="4"/>
        <v>Rect</v>
      </c>
      <c r="J6" s="97">
        <f ca="1" t="shared" si="5"/>
      </c>
      <c r="K6" s="45">
        <f ca="1" t="shared" si="6"/>
      </c>
      <c r="L6" s="45">
        <f ca="1" t="shared" si="7"/>
      </c>
      <c r="M6" s="44">
        <f ca="1" t="shared" si="8"/>
        <v>139</v>
      </c>
      <c r="N6" s="46">
        <f ca="1" t="shared" si="9"/>
        <v>62</v>
      </c>
      <c r="O6" s="30">
        <f ca="1" t="shared" si="10"/>
        <v>-19.5</v>
      </c>
      <c r="P6" s="30">
        <f ca="1" t="shared" si="11"/>
        <v>145</v>
      </c>
    </row>
    <row r="7" spans="3:16" ht="12.75">
      <c r="C7" s="18">
        <f ca="1" t="shared" si="0"/>
      </c>
      <c r="D7" s="19" t="str">
        <f ca="1" t="shared" si="0"/>
        <v>CM4</v>
      </c>
      <c r="E7" s="19" t="str">
        <f ca="1" t="shared" si="0"/>
        <v>Phot</v>
      </c>
      <c r="F7" s="19" t="str">
        <f ca="1" t="shared" si="1"/>
        <v>Mirror</v>
      </c>
      <c r="G7" s="20">
        <f ca="1" t="shared" si="2"/>
        <v>14</v>
      </c>
      <c r="H7" s="20">
        <f ca="1" t="shared" si="3"/>
        <v>327</v>
      </c>
      <c r="I7" s="45" t="str">
        <f ca="1" t="shared" si="4"/>
        <v>Ellips</v>
      </c>
      <c r="J7" s="97">
        <f ca="1" t="shared" si="5"/>
      </c>
      <c r="K7" s="45">
        <f ca="1" t="shared" si="6"/>
        <v>30</v>
      </c>
      <c r="L7" s="45">
        <f ca="1" t="shared" si="7"/>
        <v>32</v>
      </c>
      <c r="M7" s="44">
        <f ca="1" t="shared" si="8"/>
      </c>
      <c r="N7" s="46">
        <f ca="1" t="shared" si="9"/>
      </c>
      <c r="O7" s="30">
        <f ca="1" t="shared" si="10"/>
      </c>
      <c r="P7" s="30">
        <f ca="1" t="shared" si="11"/>
      </c>
    </row>
    <row r="8" spans="1:16" ht="13.5" thickBot="1">
      <c r="A8" s="28"/>
      <c r="B8" s="28"/>
      <c r="C8" s="18">
        <f ca="1" t="shared" si="0"/>
      </c>
      <c r="D8" s="19" t="str">
        <f ca="1" t="shared" si="0"/>
        <v>CM5</v>
      </c>
      <c r="E8" s="19" t="str">
        <f ca="1" t="shared" si="0"/>
        <v>Phot</v>
      </c>
      <c r="F8" s="19" t="str">
        <f ca="1" t="shared" si="1"/>
        <v>Mirror</v>
      </c>
      <c r="G8" s="20">
        <f ca="1" t="shared" si="2"/>
        <v>17</v>
      </c>
      <c r="H8" s="20">
        <f ca="1" t="shared" si="3"/>
        <v>330</v>
      </c>
      <c r="I8" s="45" t="str">
        <f ca="1" t="shared" si="4"/>
        <v>Rect</v>
      </c>
      <c r="J8" s="97">
        <f ca="1" t="shared" si="5"/>
      </c>
      <c r="K8" s="45">
        <f ca="1" t="shared" si="6"/>
      </c>
      <c r="L8" s="45">
        <f ca="1" t="shared" si="7"/>
      </c>
      <c r="M8" s="44">
        <f ca="1" t="shared" si="8"/>
        <v>161</v>
      </c>
      <c r="N8" s="46">
        <f ca="1" t="shared" si="9"/>
        <v>85</v>
      </c>
      <c r="O8" s="30">
        <f ca="1" t="shared" si="10"/>
        <v>19.5</v>
      </c>
      <c r="P8" s="30">
        <f ca="1" t="shared" si="11"/>
        <v>-1.5</v>
      </c>
    </row>
    <row r="9" spans="1:16" ht="12.75">
      <c r="A9" s="28" t="s">
        <v>88</v>
      </c>
      <c r="B9" s="28" t="s">
        <v>89</v>
      </c>
      <c r="C9" s="10" t="str">
        <f ca="1" t="shared" si="0"/>
        <v>Photometer optics</v>
      </c>
      <c r="D9" s="11" t="str">
        <f ca="1" t="shared" si="0"/>
        <v>PM6</v>
      </c>
      <c r="E9" s="11" t="str">
        <f ca="1" t="shared" si="0"/>
        <v>Phot</v>
      </c>
      <c r="F9" s="11" t="str">
        <f ca="1" t="shared" si="1"/>
        <v>Mirror</v>
      </c>
      <c r="G9" s="12">
        <f ca="1" t="shared" si="2"/>
        <v>20</v>
      </c>
      <c r="H9" s="12">
        <f ca="1" t="shared" si="3"/>
        <v>333</v>
      </c>
      <c r="I9" s="48" t="str">
        <f ca="1" t="shared" si="4"/>
        <v>Rect</v>
      </c>
      <c r="J9" s="98">
        <f ca="1" t="shared" si="5"/>
      </c>
      <c r="K9" s="48">
        <f ca="1" t="shared" si="6"/>
      </c>
      <c r="L9" s="48">
        <f ca="1" t="shared" si="7"/>
      </c>
      <c r="M9" s="47">
        <f ca="1" t="shared" si="8"/>
        <v>46</v>
      </c>
      <c r="N9" s="49">
        <f ca="1" t="shared" si="9"/>
        <v>27</v>
      </c>
      <c r="O9" s="48">
        <f ca="1" t="shared" si="10"/>
      </c>
      <c r="P9" s="49">
        <f ca="1" t="shared" si="11"/>
      </c>
    </row>
    <row r="10" spans="1:16" ht="12.75">
      <c r="A10" s="28" t="s">
        <v>91</v>
      </c>
      <c r="B10" s="28" t="s">
        <v>92</v>
      </c>
      <c r="C10" s="18">
        <f ca="1" t="shared" si="0"/>
      </c>
      <c r="D10" s="19" t="str">
        <f ca="1" t="shared" si="0"/>
        <v>PM7</v>
      </c>
      <c r="E10" s="19" t="str">
        <f ca="1" t="shared" si="0"/>
        <v>Phot</v>
      </c>
      <c r="F10" s="19" t="str">
        <f ca="1" t="shared" si="1"/>
        <v>Mirror</v>
      </c>
      <c r="G10" s="20">
        <f ca="1" t="shared" si="2"/>
        <v>22</v>
      </c>
      <c r="H10" s="20">
        <f ca="1" t="shared" si="3"/>
        <v>335</v>
      </c>
      <c r="I10" s="45" t="str">
        <f ca="1" t="shared" si="4"/>
        <v>Rect</v>
      </c>
      <c r="J10" s="97">
        <f ca="1" t="shared" si="5"/>
      </c>
      <c r="K10" s="45">
        <f ca="1" t="shared" si="6"/>
      </c>
      <c r="L10" s="45">
        <f ca="1" t="shared" si="7"/>
      </c>
      <c r="M10" s="44">
        <f ca="1" t="shared" si="8"/>
        <v>118</v>
      </c>
      <c r="N10" s="46">
        <f ca="1" t="shared" si="9"/>
        <v>101</v>
      </c>
      <c r="O10" s="45">
        <f ca="1" t="shared" si="10"/>
        <v>0</v>
      </c>
      <c r="P10" s="46">
        <f ca="1" t="shared" si="11"/>
        <v>-1</v>
      </c>
    </row>
    <row r="11" spans="1:16" ht="12.75">
      <c r="A11" s="28"/>
      <c r="B11" s="28"/>
      <c r="C11" s="18">
        <f ca="1" t="shared" si="0"/>
      </c>
      <c r="D11" s="19" t="str">
        <f ca="1" t="shared" si="0"/>
        <v>PM8</v>
      </c>
      <c r="E11" s="19" t="str">
        <f ca="1" t="shared" si="0"/>
        <v>Phot</v>
      </c>
      <c r="F11" s="19" t="str">
        <f ca="1" t="shared" si="1"/>
        <v>Mirror</v>
      </c>
      <c r="G11" s="20">
        <f ca="1" t="shared" si="2"/>
        <v>24</v>
      </c>
      <c r="H11" s="20">
        <f ca="1" t="shared" si="3"/>
        <v>337</v>
      </c>
      <c r="I11" s="45" t="str">
        <f ca="1" t="shared" si="4"/>
        <v>Circ</v>
      </c>
      <c r="J11" s="97">
        <f ca="1" t="shared" si="5"/>
        <v>64</v>
      </c>
      <c r="K11" s="45">
        <f ca="1" t="shared" si="6"/>
      </c>
      <c r="L11" s="45">
        <f ca="1" t="shared" si="7"/>
      </c>
      <c r="M11" s="44">
        <f ca="1" t="shared" si="8"/>
      </c>
      <c r="N11" s="46">
        <f ca="1" t="shared" si="9"/>
      </c>
      <c r="O11" s="45">
        <f ca="1" t="shared" si="10"/>
      </c>
      <c r="P11" s="46">
        <f ca="1" t="shared" si="11"/>
      </c>
    </row>
    <row r="12" spans="1:16" ht="12.75">
      <c r="A12" s="28"/>
      <c r="B12" s="28"/>
      <c r="C12" s="18">
        <f ca="1" t="shared" si="0"/>
      </c>
      <c r="D12" s="19" t="str">
        <f ca="1" t="shared" si="0"/>
        <v>PCS</v>
      </c>
      <c r="E12" s="19" t="str">
        <f ca="1" t="shared" si="0"/>
        <v>Phot</v>
      </c>
      <c r="F12" s="19" t="str">
        <f ca="1" t="shared" si="1"/>
        <v>Hole</v>
      </c>
      <c r="G12" s="20">
        <f ca="1" t="shared" si="2"/>
        <v>26</v>
      </c>
      <c r="H12" s="20">
        <f ca="1" t="shared" si="3"/>
        <v>339</v>
      </c>
      <c r="I12" s="45" t="str">
        <f ca="1" t="shared" si="4"/>
        <v>Ellips</v>
      </c>
      <c r="J12" s="97">
        <f ca="1" t="shared" si="5"/>
      </c>
      <c r="K12" s="45">
        <f ca="1" t="shared" si="6"/>
        <v>46.128</v>
      </c>
      <c r="L12" s="45">
        <f ca="1" t="shared" si="7"/>
        <v>39.808</v>
      </c>
      <c r="M12" s="44">
        <f ca="1" t="shared" si="8"/>
      </c>
      <c r="N12" s="46">
        <f ca="1" t="shared" si="9"/>
      </c>
      <c r="O12" s="45">
        <f ca="1" t="shared" si="10"/>
        <v>0</v>
      </c>
      <c r="P12" s="46">
        <f ca="1" t="shared" si="11"/>
        <v>0.738</v>
      </c>
    </row>
    <row r="13" spans="1:16" ht="13.5" thickBot="1">
      <c r="A13" s="28"/>
      <c r="B13" s="28"/>
      <c r="C13" s="14">
        <f ca="1" t="shared" si="0"/>
      </c>
      <c r="D13" s="15" t="str">
        <f ca="1" t="shared" si="0"/>
        <v>PM9</v>
      </c>
      <c r="E13" s="15" t="str">
        <f ca="1" t="shared" si="0"/>
        <v>Phot</v>
      </c>
      <c r="F13" s="15" t="str">
        <f ca="1" t="shared" si="1"/>
        <v>Mirror</v>
      </c>
      <c r="G13" s="16">
        <f ca="1" t="shared" si="2"/>
        <v>27</v>
      </c>
      <c r="H13" s="16">
        <f ca="1" t="shared" si="3"/>
        <v>340</v>
      </c>
      <c r="I13" s="51" t="str">
        <f ca="1" t="shared" si="4"/>
        <v>Circ</v>
      </c>
      <c r="J13" s="99">
        <f ca="1" t="shared" si="5"/>
        <v>112</v>
      </c>
      <c r="K13" s="51">
        <f ca="1" t="shared" si="6"/>
      </c>
      <c r="L13" s="51">
        <f ca="1" t="shared" si="7"/>
      </c>
      <c r="M13" s="50">
        <f ca="1" t="shared" si="8"/>
      </c>
      <c r="N13" s="52">
        <f ca="1" t="shared" si="9"/>
      </c>
      <c r="O13" s="51">
        <f ca="1" t="shared" si="10"/>
      </c>
      <c r="P13" s="52">
        <f ca="1" t="shared" si="11"/>
      </c>
    </row>
    <row r="14" spans="1:16" ht="12.75">
      <c r="A14" s="28"/>
      <c r="B14" s="28"/>
      <c r="C14" s="10" t="str">
        <f ca="1" t="shared" si="0"/>
        <v>Short wave</v>
      </c>
      <c r="D14" s="11" t="str">
        <f ca="1" t="shared" si="0"/>
        <v>PDIC1</v>
      </c>
      <c r="E14" s="11" t="str">
        <f ca="1" t="shared" si="0"/>
        <v>Phot</v>
      </c>
      <c r="F14" s="11" t="str">
        <f ca="1" t="shared" si="1"/>
        <v>Hole</v>
      </c>
      <c r="G14" s="12">
        <f ca="1" t="shared" si="2"/>
        <v>31</v>
      </c>
      <c r="H14" s="12">
        <f ca="1" t="shared" si="3"/>
        <v>344</v>
      </c>
      <c r="I14" s="48" t="str">
        <f ca="1" t="shared" si="4"/>
        <v>Circ</v>
      </c>
      <c r="J14" s="98">
        <f ca="1" t="shared" si="5"/>
        <v>80</v>
      </c>
      <c r="K14" s="48">
        <f ca="1" t="shared" si="6"/>
      </c>
      <c r="L14" s="48">
        <f ca="1" t="shared" si="7"/>
      </c>
      <c r="M14" s="47">
        <f ca="1" t="shared" si="8"/>
      </c>
      <c r="N14" s="49">
        <f ca="1" t="shared" si="9"/>
      </c>
      <c r="O14" s="48">
        <f ca="1" t="shared" si="10"/>
      </c>
      <c r="P14" s="49">
        <f ca="1" t="shared" si="11"/>
      </c>
    </row>
    <row r="15" spans="3:16" ht="12.75">
      <c r="C15" s="18">
        <f ca="1" t="shared" si="0"/>
      </c>
      <c r="D15" s="19" t="str">
        <f ca="1" t="shared" si="0"/>
        <v>PM10</v>
      </c>
      <c r="E15" s="19" t="str">
        <f ca="1" t="shared" si="0"/>
        <v>Phot</v>
      </c>
      <c r="F15" s="19" t="str">
        <f ca="1" t="shared" si="1"/>
        <v>Mirror</v>
      </c>
      <c r="G15" s="20">
        <f ca="1" t="shared" si="2"/>
        <v>36</v>
      </c>
      <c r="H15" s="20">
        <f ca="1" t="shared" si="3"/>
        <v>349</v>
      </c>
      <c r="I15" s="45" t="str">
        <f ca="1" t="shared" si="4"/>
        <v>Rect</v>
      </c>
      <c r="J15" s="97">
        <f ca="1" t="shared" si="5"/>
      </c>
      <c r="K15" s="45">
        <f ca="1" t="shared" si="6"/>
      </c>
      <c r="L15" s="45">
        <f ca="1" t="shared" si="7"/>
      </c>
      <c r="M15" s="44">
        <f ca="1" t="shared" si="8"/>
        <v>78</v>
      </c>
      <c r="N15" s="46">
        <f ca="1" t="shared" si="9"/>
        <v>40</v>
      </c>
      <c r="O15" s="45">
        <f ca="1" t="shared" si="10"/>
        <v>2.5</v>
      </c>
      <c r="P15" s="46">
        <f ca="1" t="shared" si="11"/>
        <v>0</v>
      </c>
    </row>
    <row r="16" spans="3:16" ht="13.5" thickBot="1">
      <c r="C16" s="14">
        <f ca="1" t="shared" si="0"/>
      </c>
      <c r="D16" s="15" t="str">
        <f ca="1" t="shared" si="0"/>
        <v>PSW</v>
      </c>
      <c r="E16" s="15" t="str">
        <f ca="1" t="shared" si="0"/>
        <v>Phot</v>
      </c>
      <c r="F16" s="15" t="str">
        <f ca="1" t="shared" si="1"/>
        <v>Det</v>
      </c>
      <c r="G16" s="16">
        <f ca="1" t="shared" si="2"/>
        <v>38</v>
      </c>
      <c r="H16" s="16">
        <f ca="1" t="shared" si="3"/>
        <v>351</v>
      </c>
      <c r="I16" s="51" t="str">
        <f ca="1" t="shared" si="4"/>
        <v>Rect</v>
      </c>
      <c r="J16" s="99">
        <f ca="1" t="shared" si="5"/>
      </c>
      <c r="K16" s="51">
        <f ca="1" t="shared" si="6"/>
      </c>
      <c r="L16" s="51">
        <f ca="1" t="shared" si="7"/>
      </c>
      <c r="M16" s="50">
        <f ca="1" t="shared" si="8"/>
        <v>40</v>
      </c>
      <c r="N16" s="52">
        <f ca="1" t="shared" si="9"/>
        <v>22</v>
      </c>
      <c r="O16" s="51">
        <f ca="1" t="shared" si="10"/>
      </c>
      <c r="P16" s="52">
        <f ca="1" t="shared" si="11"/>
      </c>
    </row>
    <row r="17" spans="3:16" ht="13.5" thickBot="1">
      <c r="C17" s="19">
        <f ca="1" t="shared" si="0"/>
      </c>
      <c r="D17" s="19" t="str">
        <f ca="1" t="shared" si="0"/>
        <v>PDIC1</v>
      </c>
      <c r="E17" s="1" t="str">
        <f ca="1" t="shared" si="0"/>
        <v>Phot</v>
      </c>
      <c r="F17" s="1" t="str">
        <f ca="1" t="shared" si="1"/>
        <v>Ignore</v>
      </c>
      <c r="G17" s="8">
        <f ca="1" t="shared" si="2"/>
        <v>31</v>
      </c>
      <c r="H17" s="20">
        <f ca="1" t="shared" si="3"/>
        <v>344</v>
      </c>
      <c r="I17" s="45">
        <f ca="1" t="shared" si="4"/>
      </c>
      <c r="J17" s="97">
        <f ca="1" t="shared" si="5"/>
      </c>
      <c r="K17" s="45">
        <f ca="1" t="shared" si="6"/>
      </c>
      <c r="L17" s="45">
        <f ca="1" t="shared" si="7"/>
      </c>
      <c r="M17" s="44">
        <f ca="1" t="shared" si="8"/>
      </c>
      <c r="N17" s="46">
        <f ca="1" t="shared" si="9"/>
      </c>
      <c r="O17" s="30">
        <f ca="1" t="shared" si="10"/>
      </c>
      <c r="P17" s="30">
        <f ca="1" t="shared" si="11"/>
      </c>
    </row>
    <row r="18" spans="3:16" ht="12.75">
      <c r="C18" s="10" t="str">
        <f ca="1" t="shared" si="0"/>
        <v>Medium wave</v>
      </c>
      <c r="D18" s="11" t="str">
        <f ca="1" t="shared" si="0"/>
        <v>PDIC2</v>
      </c>
      <c r="E18" s="11" t="str">
        <f ca="1" t="shared" si="0"/>
        <v>Phot</v>
      </c>
      <c r="F18" s="11" t="str">
        <f ca="1" t="shared" si="1"/>
        <v>Hole</v>
      </c>
      <c r="G18" s="12">
        <f ca="1" t="shared" si="2"/>
        <v>46</v>
      </c>
      <c r="H18" s="12">
        <f ca="1" t="shared" si="3"/>
        <v>359</v>
      </c>
      <c r="I18" s="48" t="str">
        <f ca="1" t="shared" si="4"/>
        <v>Circ</v>
      </c>
      <c r="J18" s="98">
        <f ca="1" t="shared" si="5"/>
        <v>72</v>
      </c>
      <c r="K18" s="48">
        <f ca="1" t="shared" si="6"/>
      </c>
      <c r="L18" s="48">
        <f ca="1" t="shared" si="7"/>
      </c>
      <c r="M18" s="47">
        <f ca="1" t="shared" si="8"/>
      </c>
      <c r="N18" s="49">
        <f ca="1" t="shared" si="9"/>
      </c>
      <c r="O18" s="48">
        <f ca="1" t="shared" si="10"/>
      </c>
      <c r="P18" s="49">
        <f ca="1" t="shared" si="11"/>
      </c>
    </row>
    <row r="19" spans="3:16" ht="13.5" thickBot="1">
      <c r="C19" s="14">
        <f ca="1" t="shared" si="0"/>
      </c>
      <c r="D19" s="15" t="str">
        <f ca="1" t="shared" si="0"/>
        <v>PMW</v>
      </c>
      <c r="E19" s="15" t="str">
        <f ca="1" t="shared" si="0"/>
        <v>Phot</v>
      </c>
      <c r="F19" s="15" t="str">
        <f ca="1" t="shared" si="1"/>
        <v>Det</v>
      </c>
      <c r="G19" s="16">
        <f ca="1" t="shared" si="2"/>
        <v>51</v>
      </c>
      <c r="H19" s="16">
        <f ca="1" t="shared" si="3"/>
        <v>364</v>
      </c>
      <c r="I19" s="51" t="str">
        <f ca="1" t="shared" si="4"/>
        <v>Rect</v>
      </c>
      <c r="J19" s="99">
        <f ca="1" t="shared" si="5"/>
      </c>
      <c r="K19" s="51">
        <f ca="1" t="shared" si="6"/>
      </c>
      <c r="L19" s="51">
        <f ca="1" t="shared" si="7"/>
      </c>
      <c r="M19" s="50">
        <f ca="1" t="shared" si="8"/>
        <v>40</v>
      </c>
      <c r="N19" s="52">
        <f ca="1" t="shared" si="9"/>
        <v>22</v>
      </c>
      <c r="O19" s="51">
        <f ca="1" t="shared" si="10"/>
      </c>
      <c r="P19" s="52">
        <f ca="1" t="shared" si="11"/>
      </c>
    </row>
    <row r="20" spans="3:16" ht="13.5" thickBot="1">
      <c r="C20" s="19">
        <f ca="1" t="shared" si="0"/>
      </c>
      <c r="D20" s="19" t="str">
        <f ca="1" t="shared" si="0"/>
        <v>PDIC2</v>
      </c>
      <c r="E20" s="1" t="str">
        <f ca="1" t="shared" si="0"/>
        <v>Phot</v>
      </c>
      <c r="F20" s="1" t="str">
        <f ca="1" t="shared" si="1"/>
        <v>Ignore</v>
      </c>
      <c r="G20" s="8">
        <f ca="1" t="shared" si="2"/>
        <v>46</v>
      </c>
      <c r="H20" s="20">
        <f ca="1" t="shared" si="3"/>
        <v>359</v>
      </c>
      <c r="I20" s="45">
        <f ca="1" t="shared" si="4"/>
      </c>
      <c r="J20" s="97">
        <f ca="1" t="shared" si="5"/>
      </c>
      <c r="K20" s="45">
        <f ca="1" t="shared" si="6"/>
      </c>
      <c r="L20" s="45">
        <f ca="1" t="shared" si="7"/>
      </c>
      <c r="M20" s="44">
        <f ca="1" t="shared" si="8"/>
      </c>
      <c r="N20" s="46">
        <f ca="1" t="shared" si="9"/>
      </c>
      <c r="O20" s="30">
        <f ca="1" t="shared" si="10"/>
      </c>
      <c r="P20" s="30">
        <f ca="1" t="shared" si="11"/>
      </c>
    </row>
    <row r="21" spans="3:16" ht="12.75">
      <c r="C21" s="10" t="str">
        <f ca="1" t="shared" si="0"/>
        <v>Long wave</v>
      </c>
      <c r="D21" s="11" t="str">
        <f ca="1" t="shared" si="0"/>
        <v>PM11</v>
      </c>
      <c r="E21" s="11" t="str">
        <f ca="1" t="shared" si="0"/>
        <v>Phot</v>
      </c>
      <c r="F21" s="11" t="str">
        <f ca="1" t="shared" si="1"/>
        <v>Mirror</v>
      </c>
      <c r="G21" s="12">
        <f ca="1" t="shared" si="2"/>
        <v>57</v>
      </c>
      <c r="H21" s="12">
        <f ca="1" t="shared" si="3"/>
        <v>370</v>
      </c>
      <c r="I21" s="48" t="str">
        <f ca="1" t="shared" si="4"/>
        <v>Rect</v>
      </c>
      <c r="J21" s="98">
        <f ca="1" t="shared" si="5"/>
      </c>
      <c r="K21" s="48">
        <f ca="1" t="shared" si="6"/>
      </c>
      <c r="L21" s="48">
        <f ca="1" t="shared" si="7"/>
      </c>
      <c r="M21" s="47">
        <f ca="1" t="shared" si="8"/>
        <v>56</v>
      </c>
      <c r="N21" s="49">
        <f ca="1" t="shared" si="9"/>
        <v>53</v>
      </c>
      <c r="O21" s="48">
        <f ca="1" t="shared" si="10"/>
        <v>0</v>
      </c>
      <c r="P21" s="49">
        <f ca="1" t="shared" si="11"/>
        <v>-2.75</v>
      </c>
    </row>
    <row r="22" spans="3:16" ht="13.5" thickBot="1">
      <c r="C22" s="14">
        <f aca="true" ca="1" t="shared" si="12" ref="C22:E41">IF(INDIRECT("SurfaceList!"&amp;ThisCol)="","",INDIRECT("SurfaceList!"&amp;ThisCol))</f>
      </c>
      <c r="D22" s="15" t="str">
        <f ca="1" t="shared" si="12"/>
        <v>PLW</v>
      </c>
      <c r="E22" s="15" t="str">
        <f ca="1" t="shared" si="12"/>
        <v>Phot</v>
      </c>
      <c r="F22" s="15" t="str">
        <f ca="1" t="shared" si="1"/>
        <v>Det</v>
      </c>
      <c r="G22" s="16">
        <f ca="1" t="shared" si="2"/>
        <v>59</v>
      </c>
      <c r="H22" s="16">
        <f aca="true" ca="1" t="shared" si="13" ref="H22:H49">SurfNum+INDIRECT("Line0"&amp;System)</f>
        <v>372</v>
      </c>
      <c r="I22" s="51" t="str">
        <f aca="true" ca="1" t="shared" si="14" ref="I22:I49">IF(Flag="Ignore","",IF(INDIRECT(System&amp;"Glob!"&amp;"E"&amp;FIXED(Line,0))="CAO","Circ",IF(INDIRECT(System&amp;"Glob!"&amp;"F"&amp;FIXED(Line,0))="EAO","Ellips",IF(INDIRECT(System&amp;"Glob!"&amp;"F"&amp;FIXED(Line,0))="RAO","Rect",""))))</f>
        <v>Rect</v>
      </c>
      <c r="J22" s="99">
        <f ca="1" t="shared" si="5"/>
      </c>
      <c r="K22" s="51">
        <f ca="1" t="shared" si="6"/>
      </c>
      <c r="L22" s="51">
        <f ca="1" t="shared" si="7"/>
      </c>
      <c r="M22" s="50">
        <f ca="1" t="shared" si="8"/>
        <v>40</v>
      </c>
      <c r="N22" s="52">
        <f ca="1" t="shared" si="9"/>
        <v>22</v>
      </c>
      <c r="O22" s="51">
        <f ca="1" t="shared" si="10"/>
      </c>
      <c r="P22" s="52">
        <f ca="1" t="shared" si="11"/>
      </c>
    </row>
    <row r="23" spans="1:16" ht="13.5" thickBot="1">
      <c r="A23" s="28"/>
      <c r="B23" s="28"/>
      <c r="C23" s="19">
        <f ca="1" t="shared" si="12"/>
      </c>
      <c r="D23" s="19" t="str">
        <f ca="1" t="shared" si="12"/>
        <v>CM5</v>
      </c>
      <c r="E23" s="19" t="str">
        <f ca="1" t="shared" si="12"/>
        <v>Spec</v>
      </c>
      <c r="F23" s="19" t="str">
        <f ca="1" t="shared" si="1"/>
        <v>Ignore</v>
      </c>
      <c r="G23" s="20">
        <f ca="1" t="shared" si="2"/>
        <v>17</v>
      </c>
      <c r="H23" s="20">
        <f ca="1" t="shared" si="13"/>
        <v>587</v>
      </c>
      <c r="I23" s="45">
        <f ca="1" t="shared" si="14"/>
      </c>
      <c r="J23" s="97">
        <f ca="1" t="shared" si="5"/>
      </c>
      <c r="K23" s="45">
        <f ca="1" t="shared" si="6"/>
      </c>
      <c r="L23" s="45">
        <f ca="1" t="shared" si="7"/>
      </c>
      <c r="M23" s="44">
        <f ca="1" t="shared" si="8"/>
      </c>
      <c r="N23" s="46">
        <f ca="1" t="shared" si="9"/>
      </c>
      <c r="O23" s="30">
        <f ca="1" t="shared" si="10"/>
      </c>
      <c r="P23" s="30">
        <f ca="1" t="shared" si="11"/>
      </c>
    </row>
    <row r="24" spans="1:16" ht="12.75">
      <c r="A24" s="28"/>
      <c r="B24" s="28"/>
      <c r="C24" s="10" t="str">
        <f ca="1" t="shared" si="12"/>
        <v>Spectrometer optics</v>
      </c>
      <c r="D24" s="11" t="str">
        <f ca="1" t="shared" si="12"/>
        <v>SM6</v>
      </c>
      <c r="E24" s="11" t="str">
        <f ca="1" t="shared" si="12"/>
        <v>Spec</v>
      </c>
      <c r="F24" s="11" t="str">
        <f ca="1" t="shared" si="1"/>
        <v>Mirror</v>
      </c>
      <c r="G24" s="12">
        <f ca="1" t="shared" si="2"/>
        <v>22</v>
      </c>
      <c r="H24" s="12">
        <f ca="1" t="shared" si="13"/>
        <v>592</v>
      </c>
      <c r="I24" s="48" t="str">
        <f ca="1" t="shared" si="14"/>
        <v>Ellips</v>
      </c>
      <c r="J24" s="98">
        <f ca="1" t="shared" si="5"/>
      </c>
      <c r="K24" s="48">
        <f ca="1" t="shared" si="6"/>
        <v>24</v>
      </c>
      <c r="L24" s="48">
        <f ca="1" t="shared" si="7"/>
        <v>18</v>
      </c>
      <c r="M24" s="47">
        <f ca="1" t="shared" si="8"/>
      </c>
      <c r="N24" s="49">
        <f ca="1" t="shared" si="9"/>
      </c>
      <c r="O24" s="48">
        <f ca="1" t="shared" si="10"/>
        <v>1</v>
      </c>
      <c r="P24" s="49">
        <f ca="1" t="shared" si="11"/>
        <v>0</v>
      </c>
    </row>
    <row r="25" spans="1:16" ht="12.75">
      <c r="A25" s="28"/>
      <c r="B25" s="28"/>
      <c r="C25" s="18">
        <f ca="1" t="shared" si="12"/>
      </c>
      <c r="D25" s="19" t="str">
        <f ca="1" t="shared" si="12"/>
        <v>SCS</v>
      </c>
      <c r="E25" s="19" t="str">
        <f ca="1" t="shared" si="12"/>
        <v>Spec</v>
      </c>
      <c r="F25" s="19" t="str">
        <f ca="1" t="shared" si="1"/>
        <v>Hole</v>
      </c>
      <c r="G25" s="20">
        <f ca="1" t="shared" si="2"/>
        <v>26</v>
      </c>
      <c r="H25" s="20">
        <f ca="1" t="shared" si="13"/>
        <v>596</v>
      </c>
      <c r="I25" s="45" t="str">
        <f ca="1" t="shared" si="14"/>
        <v>Ellips</v>
      </c>
      <c r="J25" s="97">
        <f ca="1" t="shared" si="5"/>
      </c>
      <c r="K25" s="45">
        <f ca="1" t="shared" si="6"/>
        <v>23.9</v>
      </c>
      <c r="L25" s="45">
        <f ca="1" t="shared" si="7"/>
        <v>25.14</v>
      </c>
      <c r="M25" s="44">
        <f ca="1" t="shared" si="8"/>
      </c>
      <c r="N25" s="46">
        <f ca="1" t="shared" si="9"/>
      </c>
      <c r="O25" s="45">
        <f ca="1" t="shared" si="10"/>
        <v>0.4</v>
      </c>
      <c r="P25" s="46">
        <f ca="1" t="shared" si="11"/>
        <v>-0.82</v>
      </c>
    </row>
    <row r="26" spans="1:16" ht="12.75">
      <c r="A26" s="28"/>
      <c r="B26" s="28"/>
      <c r="C26" s="18">
        <f ca="1" t="shared" si="12"/>
      </c>
      <c r="D26" s="19" t="str">
        <f ca="1" t="shared" si="12"/>
        <v>SM7</v>
      </c>
      <c r="E26" s="19" t="str">
        <f ca="1" t="shared" si="12"/>
        <v>Spec</v>
      </c>
      <c r="F26" s="19" t="str">
        <f ca="1" t="shared" si="1"/>
        <v>Mirror</v>
      </c>
      <c r="G26" s="20">
        <f ca="1" t="shared" si="2"/>
        <v>30</v>
      </c>
      <c r="H26" s="20">
        <f ca="1" t="shared" si="13"/>
        <v>600</v>
      </c>
      <c r="I26" s="45" t="str">
        <f ca="1" t="shared" si="14"/>
        <v>Rect</v>
      </c>
      <c r="J26" s="97">
        <f ca="1" t="shared" si="5"/>
      </c>
      <c r="K26" s="45">
        <f ca="1" t="shared" si="6"/>
      </c>
      <c r="L26" s="45">
        <f ca="1" t="shared" si="7"/>
      </c>
      <c r="M26" s="44">
        <f ca="1" t="shared" si="8"/>
        <v>57</v>
      </c>
      <c r="N26" s="46">
        <f ca="1" t="shared" si="9"/>
        <v>40</v>
      </c>
      <c r="O26" s="45">
        <f ca="1" t="shared" si="10"/>
        <v>4</v>
      </c>
      <c r="P26" s="46">
        <f ca="1" t="shared" si="11"/>
        <v>0</v>
      </c>
    </row>
    <row r="27" spans="1:16" ht="13.5" thickBot="1">
      <c r="A27" s="28"/>
      <c r="B27" s="28"/>
      <c r="C27" s="14">
        <f ca="1" t="shared" si="12"/>
      </c>
      <c r="D27" s="15" t="str">
        <f ca="1" t="shared" si="12"/>
        <v>SM8A</v>
      </c>
      <c r="E27" s="15" t="str">
        <f ca="1" t="shared" si="12"/>
        <v>Spec</v>
      </c>
      <c r="F27" s="15" t="str">
        <f ca="1" t="shared" si="1"/>
        <v>Mirror</v>
      </c>
      <c r="G27" s="20">
        <f ca="1" t="shared" si="2"/>
        <v>36</v>
      </c>
      <c r="H27" s="16">
        <f ca="1" t="shared" si="13"/>
        <v>606</v>
      </c>
      <c r="I27" s="51" t="str">
        <f ca="1" t="shared" si="14"/>
        <v>Circ</v>
      </c>
      <c r="J27" s="99">
        <f ca="1" t="shared" si="5"/>
        <v>60</v>
      </c>
      <c r="K27" s="51">
        <f ca="1" t="shared" si="6"/>
      </c>
      <c r="L27" s="51">
        <f ca="1" t="shared" si="7"/>
      </c>
      <c r="M27" s="50">
        <f ca="1" t="shared" si="8"/>
      </c>
      <c r="N27" s="52">
        <f ca="1" t="shared" si="9"/>
      </c>
      <c r="O27" s="51">
        <f ca="1" t="shared" si="10"/>
      </c>
      <c r="P27" s="52">
        <f ca="1" t="shared" si="11"/>
      </c>
    </row>
    <row r="28" spans="1:16" ht="12.75">
      <c r="A28" s="28"/>
      <c r="B28" s="28"/>
      <c r="C28" s="10" t="str">
        <f ca="1" t="shared" si="12"/>
        <v>Upper arm</v>
      </c>
      <c r="D28" s="11" t="str">
        <f ca="1" t="shared" si="12"/>
        <v>SBS1</v>
      </c>
      <c r="E28" s="11" t="str">
        <f ca="1" t="shared" si="12"/>
        <v>Spec</v>
      </c>
      <c r="F28" s="11" t="str">
        <f ca="1" t="shared" si="1"/>
        <v>Hole</v>
      </c>
      <c r="G28" s="12">
        <f ca="1" t="shared" si="2"/>
        <v>39</v>
      </c>
      <c r="H28" s="12">
        <f ca="1" t="shared" si="13"/>
        <v>609</v>
      </c>
      <c r="I28" s="48" t="str">
        <f ca="1" t="shared" si="14"/>
        <v>Circ</v>
      </c>
      <c r="J28" s="98">
        <f ca="1" t="shared" si="5"/>
        <v>30</v>
      </c>
      <c r="K28" s="48">
        <f ca="1" t="shared" si="6"/>
      </c>
      <c r="L28" s="48">
        <f ca="1" t="shared" si="7"/>
      </c>
      <c r="M28" s="47">
        <f ca="1" t="shared" si="8"/>
      </c>
      <c r="N28" s="49">
        <f ca="1" t="shared" si="9"/>
      </c>
      <c r="O28" s="48">
        <f ca="1" t="shared" si="10"/>
        <v>0</v>
      </c>
      <c r="P28" s="49">
        <f ca="1" t="shared" si="11"/>
        <v>1.5</v>
      </c>
    </row>
    <row r="29" spans="1:16" ht="12.75">
      <c r="A29" s="28"/>
      <c r="B29" s="28"/>
      <c r="C29" s="18">
        <f ca="1" t="shared" si="12"/>
      </c>
      <c r="D29" s="19" t="str">
        <f ca="1" t="shared" si="12"/>
        <v>SM9A</v>
      </c>
      <c r="E29" s="19" t="str">
        <f ca="1" t="shared" si="12"/>
        <v>Spec</v>
      </c>
      <c r="F29" s="19" t="str">
        <f ca="1" t="shared" si="1"/>
        <v>Mirror</v>
      </c>
      <c r="G29" s="20">
        <f ca="1" t="shared" si="2"/>
        <v>43</v>
      </c>
      <c r="H29" s="20">
        <f ca="1" t="shared" si="13"/>
        <v>613</v>
      </c>
      <c r="I29" s="45" t="str">
        <f ca="1" t="shared" si="14"/>
        <v>Circ</v>
      </c>
      <c r="J29" s="97">
        <f ca="1" t="shared" si="5"/>
        <v>50</v>
      </c>
      <c r="K29" s="45">
        <f ca="1" t="shared" si="6"/>
      </c>
      <c r="L29" s="45">
        <f ca="1" t="shared" si="7"/>
      </c>
      <c r="M29" s="44">
        <f ca="1" t="shared" si="8"/>
      </c>
      <c r="N29" s="46">
        <f ca="1" t="shared" si="9"/>
      </c>
      <c r="O29" s="45">
        <f ca="1" t="shared" si="10"/>
      </c>
      <c r="P29" s="46">
        <f ca="1" t="shared" si="11"/>
      </c>
    </row>
    <row r="30" spans="3:16" ht="12.75">
      <c r="C30" s="18">
        <f ca="1" t="shared" si="12"/>
      </c>
      <c r="D30" s="19" t="str">
        <f ca="1" t="shared" si="12"/>
        <v>SRTA1</v>
      </c>
      <c r="E30" s="19" t="str">
        <f ca="1" t="shared" si="12"/>
        <v>Spec</v>
      </c>
      <c r="F30" s="19" t="str">
        <f ca="1" t="shared" si="1"/>
        <v>Mirror</v>
      </c>
      <c r="G30" s="20">
        <f ca="1" t="shared" si="2"/>
        <v>46</v>
      </c>
      <c r="H30" s="20">
        <f ca="1" t="shared" si="13"/>
        <v>616</v>
      </c>
      <c r="I30" s="45" t="str">
        <f ca="1" t="shared" si="14"/>
        <v>Circ</v>
      </c>
      <c r="J30" s="97">
        <f ca="1" t="shared" si="5"/>
        <v>36.808</v>
      </c>
      <c r="K30" s="45">
        <f ca="1" t="shared" si="6"/>
      </c>
      <c r="L30" s="45">
        <f ca="1" t="shared" si="7"/>
      </c>
      <c r="M30" s="44">
        <f ca="1" t="shared" si="8"/>
      </c>
      <c r="N30" s="46">
        <f ca="1" t="shared" si="9"/>
      </c>
      <c r="O30" s="45">
        <f ca="1" t="shared" si="10"/>
      </c>
      <c r="P30" s="46">
        <f ca="1" t="shared" si="11"/>
      </c>
    </row>
    <row r="31" spans="3:16" ht="12.75">
      <c r="C31" s="18">
        <f ca="1" t="shared" si="12"/>
      </c>
      <c r="D31" s="19" t="str">
        <f ca="1" t="shared" si="12"/>
        <v>SRTA2</v>
      </c>
      <c r="E31" s="19" t="str">
        <f ca="1" t="shared" si="12"/>
        <v>Spec</v>
      </c>
      <c r="F31" s="19" t="str">
        <f ca="1" t="shared" si="1"/>
        <v>Mirror</v>
      </c>
      <c r="G31" s="20">
        <f ca="1" t="shared" si="2"/>
        <v>51</v>
      </c>
      <c r="H31" s="20">
        <f ca="1" t="shared" si="13"/>
        <v>621</v>
      </c>
      <c r="I31" s="45" t="str">
        <f ca="1" t="shared" si="14"/>
        <v>Circ</v>
      </c>
      <c r="J31" s="97">
        <f ca="1" t="shared" si="5"/>
        <v>38.2616</v>
      </c>
      <c r="K31" s="45">
        <f ca="1" t="shared" si="6"/>
      </c>
      <c r="L31" s="45">
        <f ca="1" t="shared" si="7"/>
      </c>
      <c r="M31" s="44">
        <f ca="1" t="shared" si="8"/>
      </c>
      <c r="N31" s="46">
        <f ca="1" t="shared" si="9"/>
      </c>
      <c r="O31" s="45">
        <f ca="1" t="shared" si="10"/>
      </c>
      <c r="P31" s="46">
        <f ca="1" t="shared" si="11"/>
      </c>
    </row>
    <row r="32" spans="3:16" ht="12.75">
      <c r="C32" s="18">
        <f ca="1" t="shared" si="12"/>
      </c>
      <c r="D32" s="19" t="str">
        <f ca="1" t="shared" si="12"/>
        <v>SM10A</v>
      </c>
      <c r="E32" s="19" t="str">
        <f ca="1" t="shared" si="12"/>
        <v>Spec</v>
      </c>
      <c r="F32" s="19" t="str">
        <f ca="1" t="shared" si="1"/>
        <v>Mirror</v>
      </c>
      <c r="G32" s="20">
        <f ca="1" t="shared" si="2"/>
        <v>56</v>
      </c>
      <c r="H32" s="20">
        <f ca="1" t="shared" si="13"/>
        <v>626</v>
      </c>
      <c r="I32" s="45" t="str">
        <f ca="1" t="shared" si="14"/>
        <v>Circ</v>
      </c>
      <c r="J32" s="97">
        <f ca="1" t="shared" si="5"/>
        <v>60</v>
      </c>
      <c r="K32" s="45">
        <f ca="1" t="shared" si="6"/>
      </c>
      <c r="L32" s="45">
        <f ca="1" t="shared" si="7"/>
      </c>
      <c r="M32" s="44">
        <f ca="1" t="shared" si="8"/>
      </c>
      <c r="N32" s="46">
        <f ca="1" t="shared" si="9"/>
      </c>
      <c r="O32" s="45">
        <f ca="1" t="shared" si="10"/>
      </c>
      <c r="P32" s="46">
        <f ca="1" t="shared" si="11"/>
      </c>
    </row>
    <row r="33" spans="3:16" ht="12.75">
      <c r="C33" s="18">
        <f ca="1" t="shared" si="12"/>
      </c>
      <c r="D33" s="19" t="str">
        <f ca="1" t="shared" si="12"/>
        <v>SBS2</v>
      </c>
      <c r="E33" s="19" t="str">
        <f ca="1" t="shared" si="12"/>
        <v>Spec</v>
      </c>
      <c r="F33" s="19" t="str">
        <f ca="1" t="shared" si="1"/>
        <v>Hole</v>
      </c>
      <c r="G33" s="20">
        <f ca="1" t="shared" si="2"/>
        <v>60</v>
      </c>
      <c r="H33" s="20">
        <f ca="1" t="shared" si="13"/>
        <v>630</v>
      </c>
      <c r="I33" s="45" t="str">
        <f ca="1" t="shared" si="14"/>
        <v>Circ</v>
      </c>
      <c r="J33" s="97">
        <f ca="1" t="shared" si="5"/>
        <v>36</v>
      </c>
      <c r="K33" s="45">
        <f ca="1" t="shared" si="6"/>
      </c>
      <c r="L33" s="45">
        <f ca="1" t="shared" si="7"/>
      </c>
      <c r="M33" s="44">
        <f ca="1" t="shared" si="8"/>
      </c>
      <c r="N33" s="46">
        <f ca="1" t="shared" si="9"/>
      </c>
      <c r="O33" s="45">
        <f ca="1" t="shared" si="10"/>
        <v>0</v>
      </c>
      <c r="P33" s="46">
        <f ca="1" t="shared" si="11"/>
        <v>2</v>
      </c>
    </row>
    <row r="34" spans="3:16" ht="12.75">
      <c r="C34" s="18">
        <f ca="1" t="shared" si="12"/>
      </c>
      <c r="D34" s="19" t="str">
        <f ca="1" t="shared" si="12"/>
        <v>SM11A</v>
      </c>
      <c r="E34" s="19" t="str">
        <f ca="1" t="shared" si="12"/>
        <v>Spec</v>
      </c>
      <c r="F34" s="19" t="str">
        <f ca="1" t="shared" si="1"/>
        <v>Mirror</v>
      </c>
      <c r="G34" s="20">
        <f ca="1" t="shared" si="2"/>
        <v>63</v>
      </c>
      <c r="H34" s="20">
        <f ca="1" t="shared" si="13"/>
        <v>633</v>
      </c>
      <c r="I34" s="45" t="str">
        <f ca="1" t="shared" si="14"/>
        <v>Circ</v>
      </c>
      <c r="J34" s="97">
        <f ca="1" t="shared" si="5"/>
        <v>74</v>
      </c>
      <c r="K34" s="45">
        <f ca="1" t="shared" si="6"/>
      </c>
      <c r="L34" s="45">
        <f ca="1" t="shared" si="7"/>
      </c>
      <c r="M34" s="44">
        <f ca="1" t="shared" si="8"/>
      </c>
      <c r="N34" s="46">
        <f ca="1" t="shared" si="9"/>
      </c>
      <c r="O34" s="45">
        <f ca="1" t="shared" si="10"/>
        <v>0</v>
      </c>
      <c r="P34" s="46">
        <f ca="1" t="shared" si="11"/>
        <v>1</v>
      </c>
    </row>
    <row r="35" spans="3:16" ht="12.75">
      <c r="C35" s="18">
        <f ca="1" t="shared" si="12"/>
      </c>
      <c r="D35" s="19" t="str">
        <f ca="1" t="shared" si="12"/>
        <v>SM12A</v>
      </c>
      <c r="E35" s="19" t="str">
        <f ca="1" t="shared" si="12"/>
        <v>Spec</v>
      </c>
      <c r="F35" s="19" t="str">
        <f ca="1" t="shared" si="1"/>
        <v>Mirror</v>
      </c>
      <c r="G35" s="20">
        <f ca="1" t="shared" si="2"/>
        <v>67</v>
      </c>
      <c r="H35" s="20">
        <f ca="1" t="shared" si="13"/>
        <v>637</v>
      </c>
      <c r="I35" s="45" t="str">
        <f ca="1" t="shared" si="14"/>
        <v>Ellips</v>
      </c>
      <c r="J35" s="97">
        <f ca="1" t="shared" si="5"/>
      </c>
      <c r="K35" s="45">
        <f ca="1" t="shared" si="6"/>
        <v>24.8</v>
      </c>
      <c r="L35" s="45">
        <f ca="1" t="shared" si="7"/>
        <v>18</v>
      </c>
      <c r="M35" s="44">
        <f ca="1" t="shared" si="8"/>
      </c>
      <c r="N35" s="46">
        <f ca="1" t="shared" si="9"/>
      </c>
      <c r="O35" s="45">
        <f ca="1" t="shared" si="10"/>
        <v>-0.63</v>
      </c>
      <c r="P35" s="46">
        <f ca="1" t="shared" si="11"/>
        <v>-0.5</v>
      </c>
    </row>
    <row r="36" spans="3:16" ht="12.75">
      <c r="C36" s="18">
        <f ca="1" t="shared" si="12"/>
      </c>
      <c r="D36" s="19" t="str">
        <f ca="1" t="shared" si="12"/>
        <v>SFLA</v>
      </c>
      <c r="E36" s="19" t="str">
        <f ca="1" t="shared" si="12"/>
        <v>Spec</v>
      </c>
      <c r="F36" s="19" t="str">
        <f ca="1" t="shared" si="1"/>
        <v>Hole</v>
      </c>
      <c r="G36" s="20">
        <f ca="1" t="shared" si="2"/>
        <v>69</v>
      </c>
      <c r="H36" s="20">
        <f ca="1" t="shared" si="13"/>
        <v>639</v>
      </c>
      <c r="I36" s="45" t="str">
        <f ca="1" t="shared" si="14"/>
        <v>Circ</v>
      </c>
      <c r="J36" s="97">
        <f ca="1" t="shared" si="5"/>
        <v>15.0204</v>
      </c>
      <c r="K36" s="45">
        <f ca="1" t="shared" si="6"/>
      </c>
      <c r="L36" s="45">
        <f ca="1" t="shared" si="7"/>
      </c>
      <c r="M36" s="44">
        <f ca="1" t="shared" si="8"/>
      </c>
      <c r="N36" s="46">
        <f ca="1" t="shared" si="9"/>
      </c>
      <c r="O36" s="45">
        <f ca="1" t="shared" si="10"/>
      </c>
      <c r="P36" s="46">
        <f ca="1" t="shared" si="11"/>
      </c>
    </row>
    <row r="37" spans="3:16" ht="13.5" thickBot="1">
      <c r="C37" s="14">
        <f ca="1" t="shared" si="12"/>
      </c>
      <c r="D37" s="15" t="str">
        <f ca="1" t="shared" si="12"/>
        <v>SSW</v>
      </c>
      <c r="E37" s="15" t="str">
        <f ca="1" t="shared" si="12"/>
        <v>Spec</v>
      </c>
      <c r="F37" s="15" t="str">
        <f ca="1" t="shared" si="1"/>
        <v>Det</v>
      </c>
      <c r="G37" s="16">
        <f ca="1" t="shared" si="2"/>
        <v>71</v>
      </c>
      <c r="H37" s="16">
        <f ca="1" t="shared" si="13"/>
        <v>641</v>
      </c>
      <c r="I37" s="51" t="str">
        <f ca="1" t="shared" si="14"/>
        <v>Circ</v>
      </c>
      <c r="J37" s="99">
        <f ca="1" t="shared" si="5"/>
        <v>20</v>
      </c>
      <c r="K37" s="51">
        <f ca="1" t="shared" si="6"/>
      </c>
      <c r="L37" s="51">
        <f ca="1" t="shared" si="7"/>
      </c>
      <c r="M37" s="50">
        <f ca="1" t="shared" si="8"/>
      </c>
      <c r="N37" s="52">
        <f ca="1" t="shared" si="9"/>
      </c>
      <c r="O37" s="51">
        <f ca="1" t="shared" si="10"/>
      </c>
      <c r="P37" s="52">
        <f ca="1" t="shared" si="11"/>
      </c>
    </row>
    <row r="38" spans="3:16" ht="12.75">
      <c r="C38" s="10" t="str">
        <f ca="1" t="shared" si="12"/>
        <v>Lower arm</v>
      </c>
      <c r="D38" s="11" t="str">
        <f ca="1" t="shared" si="12"/>
        <v>SCAL</v>
      </c>
      <c r="E38" s="11" t="str">
        <f ca="1" t="shared" si="12"/>
        <v>Spec</v>
      </c>
      <c r="F38" s="11" t="str">
        <f ca="1" t="shared" si="1"/>
        <v>Hole</v>
      </c>
      <c r="G38" s="12">
        <f ca="1" t="shared" si="2"/>
        <v>102</v>
      </c>
      <c r="H38" s="12">
        <f ca="1" t="shared" si="13"/>
        <v>672</v>
      </c>
      <c r="I38" s="48" t="str">
        <f ca="1" t="shared" si="14"/>
        <v>Circ</v>
      </c>
      <c r="J38" s="98">
        <f ca="1" t="shared" si="5"/>
        <v>25</v>
      </c>
      <c r="K38" s="48">
        <f ca="1" t="shared" si="6"/>
      </c>
      <c r="L38" s="48">
        <f ca="1" t="shared" si="7"/>
      </c>
      <c r="M38" s="47">
        <f ca="1" t="shared" si="8"/>
      </c>
      <c r="N38" s="49">
        <f ca="1" t="shared" si="9"/>
      </c>
      <c r="O38" s="48">
        <f ca="1" t="shared" si="10"/>
      </c>
      <c r="P38" s="49">
        <f ca="1" t="shared" si="11"/>
      </c>
    </row>
    <row r="39" spans="3:16" ht="12.75">
      <c r="C39" s="18">
        <f ca="1" t="shared" si="12"/>
      </c>
      <c r="D39" s="19" t="str">
        <f ca="1" t="shared" si="12"/>
        <v>SM8B</v>
      </c>
      <c r="E39" s="19" t="str">
        <f ca="1" t="shared" si="12"/>
        <v>Spec</v>
      </c>
      <c r="F39" s="19" t="str">
        <f ca="1" t="shared" si="1"/>
        <v>Mirror</v>
      </c>
      <c r="G39" s="20">
        <f ca="1" t="shared" si="2"/>
        <v>98</v>
      </c>
      <c r="H39" s="20">
        <f ca="1" t="shared" si="13"/>
        <v>668</v>
      </c>
      <c r="I39" s="45" t="str">
        <f ca="1" t="shared" si="14"/>
        <v>Circ</v>
      </c>
      <c r="J39" s="97">
        <f ca="1" t="shared" si="5"/>
        <v>60</v>
      </c>
      <c r="K39" s="45">
        <f ca="1" t="shared" si="6"/>
      </c>
      <c r="L39" s="45">
        <f ca="1" t="shared" si="7"/>
      </c>
      <c r="M39" s="44">
        <f ca="1" t="shared" si="8"/>
      </c>
      <c r="N39" s="46">
        <f ca="1" t="shared" si="9"/>
      </c>
      <c r="O39" s="45">
        <f ca="1" t="shared" si="10"/>
      </c>
      <c r="P39" s="46">
        <f ca="1" t="shared" si="11"/>
      </c>
    </row>
    <row r="40" spans="3:16" ht="12.75">
      <c r="C40" s="18">
        <f ca="1" t="shared" si="12"/>
      </c>
      <c r="D40" s="19" t="str">
        <f ca="1" t="shared" si="12"/>
        <v>SBS1</v>
      </c>
      <c r="E40" s="19" t="str">
        <f ca="1" t="shared" si="12"/>
        <v>Spec</v>
      </c>
      <c r="F40" s="19" t="str">
        <f ca="1" t="shared" si="1"/>
        <v>Hole</v>
      </c>
      <c r="G40" s="20">
        <f ca="1" t="shared" si="2"/>
        <v>39</v>
      </c>
      <c r="H40" s="20">
        <f ca="1" t="shared" si="13"/>
        <v>609</v>
      </c>
      <c r="I40" s="45" t="str">
        <f ca="1" t="shared" si="14"/>
        <v>Circ</v>
      </c>
      <c r="J40" s="97">
        <f ca="1" t="shared" si="5"/>
        <v>30</v>
      </c>
      <c r="K40" s="45">
        <f ca="1" t="shared" si="6"/>
      </c>
      <c r="L40" s="45">
        <f ca="1" t="shared" si="7"/>
      </c>
      <c r="M40" s="44">
        <f ca="1" t="shared" si="8"/>
      </c>
      <c r="N40" s="46">
        <f ca="1" t="shared" si="9"/>
      </c>
      <c r="O40" s="45">
        <f ca="1" t="shared" si="10"/>
        <v>0</v>
      </c>
      <c r="P40" s="46">
        <f ca="1" t="shared" si="11"/>
        <v>1.5</v>
      </c>
    </row>
    <row r="41" spans="3:16" ht="12.75">
      <c r="C41" s="18">
        <f ca="1" t="shared" si="12"/>
      </c>
      <c r="D41" s="19" t="str">
        <f ca="1" t="shared" si="12"/>
        <v>SM9B</v>
      </c>
      <c r="E41" s="19" t="str">
        <f ca="1" t="shared" si="12"/>
        <v>Spec</v>
      </c>
      <c r="F41" s="19" t="str">
        <f ca="1" t="shared" si="1"/>
        <v>Mirror</v>
      </c>
      <c r="G41" s="20">
        <f ca="1" t="shared" si="2"/>
        <v>111</v>
      </c>
      <c r="H41" s="20">
        <f ca="1" t="shared" si="13"/>
        <v>681</v>
      </c>
      <c r="I41" s="45" t="str">
        <f ca="1" t="shared" si="14"/>
        <v>Circ</v>
      </c>
      <c r="J41" s="97">
        <f ca="1" t="shared" si="5"/>
        <v>50</v>
      </c>
      <c r="K41" s="45">
        <f ca="1" t="shared" si="6"/>
      </c>
      <c r="L41" s="45">
        <f ca="1" t="shared" si="7"/>
      </c>
      <c r="M41" s="44">
        <f ca="1" t="shared" si="8"/>
      </c>
      <c r="N41" s="46">
        <f ca="1" t="shared" si="9"/>
      </c>
      <c r="O41" s="45">
        <f ca="1" t="shared" si="10"/>
      </c>
      <c r="P41" s="46">
        <f ca="1" t="shared" si="11"/>
      </c>
    </row>
    <row r="42" spans="3:16" ht="12.75">
      <c r="C42" s="18">
        <f aca="true" ca="1" t="shared" si="15" ref="C42:E49">IF(INDIRECT("SurfaceList!"&amp;ThisCol)="","",INDIRECT("SurfaceList!"&amp;ThisCol))</f>
      </c>
      <c r="D42" s="19" t="str">
        <f ca="1" t="shared" si="15"/>
        <v>SRTB1</v>
      </c>
      <c r="E42" s="19" t="str">
        <f ca="1" t="shared" si="15"/>
        <v>Spec</v>
      </c>
      <c r="F42" s="19" t="str">
        <f ca="1" t="shared" si="1"/>
        <v>Mirror</v>
      </c>
      <c r="G42" s="20">
        <f ca="1" t="shared" si="2"/>
        <v>114</v>
      </c>
      <c r="H42" s="20">
        <f ca="1" t="shared" si="13"/>
        <v>684</v>
      </c>
      <c r="I42" s="45" t="str">
        <f ca="1" t="shared" si="14"/>
        <v>Circ</v>
      </c>
      <c r="J42" s="97">
        <f ca="1" t="shared" si="5"/>
        <v>36.808</v>
      </c>
      <c r="K42" s="45">
        <f ca="1" t="shared" si="6"/>
      </c>
      <c r="L42" s="45">
        <f ca="1" t="shared" si="7"/>
      </c>
      <c r="M42" s="44">
        <f ca="1" t="shared" si="8"/>
      </c>
      <c r="N42" s="46">
        <f ca="1" t="shared" si="9"/>
      </c>
      <c r="O42" s="45">
        <f ca="1" t="shared" si="10"/>
      </c>
      <c r="P42" s="46">
        <f ca="1" t="shared" si="11"/>
      </c>
    </row>
    <row r="43" spans="3:16" ht="12.75">
      <c r="C43" s="18">
        <f ca="1" t="shared" si="15"/>
      </c>
      <c r="D43" s="19" t="str">
        <f ca="1" t="shared" si="15"/>
        <v>SRTB2</v>
      </c>
      <c r="E43" s="19" t="str">
        <f ca="1" t="shared" si="15"/>
        <v>Spec</v>
      </c>
      <c r="F43" s="19" t="str">
        <f ca="1" t="shared" si="1"/>
        <v>Mirror</v>
      </c>
      <c r="G43" s="20">
        <f ca="1" t="shared" si="2"/>
        <v>119</v>
      </c>
      <c r="H43" s="20">
        <f ca="1" t="shared" si="13"/>
        <v>689</v>
      </c>
      <c r="I43" s="45" t="str">
        <f ca="1" t="shared" si="14"/>
        <v>Circ</v>
      </c>
      <c r="J43" s="97">
        <f ca="1" t="shared" si="5"/>
        <v>38.2616</v>
      </c>
      <c r="K43" s="45">
        <f ca="1" t="shared" si="6"/>
      </c>
      <c r="L43" s="45">
        <f ca="1" t="shared" si="7"/>
      </c>
      <c r="M43" s="44">
        <f ca="1" t="shared" si="8"/>
      </c>
      <c r="N43" s="46">
        <f ca="1" t="shared" si="9"/>
      </c>
      <c r="O43" s="45">
        <f ca="1" t="shared" si="10"/>
      </c>
      <c r="P43" s="46">
        <f ca="1" t="shared" si="11"/>
      </c>
    </row>
    <row r="44" spans="3:16" ht="12.75">
      <c r="C44" s="18">
        <f ca="1" t="shared" si="15"/>
      </c>
      <c r="D44" s="19" t="str">
        <f ca="1" t="shared" si="15"/>
        <v>SM10B</v>
      </c>
      <c r="E44" s="19" t="str">
        <f ca="1" t="shared" si="15"/>
        <v>Spec</v>
      </c>
      <c r="F44" s="19" t="str">
        <f ca="1" t="shared" si="1"/>
        <v>Mirror</v>
      </c>
      <c r="G44" s="20">
        <f ca="1" t="shared" si="2"/>
        <v>124</v>
      </c>
      <c r="H44" s="20">
        <f ca="1" t="shared" si="13"/>
        <v>694</v>
      </c>
      <c r="I44" s="45" t="str">
        <f ca="1" t="shared" si="14"/>
        <v>Circ</v>
      </c>
      <c r="J44" s="97">
        <f ca="1" t="shared" si="5"/>
        <v>60</v>
      </c>
      <c r="K44" s="45">
        <f ca="1" t="shared" si="6"/>
      </c>
      <c r="L44" s="45">
        <f ca="1" t="shared" si="7"/>
      </c>
      <c r="M44" s="44">
        <f ca="1" t="shared" si="8"/>
      </c>
      <c r="N44" s="46">
        <f ca="1" t="shared" si="9"/>
      </c>
      <c r="O44" s="45">
        <f ca="1" t="shared" si="10"/>
      </c>
      <c r="P44" s="46">
        <f ca="1" t="shared" si="11"/>
      </c>
    </row>
    <row r="45" spans="3:16" ht="12.75">
      <c r="C45" s="18">
        <f ca="1" t="shared" si="15"/>
      </c>
      <c r="D45" s="19" t="str">
        <f ca="1" t="shared" si="15"/>
        <v>SBS2</v>
      </c>
      <c r="E45" s="19" t="str">
        <f ca="1" t="shared" si="15"/>
        <v>Spec</v>
      </c>
      <c r="F45" s="19" t="str">
        <f ca="1" t="shared" si="1"/>
        <v>Hole</v>
      </c>
      <c r="G45" s="20">
        <f ca="1" t="shared" si="2"/>
        <v>60</v>
      </c>
      <c r="H45" s="20">
        <f ca="1" t="shared" si="13"/>
        <v>630</v>
      </c>
      <c r="I45" s="45" t="str">
        <f ca="1" t="shared" si="14"/>
        <v>Circ</v>
      </c>
      <c r="J45" s="97">
        <f ca="1" t="shared" si="5"/>
        <v>36</v>
      </c>
      <c r="K45" s="45">
        <f ca="1" t="shared" si="6"/>
      </c>
      <c r="L45" s="45">
        <f ca="1" t="shared" si="7"/>
      </c>
      <c r="M45" s="44">
        <f ca="1" t="shared" si="8"/>
      </c>
      <c r="N45" s="46">
        <f ca="1" t="shared" si="9"/>
      </c>
      <c r="O45" s="45">
        <f ca="1" t="shared" si="10"/>
        <v>0</v>
      </c>
      <c r="P45" s="46">
        <f ca="1" t="shared" si="11"/>
        <v>2</v>
      </c>
    </row>
    <row r="46" spans="3:16" ht="12.75">
      <c r="C46" s="18">
        <f ca="1" t="shared" si="15"/>
      </c>
      <c r="D46" s="19" t="str">
        <f ca="1" t="shared" si="15"/>
        <v>SM11B</v>
      </c>
      <c r="E46" s="19" t="str">
        <f ca="1" t="shared" si="15"/>
        <v>Spec</v>
      </c>
      <c r="F46" s="19" t="str">
        <f ca="1" t="shared" si="1"/>
        <v>Mirror</v>
      </c>
      <c r="G46" s="20">
        <f ca="1" t="shared" si="2"/>
        <v>131</v>
      </c>
      <c r="H46" s="20">
        <f ca="1" t="shared" si="13"/>
        <v>701</v>
      </c>
      <c r="I46" s="45" t="str">
        <f ca="1" t="shared" si="14"/>
        <v>Circ</v>
      </c>
      <c r="J46" s="97">
        <f ca="1" t="shared" si="5"/>
        <v>74</v>
      </c>
      <c r="K46" s="45">
        <f ca="1" t="shared" si="6"/>
      </c>
      <c r="L46" s="45">
        <f ca="1" t="shared" si="7"/>
      </c>
      <c r="M46" s="44">
        <f ca="1" t="shared" si="8"/>
      </c>
      <c r="N46" s="46">
        <f ca="1" t="shared" si="9"/>
      </c>
      <c r="O46" s="45">
        <f ca="1" t="shared" si="10"/>
        <v>0</v>
      </c>
      <c r="P46" s="46">
        <f ca="1" t="shared" si="11"/>
        <v>1</v>
      </c>
    </row>
    <row r="47" spans="3:16" ht="12.75">
      <c r="C47" s="18">
        <f ca="1" t="shared" si="15"/>
      </c>
      <c r="D47" s="19" t="str">
        <f ca="1" t="shared" si="15"/>
        <v>SM12B</v>
      </c>
      <c r="E47" s="19" t="str">
        <f ca="1" t="shared" si="15"/>
        <v>Spec</v>
      </c>
      <c r="F47" s="19" t="str">
        <f ca="1" t="shared" si="1"/>
        <v>Mirror</v>
      </c>
      <c r="G47" s="20">
        <f ca="1" t="shared" si="2"/>
        <v>136</v>
      </c>
      <c r="H47" s="20">
        <f ca="1" t="shared" si="13"/>
        <v>706</v>
      </c>
      <c r="I47" s="45" t="str">
        <f ca="1" t="shared" si="14"/>
        <v>Ellips</v>
      </c>
      <c r="J47" s="97">
        <f ca="1" t="shared" si="5"/>
      </c>
      <c r="K47" s="45">
        <f ca="1" t="shared" si="6"/>
        <v>24.8</v>
      </c>
      <c r="L47" s="45">
        <f ca="1" t="shared" si="7"/>
        <v>18</v>
      </c>
      <c r="M47" s="44">
        <f ca="1" t="shared" si="8"/>
      </c>
      <c r="N47" s="46">
        <f ca="1" t="shared" si="9"/>
      </c>
      <c r="O47" s="45">
        <f ca="1" t="shared" si="10"/>
        <v>-0.63</v>
      </c>
      <c r="P47" s="46">
        <f ca="1" t="shared" si="11"/>
        <v>-0.5</v>
      </c>
    </row>
    <row r="48" spans="3:16" ht="12.75">
      <c r="C48" s="18"/>
      <c r="D48" s="19" t="str">
        <f ca="1" t="shared" si="15"/>
        <v>SFLB</v>
      </c>
      <c r="E48" s="19" t="str">
        <f ca="1" t="shared" si="15"/>
        <v>Spec</v>
      </c>
      <c r="F48" s="19" t="str">
        <f ca="1" t="shared" si="1"/>
        <v>Hole</v>
      </c>
      <c r="G48" s="20">
        <f ca="1" t="shared" si="2"/>
        <v>138</v>
      </c>
      <c r="H48" s="20">
        <f ca="1" t="shared" si="13"/>
        <v>708</v>
      </c>
      <c r="I48" s="45" t="str">
        <f ca="1" t="shared" si="14"/>
        <v>Circ</v>
      </c>
      <c r="J48" s="97">
        <f ca="1" t="shared" si="5"/>
        <v>14.6868</v>
      </c>
      <c r="K48" s="45">
        <f ca="1" t="shared" si="6"/>
      </c>
      <c r="L48" s="45">
        <f ca="1" t="shared" si="7"/>
      </c>
      <c r="M48" s="44">
        <f ca="1" t="shared" si="8"/>
      </c>
      <c r="N48" s="46">
        <f ca="1" t="shared" si="9"/>
      </c>
      <c r="O48" s="45">
        <f ca="1" t="shared" si="10"/>
      </c>
      <c r="P48" s="46">
        <f ca="1" t="shared" si="11"/>
      </c>
    </row>
    <row r="49" spans="3:16" ht="13.5" thickBot="1">
      <c r="C49" s="14">
        <f ca="1" t="shared" si="15"/>
      </c>
      <c r="D49" s="15" t="str">
        <f ca="1" t="shared" si="15"/>
        <v>SLW</v>
      </c>
      <c r="E49" s="15" t="str">
        <f ca="1" t="shared" si="15"/>
        <v>Spec</v>
      </c>
      <c r="F49" s="15" t="str">
        <f ca="1" t="shared" si="1"/>
        <v>Det</v>
      </c>
      <c r="G49" s="16">
        <f ca="1" t="shared" si="2"/>
        <v>140</v>
      </c>
      <c r="H49" s="16">
        <f ca="1" t="shared" si="13"/>
        <v>710</v>
      </c>
      <c r="I49" s="51" t="str">
        <f ca="1" t="shared" si="14"/>
        <v>Circ</v>
      </c>
      <c r="J49" s="99">
        <f ca="1" t="shared" si="5"/>
        <v>20</v>
      </c>
      <c r="K49" s="51">
        <f ca="1" t="shared" si="6"/>
      </c>
      <c r="L49" s="51">
        <f ca="1" t="shared" si="7"/>
      </c>
      <c r="M49" s="50">
        <f ca="1" t="shared" si="8"/>
      </c>
      <c r="N49" s="52">
        <f ca="1" t="shared" si="9"/>
      </c>
      <c r="O49" s="51">
        <f ca="1" t="shared" si="10"/>
      </c>
      <c r="P49" s="52">
        <f ca="1" t="shared" si="11"/>
      </c>
    </row>
    <row r="50" spans="5:12" ht="12.75">
      <c r="E50" s="19"/>
      <c r="F50" s="19"/>
      <c r="L50" s="84"/>
    </row>
    <row r="51" spans="5:12" ht="12.75">
      <c r="E51" s="19"/>
      <c r="F51" s="19"/>
      <c r="L51" s="84"/>
    </row>
    <row r="52" spans="3:12" ht="12.75">
      <c r="C52" s="23" t="s">
        <v>124</v>
      </c>
      <c r="D52" s="1"/>
      <c r="L52" s="84"/>
    </row>
    <row r="53" spans="3:12" ht="12.75">
      <c r="C53" s="1" t="s">
        <v>14</v>
      </c>
      <c r="D53" s="1" t="str">
        <f>"-Zsyno"</f>
        <v>-Zsyno</v>
      </c>
      <c r="E53" s="1" t="s">
        <v>117</v>
      </c>
      <c r="L53" s="84"/>
    </row>
    <row r="54" spans="3:12" ht="12.75">
      <c r="C54" s="1" t="s">
        <v>69</v>
      </c>
      <c r="D54" s="1" t="s">
        <v>120</v>
      </c>
      <c r="E54" s="1" t="s">
        <v>118</v>
      </c>
      <c r="L54" s="84"/>
    </row>
    <row r="55" spans="3:12" ht="12.75">
      <c r="C55" s="1" t="s">
        <v>70</v>
      </c>
      <c r="D55" s="1" t="s">
        <v>121</v>
      </c>
      <c r="E55" s="1" t="s">
        <v>119</v>
      </c>
      <c r="L55" s="84"/>
    </row>
    <row r="56" spans="5:12" ht="12.75">
      <c r="E56" s="19"/>
      <c r="F56" s="19"/>
      <c r="L56" s="84"/>
    </row>
  </sheetData>
  <printOptions/>
  <pageMargins left="0.7874015748031497" right="0.7874015748031497" top="0.984251968503937" bottom="0.984251968503937" header="0.5118110236220472" footer="0.5118110236220472"/>
  <pageSetup fitToHeight="1" fitToWidth="1" horizontalDpi="600" verticalDpi="600" orientation="landscape" paperSize="9" scale="62" r:id="rId1"/>
  <headerFooter alignWithMargins="0">
    <oddHeader>&amp;L&amp;F, &amp;A&amp;R&amp;T, &amp;D</oddHead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J63"/>
  <sheetViews>
    <sheetView zoomScale="70" zoomScaleNormal="70" workbookViewId="0" topLeftCell="C1">
      <selection activeCell="M2" sqref="M2:M49"/>
    </sheetView>
  </sheetViews>
  <sheetFormatPr defaultColWidth="12" defaultRowHeight="12.75"/>
  <cols>
    <col min="1" max="1" width="12" style="19" customWidth="1"/>
    <col min="2" max="2" width="18.5" style="19" customWidth="1"/>
    <col min="3" max="3" width="18.66015625" style="19" customWidth="1"/>
    <col min="4" max="4" width="12" style="19" customWidth="1"/>
    <col min="5" max="6" width="12" style="1" customWidth="1"/>
    <col min="7" max="7" width="11.5" style="21" customWidth="1"/>
    <col min="8" max="9" width="10.83203125" style="21" customWidth="1"/>
    <col min="10" max="12" width="12" style="1" customWidth="1"/>
    <col min="13" max="15" width="15.16015625" style="105" customWidth="1"/>
    <col min="16" max="24" width="12" style="1" customWidth="1"/>
    <col min="25" max="25" width="12" style="30" customWidth="1"/>
    <col min="26" max="26" width="12" style="31" customWidth="1"/>
    <col min="27" max="27" width="12" style="30" customWidth="1"/>
    <col min="28" max="28" width="12" style="31" customWidth="1"/>
    <col min="29" max="29" width="12" style="30" customWidth="1"/>
    <col min="30" max="30" width="12" style="31" customWidth="1"/>
    <col min="31" max="16384" width="12" style="19" customWidth="1"/>
  </cols>
  <sheetData>
    <row r="1" spans="1:30" s="25" customFormat="1" ht="12.75">
      <c r="A1" s="19" t="s">
        <v>555</v>
      </c>
      <c r="C1" s="25" t="s">
        <v>116</v>
      </c>
      <c r="D1" s="25" t="s">
        <v>2</v>
      </c>
      <c r="E1" s="5" t="s">
        <v>431</v>
      </c>
      <c r="F1" s="5" t="s">
        <v>145</v>
      </c>
      <c r="G1" s="27" t="s">
        <v>389</v>
      </c>
      <c r="H1" s="27" t="s">
        <v>390</v>
      </c>
      <c r="I1" s="27" t="s">
        <v>391</v>
      </c>
      <c r="J1" s="7" t="s">
        <v>458</v>
      </c>
      <c r="K1" s="7" t="s">
        <v>459</v>
      </c>
      <c r="L1" s="7" t="s">
        <v>460</v>
      </c>
      <c r="M1" s="102" t="s">
        <v>393</v>
      </c>
      <c r="N1" s="102" t="s">
        <v>662</v>
      </c>
      <c r="O1" s="102"/>
      <c r="P1" s="7" t="s">
        <v>11</v>
      </c>
      <c r="Q1" s="7" t="s">
        <v>12</v>
      </c>
      <c r="R1" s="7" t="s">
        <v>13</v>
      </c>
      <c r="S1" s="7" t="s">
        <v>18</v>
      </c>
      <c r="T1" s="7" t="s">
        <v>19</v>
      </c>
      <c r="U1" s="7" t="s">
        <v>20</v>
      </c>
      <c r="V1" s="7" t="s">
        <v>291</v>
      </c>
      <c r="W1" s="7" t="s">
        <v>290</v>
      </c>
      <c r="X1" s="7" t="s">
        <v>292</v>
      </c>
      <c r="Y1" s="95" t="s">
        <v>317</v>
      </c>
      <c r="Z1" s="96"/>
      <c r="AA1" s="95" t="s">
        <v>318</v>
      </c>
      <c r="AB1" s="96"/>
      <c r="AC1" s="95" t="s">
        <v>319</v>
      </c>
      <c r="AD1" s="96"/>
    </row>
    <row r="2" spans="1:30" ht="13.5" thickBot="1">
      <c r="A2" s="19" t="s">
        <v>434</v>
      </c>
      <c r="B2" s="19" t="str">
        <f>PhotGlob!J4</f>
        <v>(BOLPHT155D)</v>
      </c>
      <c r="C2" s="19">
        <f aca="true" ca="1" t="shared" si="0" ref="C2:E21">IF(INDIRECT("SurfaceList!"&amp;ThisCol)="","",INDIRECT("SurfaceList!"&amp;ThisCol))</f>
      </c>
      <c r="D2" s="19" t="str">
        <f ca="1" t="shared" si="0"/>
        <v>Dummy</v>
      </c>
      <c r="E2" s="19" t="str">
        <f ca="1" t="shared" si="0"/>
        <v>Phot</v>
      </c>
      <c r="F2" s="19" t="str">
        <f aca="true" ca="1" t="shared" si="1" ref="F2:F49">IF(INDIRECT("SurfaceList!"&amp;ThisCol)="","",INDIRECT("SurfaceList!"&amp;ThisCol))</f>
        <v>Ignore</v>
      </c>
      <c r="G2" s="9">
        <f aca="true" ca="1" t="shared" si="2" ref="G2:I11">IF(Flag="Ignore","",INDIRECT(Axe&amp;"0")+INDIRECT(Axe&amp;"fact")*INDIRECT("VerticesSyno!"&amp;AxeSyno&amp;Local))</f>
      </c>
      <c r="H2" s="9">
        <f ca="1" t="shared" si="2"/>
      </c>
      <c r="I2" s="9">
        <f ca="1" t="shared" si="2"/>
      </c>
      <c r="J2" s="9">
        <f aca="true" ca="1" t="shared" si="3" ref="J2:L21">IF(Flag="Ignore","",INDIRECT(Axe&amp;"fact")*INDIRECT("VerticesSyno!"&amp;AxeSyno&amp;Local))</f>
      </c>
      <c r="K2" s="9">
        <f ca="1" t="shared" si="3"/>
      </c>
      <c r="L2" s="9">
        <f ca="1" t="shared" si="3"/>
      </c>
      <c r="M2" s="103">
        <f>IF(Flag="Ignore","",IF(OR(Flag="Hole",Flag="Det"),-VerticesSyno!NextIndex,SIGN(XnormP*GutCalc!Xnorm+YnormP*GutCalc!Ynorm+ZnormP*GutCalc!Znorm)))</f>
      </c>
      <c r="N2" s="103">
        <f>VerticesSyno!NextIndex</f>
        <v>1</v>
      </c>
      <c r="O2" s="103" t="e">
        <f>N2+M2</f>
        <v>#VALUE!</v>
      </c>
      <c r="P2" s="9">
        <f aca="true" ca="1" t="shared" si="4" ref="P2:R21">IF(Flag="Ignore","",INDIRECT(Axe&amp;"fact")*INDIRECT("VerticesSyno!"&amp;AxeSyno&amp;Local)*NormDir)</f>
      </c>
      <c r="Q2" s="9">
        <f ca="1" t="shared" si="4"/>
      </c>
      <c r="R2" s="9">
        <f ca="1" t="shared" si="4"/>
      </c>
      <c r="S2" s="9">
        <f aca="true" ca="1" t="shared" si="5" ref="S2:U21">IF(Flag="Ignore","",INDIRECT(Axe&amp;"fact")*INDIRECT("VerticesSyno!"&amp;AxeSyno&amp;Local))</f>
      </c>
      <c r="T2" s="9">
        <f ca="1" t="shared" si="5"/>
      </c>
      <c r="U2" s="9">
        <f ca="1" t="shared" si="5"/>
      </c>
      <c r="V2" s="9">
        <f aca="true" ca="1" t="shared" si="6" ref="V2:X21">IF(Flag="Ignore","",INDIRECT(Axe&amp;"fact")*INDIRECT("VerticesSyno!"&amp;AxeSyno&amp;Local)*NormDir*(-1))</f>
      </c>
      <c r="W2" s="9">
        <f ca="1" t="shared" si="6"/>
      </c>
      <c r="X2" s="9">
        <f ca="1" t="shared" si="6"/>
      </c>
      <c r="Y2" s="30">
        <f>IF(Flag="Ignore","",Xtang*Xnorm+Ytang*Ynorm+Ztang*Znorm)</f>
      </c>
      <c r="Z2" s="31">
        <f>IF(Flag="Ignore","",ACOS(Y2)*180/PI())</f>
      </c>
      <c r="AA2" s="30">
        <f>IF(Flag="Ignore","",Xsag*Xnorm+Ysag*Ynorm+Zsag*Znorm)</f>
      </c>
      <c r="AB2" s="31">
        <f>IF(Flag="Ignore","",ACOS(AA2)*180/PI())</f>
      </c>
      <c r="AC2" s="30">
        <f>IF(Flag="Ignore","",Xsag*Xtang+Ysag*Ytang+Zsag*Ztang)</f>
      </c>
      <c r="AD2" s="31">
        <f>IF(Flag="Ignore","",ACOS(AC2)*180/PI())</f>
      </c>
    </row>
    <row r="3" spans="1:30" ht="12.75">
      <c r="A3" s="55" t="s">
        <v>571</v>
      </c>
      <c r="B3" s="55" t="str">
        <f>SpecGlob!J4</f>
        <v>(BOLSP508)</v>
      </c>
      <c r="C3" s="10" t="str">
        <f ca="1" t="shared" si="0"/>
        <v>Telescope</v>
      </c>
      <c r="D3" s="11" t="str">
        <f ca="1" t="shared" si="0"/>
        <v>M1</v>
      </c>
      <c r="E3" s="11" t="str">
        <f ca="1" t="shared" si="0"/>
        <v>Phot</v>
      </c>
      <c r="F3" s="11" t="str">
        <f ca="1" t="shared" si="1"/>
        <v>Mirror</v>
      </c>
      <c r="G3" s="9">
        <f ca="1" t="shared" si="2"/>
        <v>1252</v>
      </c>
      <c r="H3" s="9">
        <f ca="1" t="shared" si="2"/>
        <v>0</v>
      </c>
      <c r="I3" s="9">
        <f ca="1" t="shared" si="2"/>
        <v>0</v>
      </c>
      <c r="J3" s="9">
        <f ca="1" t="shared" si="3"/>
        <v>-1</v>
      </c>
      <c r="K3" s="9">
        <f ca="1" t="shared" si="3"/>
        <v>0</v>
      </c>
      <c r="L3" s="9">
        <f ca="1" t="shared" si="3"/>
        <v>0</v>
      </c>
      <c r="M3" s="103">
        <f>IF(Flag="Ignore","",IF(OR(Flag="Hole",Flag="Det"),-VerticesSyno!NextIndex,SIGN(XnormP*GutCalc!Xnorm+YnormP*GutCalc!Ynorm+ZnormP*GutCalc!Znorm)))</f>
        <v>-1</v>
      </c>
      <c r="N3" s="103">
        <f>VerticesSyno!NextIndex</f>
        <v>1</v>
      </c>
      <c r="O3" s="103">
        <f aca="true" t="shared" si="7" ref="O3:O49">N3+M3</f>
        <v>0</v>
      </c>
      <c r="P3" s="9">
        <f ca="1" t="shared" si="4"/>
        <v>1</v>
      </c>
      <c r="Q3" s="9">
        <f ca="1" t="shared" si="4"/>
        <v>0</v>
      </c>
      <c r="R3" s="9">
        <f ca="1" t="shared" si="4"/>
        <v>0</v>
      </c>
      <c r="S3" s="9">
        <f ca="1" t="shared" si="5"/>
        <v>0</v>
      </c>
      <c r="T3" s="9">
        <f ca="1" t="shared" si="5"/>
        <v>1</v>
      </c>
      <c r="U3" s="9">
        <f ca="1" t="shared" si="5"/>
        <v>0</v>
      </c>
      <c r="V3" s="9">
        <f ca="1" t="shared" si="6"/>
        <v>0</v>
      </c>
      <c r="W3" s="9">
        <f ca="1" t="shared" si="6"/>
        <v>0</v>
      </c>
      <c r="X3" s="9">
        <f ca="1" t="shared" si="6"/>
        <v>1</v>
      </c>
      <c r="Y3" s="30">
        <f aca="true" t="shared" si="8" ref="Y3:Y49">IF(Flag="Ignore","",Xtang*Xnorm+Ytang*Ynorm+Ztang*Znorm)</f>
        <v>0</v>
      </c>
      <c r="Z3" s="31">
        <f aca="true" t="shared" si="9" ref="Z3:Z49">IF(Flag="Ignore","",ACOS(Y3)*180/PI())</f>
        <v>90</v>
      </c>
      <c r="AA3" s="30">
        <f aca="true" t="shared" si="10" ref="AA3:AA49">IF(Flag="Ignore","",Xsag*Xnorm+Ysag*Ynorm+Zsag*Znorm)</f>
        <v>0</v>
      </c>
      <c r="AB3" s="31">
        <f aca="true" t="shared" si="11" ref="AB3:AB49">IF(Flag="Ignore","",ACOS(AA3)*180/PI())</f>
        <v>90</v>
      </c>
      <c r="AC3" s="30">
        <f aca="true" t="shared" si="12" ref="AC3:AC49">IF(Flag="Ignore","",Xsag*Xtang+Ysag*Ytang+Zsag*Ztang)</f>
        <v>0</v>
      </c>
      <c r="AD3" s="31">
        <f aca="true" t="shared" si="13" ref="AD3:AD49">IF(Flag="Ignore","",ACOS(AC3)*180/PI())</f>
        <v>90</v>
      </c>
    </row>
    <row r="4" spans="1:30" ht="13.5" thickBot="1">
      <c r="A4" s="55"/>
      <c r="B4" s="55"/>
      <c r="C4" s="14">
        <f ca="1" t="shared" si="0"/>
      </c>
      <c r="D4" s="15" t="str">
        <f ca="1" t="shared" si="0"/>
        <v>M2</v>
      </c>
      <c r="E4" s="15" t="str">
        <f ca="1" t="shared" si="0"/>
        <v>Phot</v>
      </c>
      <c r="F4" s="15" t="str">
        <f ca="1" t="shared" si="1"/>
        <v>Mirror</v>
      </c>
      <c r="G4" s="9">
        <f ca="1" t="shared" si="2"/>
        <v>2839.998</v>
      </c>
      <c r="H4" s="9">
        <f ca="1" t="shared" si="2"/>
        <v>0</v>
      </c>
      <c r="I4" s="9">
        <f ca="1" t="shared" si="2"/>
        <v>0</v>
      </c>
      <c r="J4" s="9">
        <f ca="1" t="shared" si="3"/>
        <v>-1</v>
      </c>
      <c r="K4" s="9">
        <f ca="1" t="shared" si="3"/>
        <v>0</v>
      </c>
      <c r="L4" s="9">
        <f ca="1" t="shared" si="3"/>
        <v>0</v>
      </c>
      <c r="M4" s="103" t="e">
        <f>IF(Flag="Ignore","",IF(OR(Flag="Hole",Flag="Det"),-VerticesSyno!NextIndex,SIGN(XnormP*GutCalc!Xnorm+YnormP*GutCalc!Ynorm+ZnormP*GutCalc!Znorm)))</f>
        <v>#VALUE!</v>
      </c>
      <c r="N4" s="103">
        <f>VerticesSyno!NextIndex</f>
        <v>-1</v>
      </c>
      <c r="O4" s="103" t="e">
        <f t="shared" si="7"/>
        <v>#VALUE!</v>
      </c>
      <c r="P4" s="9" t="e">
        <f ca="1" t="shared" si="4"/>
        <v>#VALUE!</v>
      </c>
      <c r="Q4" s="9" t="e">
        <f ca="1" t="shared" si="4"/>
        <v>#VALUE!</v>
      </c>
      <c r="R4" s="9" t="e">
        <f ca="1" t="shared" si="4"/>
        <v>#VALUE!</v>
      </c>
      <c r="S4" s="9">
        <f ca="1" t="shared" si="5"/>
        <v>0</v>
      </c>
      <c r="T4" s="9">
        <f ca="1" t="shared" si="5"/>
        <v>1</v>
      </c>
      <c r="U4" s="9">
        <f ca="1" t="shared" si="5"/>
        <v>0</v>
      </c>
      <c r="V4" s="9" t="e">
        <f ca="1" t="shared" si="6"/>
        <v>#VALUE!</v>
      </c>
      <c r="W4" s="9" t="e">
        <f ca="1" t="shared" si="6"/>
        <v>#VALUE!</v>
      </c>
      <c r="X4" s="9" t="e">
        <f ca="1" t="shared" si="6"/>
        <v>#VALUE!</v>
      </c>
      <c r="Y4" s="30" t="e">
        <f t="shared" si="8"/>
        <v>#VALUE!</v>
      </c>
      <c r="Z4" s="31" t="e">
        <f t="shared" si="9"/>
        <v>#VALUE!</v>
      </c>
      <c r="AA4" s="30" t="e">
        <f t="shared" si="10"/>
        <v>#VALUE!</v>
      </c>
      <c r="AB4" s="31" t="e">
        <f t="shared" si="11"/>
        <v>#VALUE!</v>
      </c>
      <c r="AC4" s="30" t="e">
        <f t="shared" si="12"/>
        <v>#VALUE!</v>
      </c>
      <c r="AD4" s="31" t="e">
        <f t="shared" si="13"/>
        <v>#VALUE!</v>
      </c>
    </row>
    <row r="5" spans="3:30" ht="12.75">
      <c r="C5" s="10" t="str">
        <f ca="1" t="shared" si="0"/>
        <v>Common optics</v>
      </c>
      <c r="D5" s="11" t="str">
        <f ca="1" t="shared" si="0"/>
        <v>CFP</v>
      </c>
      <c r="E5" s="11" t="str">
        <f ca="1" t="shared" si="0"/>
        <v>Phot</v>
      </c>
      <c r="F5" s="11" t="str">
        <f ca="1" t="shared" si="1"/>
        <v>Ignore</v>
      </c>
      <c r="G5" s="9">
        <f ca="1" t="shared" si="2"/>
      </c>
      <c r="H5" s="9">
        <f ca="1" t="shared" si="2"/>
      </c>
      <c r="I5" s="9">
        <f ca="1" t="shared" si="2"/>
      </c>
      <c r="J5" s="9">
        <f ca="1" t="shared" si="3"/>
      </c>
      <c r="K5" s="9">
        <f ca="1" t="shared" si="3"/>
      </c>
      <c r="L5" s="9">
        <f ca="1" t="shared" si="3"/>
      </c>
      <c r="M5" s="103">
        <f>IF(Flag="Ignore","",IF(OR(Flag="Hole",Flag="Det"),-VerticesSyno!NextIndex,SIGN(XnormP*GutCalc!Xnorm+YnormP*GutCalc!Ynorm+ZnormP*GutCalc!Znorm)))</f>
      </c>
      <c r="N5" s="103">
        <f>VerticesSyno!NextIndex</f>
        <v>1</v>
      </c>
      <c r="O5" s="103" t="e">
        <f t="shared" si="7"/>
        <v>#VALUE!</v>
      </c>
      <c r="P5" s="9">
        <f ca="1" t="shared" si="4"/>
      </c>
      <c r="Q5" s="9">
        <f ca="1" t="shared" si="4"/>
      </c>
      <c r="R5" s="9">
        <f ca="1" t="shared" si="4"/>
      </c>
      <c r="S5" s="9">
        <f ca="1" t="shared" si="5"/>
      </c>
      <c r="T5" s="9">
        <f ca="1" t="shared" si="5"/>
      </c>
      <c r="U5" s="9">
        <f ca="1" t="shared" si="5"/>
      </c>
      <c r="V5" s="9">
        <f ca="1" t="shared" si="6"/>
      </c>
      <c r="W5" s="9">
        <f ca="1" t="shared" si="6"/>
      </c>
      <c r="X5" s="9">
        <f ca="1" t="shared" si="6"/>
      </c>
      <c r="Y5" s="30">
        <f t="shared" si="8"/>
      </c>
      <c r="Z5" s="31">
        <f t="shared" si="9"/>
      </c>
      <c r="AA5" s="30">
        <f t="shared" si="10"/>
      </c>
      <c r="AB5" s="31">
        <f t="shared" si="11"/>
      </c>
      <c r="AC5" s="30">
        <f t="shared" si="12"/>
      </c>
      <c r="AD5" s="31">
        <f t="shared" si="13"/>
      </c>
    </row>
    <row r="6" spans="1:30" ht="12.75">
      <c r="A6" s="23"/>
      <c r="B6" s="1"/>
      <c r="C6" s="18">
        <f ca="1" t="shared" si="0"/>
      </c>
      <c r="D6" s="19" t="str">
        <f ca="1" t="shared" si="0"/>
        <v>CM3</v>
      </c>
      <c r="E6" s="19" t="str">
        <f ca="1" t="shared" si="0"/>
        <v>Phot</v>
      </c>
      <c r="F6" s="19" t="str">
        <f ca="1" t="shared" si="1"/>
        <v>Mirror</v>
      </c>
      <c r="G6" s="9">
        <f ca="1" t="shared" si="2"/>
        <v>123.620663</v>
      </c>
      <c r="H6" s="9">
        <f ca="1" t="shared" si="2"/>
        <v>0</v>
      </c>
      <c r="I6" s="9">
        <f ca="1" t="shared" si="2"/>
        <v>-243.065859</v>
      </c>
      <c r="J6" s="9">
        <f ca="1" t="shared" si="3"/>
        <v>-0.9885381963040137</v>
      </c>
      <c r="K6" s="9">
        <f ca="1" t="shared" si="3"/>
        <v>0</v>
      </c>
      <c r="L6" s="9">
        <f ca="1" t="shared" si="3"/>
        <v>-0.15097097220329236</v>
      </c>
      <c r="M6" s="103">
        <f>IF(Flag="Ignore","",IF(OR(Flag="Hole",Flag="Det"),-VerticesSyno!NextIndex,SIGN(XnormP*GutCalc!Xnorm+YnormP*GutCalc!Ynorm+ZnormP*GutCalc!Znorm)))</f>
        <v>-1</v>
      </c>
      <c r="N6" s="103">
        <f>VerticesSyno!NextIndex</f>
        <v>1</v>
      </c>
      <c r="O6" s="103">
        <f t="shared" si="7"/>
        <v>0</v>
      </c>
      <c r="P6" s="9">
        <f ca="1" t="shared" si="4"/>
        <v>0.9885381963040137</v>
      </c>
      <c r="Q6" s="9">
        <f ca="1" t="shared" si="4"/>
        <v>0</v>
      </c>
      <c r="R6" s="9">
        <f ca="1" t="shared" si="4"/>
        <v>0.15097097220329236</v>
      </c>
      <c r="S6" s="9">
        <f ca="1" t="shared" si="5"/>
        <v>0</v>
      </c>
      <c r="T6" s="9">
        <f ca="1" t="shared" si="5"/>
        <v>1</v>
      </c>
      <c r="U6" s="9">
        <f ca="1" t="shared" si="5"/>
        <v>0</v>
      </c>
      <c r="V6" s="9">
        <f ca="1" t="shared" si="6"/>
        <v>-0.15097097220329236</v>
      </c>
      <c r="W6" s="9">
        <f ca="1" t="shared" si="6"/>
        <v>0</v>
      </c>
      <c r="X6" s="9">
        <f ca="1" t="shared" si="6"/>
        <v>0.9885381963040137</v>
      </c>
      <c r="Y6" s="30">
        <f t="shared" si="8"/>
        <v>0</v>
      </c>
      <c r="Z6" s="31">
        <f t="shared" si="9"/>
        <v>90</v>
      </c>
      <c r="AA6" s="30">
        <f t="shared" si="10"/>
        <v>0</v>
      </c>
      <c r="AB6" s="31">
        <f t="shared" si="11"/>
        <v>90</v>
      </c>
      <c r="AC6" s="30">
        <f t="shared" si="12"/>
        <v>0</v>
      </c>
      <c r="AD6" s="31">
        <f t="shared" si="13"/>
        <v>90</v>
      </c>
    </row>
    <row r="7" spans="1:30" ht="12.75">
      <c r="A7" s="1"/>
      <c r="B7" s="1"/>
      <c r="C7" s="18">
        <f ca="1" t="shared" si="0"/>
      </c>
      <c r="D7" s="19" t="str">
        <f ca="1" t="shared" si="0"/>
        <v>CM4</v>
      </c>
      <c r="E7" s="19" t="str">
        <f ca="1" t="shared" si="0"/>
        <v>Phot</v>
      </c>
      <c r="F7" s="19" t="str">
        <f ca="1" t="shared" si="1"/>
        <v>Mirror</v>
      </c>
      <c r="G7" s="9">
        <f ca="1" t="shared" si="2"/>
        <v>316.125371</v>
      </c>
      <c r="H7" s="9">
        <f ca="1" t="shared" si="2"/>
        <v>0</v>
      </c>
      <c r="I7" s="9">
        <f ca="1" t="shared" si="2"/>
        <v>-200.09302</v>
      </c>
      <c r="J7" s="9">
        <f ca="1" t="shared" si="3"/>
        <v>-0.9513613165986495</v>
      </c>
      <c r="K7" s="9">
        <f ca="1" t="shared" si="3"/>
        <v>0</v>
      </c>
      <c r="L7" s="9">
        <f ca="1" t="shared" si="3"/>
        <v>0.3080773365239388</v>
      </c>
      <c r="M7" s="103">
        <f>IF(Flag="Ignore","",IF(OR(Flag="Hole",Flag="Det"),-VerticesSyno!NextIndex,SIGN(XnormP*GutCalc!Xnorm+YnormP*GutCalc!Ynorm+ZnormP*GutCalc!Znorm)))</f>
        <v>1</v>
      </c>
      <c r="N7" s="103">
        <f>VerticesSyno!NextIndex</f>
        <v>-1</v>
      </c>
      <c r="O7" s="103">
        <f t="shared" si="7"/>
        <v>0</v>
      </c>
      <c r="P7" s="9">
        <f ca="1" t="shared" si="4"/>
        <v>-0.9513613165986495</v>
      </c>
      <c r="Q7" s="9">
        <f ca="1" t="shared" si="4"/>
        <v>0</v>
      </c>
      <c r="R7" s="9">
        <f ca="1" t="shared" si="4"/>
        <v>0.3080773365239388</v>
      </c>
      <c r="S7" s="9">
        <f ca="1" t="shared" si="5"/>
        <v>0</v>
      </c>
      <c r="T7" s="9">
        <f ca="1" t="shared" si="5"/>
        <v>1</v>
      </c>
      <c r="U7" s="9">
        <f ca="1" t="shared" si="5"/>
        <v>0</v>
      </c>
      <c r="V7" s="9">
        <f ca="1" t="shared" si="6"/>
        <v>-0.3080773365239388</v>
      </c>
      <c r="W7" s="9">
        <f ca="1" t="shared" si="6"/>
        <v>0</v>
      </c>
      <c r="X7" s="9">
        <f ca="1" t="shared" si="6"/>
        <v>-0.9513613165986495</v>
      </c>
      <c r="Y7" s="30">
        <f t="shared" si="8"/>
        <v>0</v>
      </c>
      <c r="Z7" s="31">
        <f t="shared" si="9"/>
        <v>90</v>
      </c>
      <c r="AA7" s="30">
        <f t="shared" si="10"/>
        <v>0</v>
      </c>
      <c r="AB7" s="31">
        <f t="shared" si="11"/>
        <v>90</v>
      </c>
      <c r="AC7" s="30">
        <f t="shared" si="12"/>
        <v>0</v>
      </c>
      <c r="AD7" s="31">
        <f t="shared" si="13"/>
        <v>90</v>
      </c>
    </row>
    <row r="8" spans="1:30" ht="13.5" thickBot="1">
      <c r="A8" s="1"/>
      <c r="B8" s="1"/>
      <c r="C8" s="14">
        <f ca="1" t="shared" si="0"/>
      </c>
      <c r="D8" s="15" t="str">
        <f ca="1" t="shared" si="0"/>
        <v>CM5</v>
      </c>
      <c r="E8" s="15" t="str">
        <f ca="1" t="shared" si="0"/>
        <v>Phot</v>
      </c>
      <c r="F8" s="15" t="str">
        <f ca="1" t="shared" si="1"/>
        <v>Mirror</v>
      </c>
      <c r="G8" s="9">
        <f ca="1" t="shared" si="2"/>
        <v>119.782896</v>
      </c>
      <c r="H8" s="9">
        <f ca="1" t="shared" si="2"/>
        <v>0</v>
      </c>
      <c r="I8" s="9">
        <f ca="1" t="shared" si="2"/>
        <v>-179.687314</v>
      </c>
      <c r="J8" s="9">
        <f ca="1" t="shared" si="3"/>
        <v>-0.9652659093802869</v>
      </c>
      <c r="K8" s="9">
        <f ca="1" t="shared" si="3"/>
        <v>0</v>
      </c>
      <c r="L8" s="9">
        <f ca="1" t="shared" si="3"/>
        <v>0.26126944748333636</v>
      </c>
      <c r="M8" s="103">
        <f>IF(Flag="Ignore","",IF(OR(Flag="Hole",Flag="Det"),-VerticesSyno!NextIndex,SIGN(XnormP*GutCalc!Xnorm+YnormP*GutCalc!Ynorm+ZnormP*GutCalc!Znorm)))</f>
        <v>-1</v>
      </c>
      <c r="N8" s="103">
        <f>VerticesSyno!NextIndex</f>
        <v>1</v>
      </c>
      <c r="O8" s="103">
        <f t="shared" si="7"/>
        <v>0</v>
      </c>
      <c r="P8" s="9">
        <f ca="1" t="shared" si="4"/>
        <v>0.9652659093802869</v>
      </c>
      <c r="Q8" s="9">
        <f ca="1" t="shared" si="4"/>
        <v>0</v>
      </c>
      <c r="R8" s="9">
        <f ca="1" t="shared" si="4"/>
        <v>-0.26126944748333636</v>
      </c>
      <c r="S8" s="9">
        <f ca="1" t="shared" si="5"/>
        <v>0</v>
      </c>
      <c r="T8" s="9">
        <f ca="1" t="shared" si="5"/>
        <v>1</v>
      </c>
      <c r="U8" s="9">
        <f ca="1" t="shared" si="5"/>
        <v>0</v>
      </c>
      <c r="V8" s="9">
        <f ca="1" t="shared" si="6"/>
        <v>0.26126944748333636</v>
      </c>
      <c r="W8" s="9">
        <f ca="1" t="shared" si="6"/>
        <v>0</v>
      </c>
      <c r="X8" s="9">
        <f ca="1" t="shared" si="6"/>
        <v>0.9652659093802869</v>
      </c>
      <c r="Y8" s="30">
        <f t="shared" si="8"/>
        <v>0</v>
      </c>
      <c r="Z8" s="31">
        <f t="shared" si="9"/>
        <v>90</v>
      </c>
      <c r="AA8" s="30">
        <f t="shared" si="10"/>
        <v>0</v>
      </c>
      <c r="AB8" s="31">
        <f t="shared" si="11"/>
        <v>90</v>
      </c>
      <c r="AC8" s="30">
        <f t="shared" si="12"/>
        <v>0</v>
      </c>
      <c r="AD8" s="31">
        <f t="shared" si="13"/>
        <v>90</v>
      </c>
    </row>
    <row r="9" spans="1:30" ht="12.75">
      <c r="A9" s="23" t="s">
        <v>462</v>
      </c>
      <c r="B9" s="1"/>
      <c r="C9" s="10" t="str">
        <f ca="1" t="shared" si="0"/>
        <v>Photometer optics</v>
      </c>
      <c r="D9" s="11" t="str">
        <f ca="1" t="shared" si="0"/>
        <v>PM6</v>
      </c>
      <c r="E9" s="11" t="str">
        <f ca="1" t="shared" si="0"/>
        <v>Phot</v>
      </c>
      <c r="F9" s="11" t="str">
        <f ca="1" t="shared" si="1"/>
        <v>Mirror</v>
      </c>
      <c r="G9" s="9">
        <f ca="1" t="shared" si="2"/>
        <v>296.150668</v>
      </c>
      <c r="H9" s="9">
        <f ca="1" t="shared" si="2"/>
        <v>0</v>
      </c>
      <c r="I9" s="9">
        <f ca="1" t="shared" si="2"/>
        <v>-259.533222</v>
      </c>
      <c r="J9" s="9">
        <f ca="1" t="shared" si="3"/>
        <v>-0.9866933234324157</v>
      </c>
      <c r="K9" s="9">
        <f ca="1" t="shared" si="3"/>
        <v>0</v>
      </c>
      <c r="L9" s="9">
        <f ca="1" t="shared" si="3"/>
        <v>0.16259239063958172</v>
      </c>
      <c r="M9" s="103">
        <f>IF(Flag="Ignore","",IF(OR(Flag="Hole",Flag="Det"),-VerticesSyno!NextIndex,SIGN(XnormP*GutCalc!Xnorm+YnormP*GutCalc!Ynorm+ZnormP*GutCalc!Znorm)))</f>
        <v>1</v>
      </c>
      <c r="N9" s="103">
        <f>VerticesSyno!NextIndex</f>
        <v>-1</v>
      </c>
      <c r="O9" s="103">
        <f t="shared" si="7"/>
        <v>0</v>
      </c>
      <c r="P9" s="9">
        <f ca="1" t="shared" si="4"/>
        <v>-0.9866933234324157</v>
      </c>
      <c r="Q9" s="9">
        <f ca="1" t="shared" si="4"/>
        <v>0</v>
      </c>
      <c r="R9" s="9">
        <f ca="1" t="shared" si="4"/>
        <v>0.16259239063958172</v>
      </c>
      <c r="S9" s="9">
        <f ca="1" t="shared" si="5"/>
        <v>0</v>
      </c>
      <c r="T9" s="9">
        <f ca="1" t="shared" si="5"/>
        <v>1</v>
      </c>
      <c r="U9" s="9">
        <f ca="1" t="shared" si="5"/>
        <v>0</v>
      </c>
      <c r="V9" s="9">
        <f ca="1" t="shared" si="6"/>
        <v>-0.16259239063958172</v>
      </c>
      <c r="W9" s="9">
        <f ca="1" t="shared" si="6"/>
        <v>0</v>
      </c>
      <c r="X9" s="9">
        <f ca="1" t="shared" si="6"/>
        <v>-0.9866933234324157</v>
      </c>
      <c r="Y9" s="30">
        <f t="shared" si="8"/>
        <v>0</v>
      </c>
      <c r="Z9" s="31">
        <f t="shared" si="9"/>
        <v>90</v>
      </c>
      <c r="AA9" s="30">
        <f t="shared" si="10"/>
        <v>0</v>
      </c>
      <c r="AB9" s="31">
        <f t="shared" si="11"/>
        <v>90</v>
      </c>
      <c r="AC9" s="30">
        <f t="shared" si="12"/>
        <v>0</v>
      </c>
      <c r="AD9" s="31">
        <f t="shared" si="13"/>
        <v>90</v>
      </c>
    </row>
    <row r="10" spans="1:30" ht="12.75">
      <c r="A10" s="1" t="s">
        <v>449</v>
      </c>
      <c r="B10" s="1"/>
      <c r="C10" s="18">
        <f ca="1" t="shared" si="0"/>
      </c>
      <c r="D10" s="19" t="str">
        <f ca="1" t="shared" si="0"/>
        <v>PM7</v>
      </c>
      <c r="E10" s="19" t="str">
        <f ca="1" t="shared" si="0"/>
        <v>Phot</v>
      </c>
      <c r="F10" s="19" t="str">
        <f ca="1" t="shared" si="1"/>
        <v>Mirror</v>
      </c>
      <c r="G10" s="9">
        <f ca="1" t="shared" si="2"/>
        <v>94.233806</v>
      </c>
      <c r="H10" s="9">
        <f ca="1" t="shared" si="2"/>
        <v>0</v>
      </c>
      <c r="I10" s="9">
        <f ca="1" t="shared" si="2"/>
        <v>-279.482925</v>
      </c>
      <c r="J10" s="9">
        <f ca="1" t="shared" si="3"/>
        <v>-0.9580859005476418</v>
      </c>
      <c r="K10" s="9">
        <f ca="1" t="shared" si="3"/>
        <v>0</v>
      </c>
      <c r="L10" s="9">
        <f ca="1" t="shared" si="3"/>
        <v>0.2864810764637242</v>
      </c>
      <c r="M10" s="103">
        <f>IF(Flag="Ignore","",IF(OR(Flag="Hole",Flag="Det"),-VerticesSyno!NextIndex,SIGN(XnormP*GutCalc!Xnorm+YnormP*GutCalc!Ynorm+ZnormP*GutCalc!Znorm)))</f>
        <v>-1</v>
      </c>
      <c r="N10" s="103">
        <f>VerticesSyno!NextIndex</f>
        <v>1</v>
      </c>
      <c r="O10" s="103">
        <f t="shared" si="7"/>
        <v>0</v>
      </c>
      <c r="P10" s="9">
        <f ca="1" t="shared" si="4"/>
        <v>0.9580859005476418</v>
      </c>
      <c r="Q10" s="9">
        <f ca="1" t="shared" si="4"/>
        <v>0</v>
      </c>
      <c r="R10" s="9">
        <f ca="1" t="shared" si="4"/>
        <v>-0.2864810764637242</v>
      </c>
      <c r="S10" s="9">
        <f ca="1" t="shared" si="5"/>
        <v>0</v>
      </c>
      <c r="T10" s="9">
        <f ca="1" t="shared" si="5"/>
        <v>1</v>
      </c>
      <c r="U10" s="9">
        <f ca="1" t="shared" si="5"/>
        <v>0</v>
      </c>
      <c r="V10" s="9">
        <f ca="1" t="shared" si="6"/>
        <v>0.2864810764637242</v>
      </c>
      <c r="W10" s="9">
        <f ca="1" t="shared" si="6"/>
        <v>0</v>
      </c>
      <c r="X10" s="9">
        <f ca="1" t="shared" si="6"/>
        <v>0.9580859005476418</v>
      </c>
      <c r="Y10" s="30">
        <f t="shared" si="8"/>
        <v>0</v>
      </c>
      <c r="Z10" s="31">
        <f t="shared" si="9"/>
        <v>90</v>
      </c>
      <c r="AA10" s="30">
        <f t="shared" si="10"/>
        <v>0</v>
      </c>
      <c r="AB10" s="31">
        <f t="shared" si="11"/>
        <v>90</v>
      </c>
      <c r="AC10" s="30">
        <f t="shared" si="12"/>
        <v>0</v>
      </c>
      <c r="AD10" s="31">
        <f t="shared" si="13"/>
        <v>90</v>
      </c>
    </row>
    <row r="11" spans="1:30" ht="12.75">
      <c r="A11" s="1" t="s">
        <v>450</v>
      </c>
      <c r="B11" s="1"/>
      <c r="C11" s="18">
        <f ca="1" t="shared" si="0"/>
      </c>
      <c r="D11" s="19" t="str">
        <f ca="1" t="shared" si="0"/>
        <v>PM8</v>
      </c>
      <c r="E11" s="19" t="str">
        <f ca="1" t="shared" si="0"/>
        <v>Phot</v>
      </c>
      <c r="F11" s="19" t="str">
        <f ca="1" t="shared" si="1"/>
        <v>Mirror</v>
      </c>
      <c r="G11" s="9">
        <f ca="1" t="shared" si="2"/>
        <v>240.46642400000002</v>
      </c>
      <c r="H11" s="9">
        <f ca="1" t="shared" si="2"/>
        <v>0</v>
      </c>
      <c r="I11" s="9">
        <f ca="1" t="shared" si="2"/>
        <v>-397.635459</v>
      </c>
      <c r="J11" s="9">
        <f ca="1" t="shared" si="3"/>
        <v>-0.9974275384838198</v>
      </c>
      <c r="K11" s="9">
        <f ca="1" t="shared" si="3"/>
        <v>0</v>
      </c>
      <c r="L11" s="9">
        <f ca="1" t="shared" si="3"/>
        <v>-0.07168197454108007</v>
      </c>
      <c r="M11" s="103">
        <f>IF(Flag="Ignore","",IF(OR(Flag="Hole",Flag="Det"),-VerticesSyno!NextIndex,SIGN(XnormP*GutCalc!Xnorm+YnormP*GutCalc!Ynorm+ZnormP*GutCalc!Znorm)))</f>
        <v>1</v>
      </c>
      <c r="N11" s="103">
        <f>VerticesSyno!NextIndex</f>
        <v>-1</v>
      </c>
      <c r="O11" s="103">
        <f t="shared" si="7"/>
        <v>0</v>
      </c>
      <c r="P11" s="9">
        <f ca="1" t="shared" si="4"/>
        <v>-0.9974275384838198</v>
      </c>
      <c r="Q11" s="9">
        <f ca="1" t="shared" si="4"/>
        <v>0</v>
      </c>
      <c r="R11" s="9">
        <f ca="1" t="shared" si="4"/>
        <v>-0.07168197454108007</v>
      </c>
      <c r="S11" s="9">
        <f ca="1" t="shared" si="5"/>
        <v>0</v>
      </c>
      <c r="T11" s="9">
        <f ca="1" t="shared" si="5"/>
        <v>1</v>
      </c>
      <c r="U11" s="9">
        <f ca="1" t="shared" si="5"/>
        <v>0</v>
      </c>
      <c r="V11" s="9">
        <f ca="1" t="shared" si="6"/>
        <v>0.07168197454108007</v>
      </c>
      <c r="W11" s="9">
        <f ca="1" t="shared" si="6"/>
        <v>0</v>
      </c>
      <c r="X11" s="9">
        <f ca="1" t="shared" si="6"/>
        <v>-0.9974275384838198</v>
      </c>
      <c r="Y11" s="30">
        <f t="shared" si="8"/>
        <v>0</v>
      </c>
      <c r="Z11" s="31">
        <f t="shared" si="9"/>
        <v>90</v>
      </c>
      <c r="AA11" s="30">
        <f t="shared" si="10"/>
        <v>0</v>
      </c>
      <c r="AB11" s="31">
        <f t="shared" si="11"/>
        <v>90</v>
      </c>
      <c r="AC11" s="30">
        <f t="shared" si="12"/>
        <v>0</v>
      </c>
      <c r="AD11" s="31">
        <f t="shared" si="13"/>
        <v>90</v>
      </c>
    </row>
    <row r="12" spans="1:30" ht="12.75">
      <c r="A12" s="1" t="s">
        <v>451</v>
      </c>
      <c r="B12" s="1"/>
      <c r="C12" s="18">
        <f ca="1" t="shared" si="0"/>
      </c>
      <c r="D12" s="19" t="str">
        <f ca="1" t="shared" si="0"/>
        <v>PCS</v>
      </c>
      <c r="E12" s="19" t="str">
        <f ca="1" t="shared" si="0"/>
        <v>Phot</v>
      </c>
      <c r="F12" s="19" t="str">
        <f ca="1" t="shared" si="1"/>
        <v>Hole</v>
      </c>
      <c r="G12" s="9">
        <f aca="true" ca="1" t="shared" si="14" ref="G12:I21">IF(Flag="Ignore","",INDIRECT(Axe&amp;"0")+INDIRECT(Axe&amp;"fact")*INDIRECT("VerticesSyno!"&amp;AxeSyno&amp;Local))</f>
        <v>192.868434</v>
      </c>
      <c r="H12" s="9">
        <f ca="1" t="shared" si="14"/>
        <v>0</v>
      </c>
      <c r="I12" s="9">
        <f ca="1" t="shared" si="14"/>
        <v>-448.96217</v>
      </c>
      <c r="J12" s="9">
        <f ca="1" t="shared" si="3"/>
        <v>-0.6799712953275036</v>
      </c>
      <c r="K12" s="9">
        <f ca="1" t="shared" si="3"/>
        <v>0</v>
      </c>
      <c r="L12" s="9">
        <f ca="1" t="shared" si="3"/>
        <v>-0.7332387316083603</v>
      </c>
      <c r="M12" s="103">
        <f>IF(Flag="Ignore","",IF(OR(Flag="Hole",Flag="Det"),-VerticesSyno!NextIndex,SIGN(XnormP*GutCalc!Xnorm+YnormP*GutCalc!Ynorm+ZnormP*GutCalc!Znorm)))</f>
        <v>-1</v>
      </c>
      <c r="N12" s="103">
        <f>VerticesSyno!NextIndex</f>
        <v>1</v>
      </c>
      <c r="O12" s="103">
        <f t="shared" si="7"/>
        <v>0</v>
      </c>
      <c r="P12" s="9">
        <f ca="1" t="shared" si="4"/>
        <v>0.6799712953275036</v>
      </c>
      <c r="Q12" s="9">
        <f ca="1" t="shared" si="4"/>
        <v>0</v>
      </c>
      <c r="R12" s="9">
        <f ca="1" t="shared" si="4"/>
        <v>0.7332387316083603</v>
      </c>
      <c r="S12" s="9">
        <f ca="1" t="shared" si="5"/>
        <v>0</v>
      </c>
      <c r="T12" s="9">
        <f ca="1" t="shared" si="5"/>
        <v>1</v>
      </c>
      <c r="U12" s="9">
        <f ca="1" t="shared" si="5"/>
        <v>0</v>
      </c>
      <c r="V12" s="9">
        <f ca="1" t="shared" si="6"/>
        <v>-0.7332387316083603</v>
      </c>
      <c r="W12" s="9">
        <f ca="1" t="shared" si="6"/>
        <v>0</v>
      </c>
      <c r="X12" s="9">
        <f ca="1" t="shared" si="6"/>
        <v>0.6799712953275036</v>
      </c>
      <c r="Y12" s="30">
        <f t="shared" si="8"/>
        <v>0</v>
      </c>
      <c r="Z12" s="31">
        <f t="shared" si="9"/>
        <v>90</v>
      </c>
      <c r="AA12" s="30">
        <f t="shared" si="10"/>
        <v>0</v>
      </c>
      <c r="AB12" s="31">
        <f t="shared" si="11"/>
        <v>90</v>
      </c>
      <c r="AC12" s="30">
        <f t="shared" si="12"/>
        <v>0</v>
      </c>
      <c r="AD12" s="31">
        <f t="shared" si="13"/>
        <v>90</v>
      </c>
    </row>
    <row r="13" spans="1:30" ht="13.5" thickBot="1">
      <c r="A13" s="23" t="s">
        <v>123</v>
      </c>
      <c r="B13" s="1"/>
      <c r="C13" s="14">
        <f ca="1" t="shared" si="0"/>
      </c>
      <c r="D13" s="15" t="str">
        <f ca="1" t="shared" si="0"/>
        <v>PM9</v>
      </c>
      <c r="E13" s="15" t="str">
        <f ca="1" t="shared" si="0"/>
        <v>Phot</v>
      </c>
      <c r="F13" s="15" t="str">
        <f ca="1" t="shared" si="1"/>
        <v>Mirror</v>
      </c>
      <c r="G13" s="9">
        <f ca="1" t="shared" si="14"/>
        <v>104.472165</v>
      </c>
      <c r="H13" s="9">
        <f ca="1" t="shared" si="14"/>
        <v>0</v>
      </c>
      <c r="I13" s="9">
        <f ca="1" t="shared" si="14"/>
        <v>-544.283205</v>
      </c>
      <c r="J13" s="9">
        <f ca="1" t="shared" si="3"/>
        <v>-0.8897464246421136</v>
      </c>
      <c r="K13" s="9">
        <f ca="1" t="shared" si="3"/>
        <v>0</v>
      </c>
      <c r="L13" s="9">
        <f ca="1" t="shared" si="3"/>
        <v>-0.4564551454815419</v>
      </c>
      <c r="M13" s="103">
        <f>IF(Flag="Ignore","",IF(OR(Flag="Hole",Flag="Det"),-VerticesSyno!NextIndex,SIGN(XnormP*GutCalc!Xnorm+YnormP*GutCalc!Ynorm+ZnormP*GutCalc!Znorm)))</f>
        <v>-1</v>
      </c>
      <c r="N13" s="103">
        <f>VerticesSyno!NextIndex</f>
        <v>1</v>
      </c>
      <c r="O13" s="103">
        <f t="shared" si="7"/>
        <v>0</v>
      </c>
      <c r="P13" s="9">
        <f ca="1" t="shared" si="4"/>
        <v>0.8897464246421136</v>
      </c>
      <c r="Q13" s="9">
        <f ca="1" t="shared" si="4"/>
        <v>0</v>
      </c>
      <c r="R13" s="9">
        <f ca="1" t="shared" si="4"/>
        <v>0.4564551454815419</v>
      </c>
      <c r="S13" s="9">
        <f ca="1" t="shared" si="5"/>
        <v>0</v>
      </c>
      <c r="T13" s="9">
        <f ca="1" t="shared" si="5"/>
        <v>1</v>
      </c>
      <c r="U13" s="9">
        <f ca="1" t="shared" si="5"/>
        <v>0</v>
      </c>
      <c r="V13" s="9">
        <f ca="1" t="shared" si="6"/>
        <v>-0.4564551454815419</v>
      </c>
      <c r="W13" s="9">
        <f ca="1" t="shared" si="6"/>
        <v>0</v>
      </c>
      <c r="X13" s="9">
        <f ca="1" t="shared" si="6"/>
        <v>0.8897464246421136</v>
      </c>
      <c r="Y13" s="30">
        <f t="shared" si="8"/>
        <v>0</v>
      </c>
      <c r="Z13" s="31">
        <f t="shared" si="9"/>
        <v>90</v>
      </c>
      <c r="AA13" s="30">
        <f t="shared" si="10"/>
        <v>0</v>
      </c>
      <c r="AB13" s="31">
        <f t="shared" si="11"/>
        <v>90</v>
      </c>
      <c r="AC13" s="30">
        <f t="shared" si="12"/>
        <v>0</v>
      </c>
      <c r="AD13" s="31">
        <f t="shared" si="13"/>
        <v>90</v>
      </c>
    </row>
    <row r="14" spans="1:30" ht="12.75">
      <c r="A14" s="22" t="s">
        <v>99</v>
      </c>
      <c r="B14" s="22">
        <v>202</v>
      </c>
      <c r="C14" s="10" t="str">
        <f ca="1" t="shared" si="0"/>
        <v>Short wave</v>
      </c>
      <c r="D14" s="11" t="str">
        <f ca="1" t="shared" si="0"/>
        <v>PDIC1</v>
      </c>
      <c r="E14" s="11" t="str">
        <f ca="1" t="shared" si="0"/>
        <v>Phot</v>
      </c>
      <c r="F14" s="11" t="str">
        <f ca="1" t="shared" si="1"/>
        <v>Hole</v>
      </c>
      <c r="G14" s="9">
        <f ca="1" t="shared" si="14"/>
        <v>238.419841</v>
      </c>
      <c r="H14" s="9">
        <f ca="1" t="shared" si="14"/>
        <v>0</v>
      </c>
      <c r="I14" s="9">
        <f ca="1" t="shared" si="14"/>
        <v>-527.460001</v>
      </c>
      <c r="J14" s="9">
        <f ca="1" t="shared" si="3"/>
        <v>-0.9051344700049381</v>
      </c>
      <c r="K14" s="9">
        <f ca="1" t="shared" si="3"/>
        <v>0</v>
      </c>
      <c r="L14" s="9">
        <f ca="1" t="shared" si="3"/>
        <v>-0.4251253829270604</v>
      </c>
      <c r="M14" s="103">
        <f>IF(Flag="Ignore","",IF(OR(Flag="Hole",Flag="Det"),-VerticesSyno!NextIndex,SIGN(XnormP*GutCalc!Xnorm+YnormP*GutCalc!Ynorm+ZnormP*GutCalc!Znorm)))</f>
        <v>1</v>
      </c>
      <c r="N14" s="103">
        <f>VerticesSyno!NextIndex</f>
        <v>-1</v>
      </c>
      <c r="O14" s="103">
        <f t="shared" si="7"/>
        <v>0</v>
      </c>
      <c r="P14" s="9">
        <f ca="1" t="shared" si="4"/>
        <v>-0.9051344700049381</v>
      </c>
      <c r="Q14" s="9">
        <f ca="1" t="shared" si="4"/>
        <v>0</v>
      </c>
      <c r="R14" s="9">
        <f ca="1" t="shared" si="4"/>
        <v>-0.4251253829270604</v>
      </c>
      <c r="S14" s="9">
        <f ca="1" t="shared" si="5"/>
        <v>0</v>
      </c>
      <c r="T14" s="9">
        <f ca="1" t="shared" si="5"/>
        <v>1</v>
      </c>
      <c r="U14" s="9">
        <f ca="1" t="shared" si="5"/>
        <v>0</v>
      </c>
      <c r="V14" s="9">
        <f ca="1" t="shared" si="6"/>
        <v>0.4251253829270604</v>
      </c>
      <c r="W14" s="9">
        <f ca="1" t="shared" si="6"/>
        <v>0</v>
      </c>
      <c r="X14" s="9">
        <f ca="1" t="shared" si="6"/>
        <v>-0.9051344700049381</v>
      </c>
      <c r="Y14" s="30">
        <f t="shared" si="8"/>
        <v>0</v>
      </c>
      <c r="Z14" s="31">
        <f t="shared" si="9"/>
        <v>90</v>
      </c>
      <c r="AA14" s="30">
        <f t="shared" si="10"/>
        <v>0</v>
      </c>
      <c r="AB14" s="31">
        <f t="shared" si="11"/>
        <v>90</v>
      </c>
      <c r="AC14" s="30">
        <f t="shared" si="12"/>
        <v>0</v>
      </c>
      <c r="AD14" s="31">
        <f t="shared" si="13"/>
        <v>90</v>
      </c>
    </row>
    <row r="15" spans="1:30" ht="12.75">
      <c r="A15" s="22" t="s">
        <v>101</v>
      </c>
      <c r="B15" s="22">
        <v>0</v>
      </c>
      <c r="C15" s="18">
        <f ca="1" t="shared" si="0"/>
      </c>
      <c r="D15" s="19" t="str">
        <f ca="1" t="shared" si="0"/>
        <v>PM10</v>
      </c>
      <c r="E15" s="19" t="str">
        <f ca="1" t="shared" si="0"/>
        <v>Phot</v>
      </c>
      <c r="F15" s="19" t="str">
        <f ca="1" t="shared" si="1"/>
        <v>Mirror</v>
      </c>
      <c r="G15" s="9">
        <f ca="1" t="shared" si="14"/>
        <v>139.942327</v>
      </c>
      <c r="H15" s="9">
        <f ca="1" t="shared" si="14"/>
        <v>1.82E-14</v>
      </c>
      <c r="I15" s="9">
        <f ca="1" t="shared" si="14"/>
        <v>-619.802728</v>
      </c>
      <c r="J15" s="9">
        <f ca="1" t="shared" si="3"/>
        <v>-0.5158082818360727</v>
      </c>
      <c r="K15" s="9">
        <f ca="1" t="shared" si="3"/>
        <v>0.7071067811865475</v>
      </c>
      <c r="L15" s="9">
        <f ca="1" t="shared" si="3"/>
        <v>-0.4836753212531301</v>
      </c>
      <c r="M15" s="103">
        <f>IF(Flag="Ignore","",IF(OR(Flag="Hole",Flag="Det"),-VerticesSyno!NextIndex,SIGN(XnormP*GutCalc!Xnorm+YnormP*GutCalc!Ynorm+ZnormP*GutCalc!Znorm)))</f>
        <v>-1</v>
      </c>
      <c r="N15" s="103">
        <f>VerticesSyno!NextIndex</f>
        <v>1</v>
      </c>
      <c r="O15" s="103">
        <f t="shared" si="7"/>
        <v>0</v>
      </c>
      <c r="P15" s="9">
        <f ca="1" t="shared" si="4"/>
        <v>0.5158082818360727</v>
      </c>
      <c r="Q15" s="9">
        <f ca="1" t="shared" si="4"/>
        <v>-0.7071067811865475</v>
      </c>
      <c r="R15" s="9">
        <f ca="1" t="shared" si="4"/>
        <v>0.4836753212531301</v>
      </c>
      <c r="S15" s="9">
        <f ca="1" t="shared" si="5"/>
        <v>0.5158082818360726</v>
      </c>
      <c r="T15" s="9">
        <f ca="1" t="shared" si="5"/>
        <v>0.7071067811865476</v>
      </c>
      <c r="U15" s="9">
        <f ca="1" t="shared" si="5"/>
        <v>0.48367532125313006</v>
      </c>
      <c r="V15" s="9">
        <f ca="1" t="shared" si="6"/>
        <v>-0.6840201991013403</v>
      </c>
      <c r="W15" s="9">
        <f ca="1" t="shared" si="6"/>
        <v>0</v>
      </c>
      <c r="X15" s="9">
        <f ca="1" t="shared" si="6"/>
        <v>0.7294630677569378</v>
      </c>
      <c r="Y15" s="30">
        <f t="shared" si="8"/>
        <v>0</v>
      </c>
      <c r="Z15" s="31">
        <f t="shared" si="9"/>
        <v>90</v>
      </c>
      <c r="AA15" s="30">
        <f t="shared" si="10"/>
        <v>0</v>
      </c>
      <c r="AB15" s="31">
        <f t="shared" si="11"/>
        <v>90</v>
      </c>
      <c r="AC15" s="30">
        <f t="shared" si="12"/>
        <v>5.551115123125783E-17</v>
      </c>
      <c r="AD15" s="31">
        <f t="shared" si="13"/>
        <v>90</v>
      </c>
    </row>
    <row r="16" spans="1:30" ht="13.5" thickBot="1">
      <c r="A16" s="22" t="s">
        <v>103</v>
      </c>
      <c r="B16" s="22">
        <v>0</v>
      </c>
      <c r="C16" s="14">
        <f ca="1" t="shared" si="0"/>
      </c>
      <c r="D16" s="15" t="str">
        <f ca="1" t="shared" si="0"/>
        <v>PSW</v>
      </c>
      <c r="E16" s="15" t="str">
        <f ca="1" t="shared" si="0"/>
        <v>Phot</v>
      </c>
      <c r="F16" s="15" t="str">
        <f ca="1" t="shared" si="1"/>
        <v>Det</v>
      </c>
      <c r="G16" s="9">
        <f ca="1" t="shared" si="14"/>
        <v>139.942327</v>
      </c>
      <c r="H16" s="9">
        <f ca="1" t="shared" si="14"/>
        <v>-50</v>
      </c>
      <c r="I16" s="9">
        <f ca="1" t="shared" si="14"/>
        <v>-619.802728</v>
      </c>
      <c r="J16" s="9">
        <f ca="1" t="shared" si="3"/>
        <v>-4.468502751876572E-17</v>
      </c>
      <c r="K16" s="9">
        <f ca="1" t="shared" si="3"/>
        <v>1</v>
      </c>
      <c r="L16" s="9">
        <f ca="1" t="shared" si="3"/>
        <v>-4.190131450276468E-17</v>
      </c>
      <c r="M16" s="103">
        <f>IF(Flag="Ignore","",IF(OR(Flag="Hole",Flag="Det"),-VerticesSyno!NextIndex,SIGN(XnormP*GutCalc!Xnorm+YnormP*GutCalc!Ynorm+ZnormP*GutCalc!Znorm)))</f>
        <v>1</v>
      </c>
      <c r="N16" s="103">
        <f>VerticesSyno!NextIndex</f>
        <v>-1</v>
      </c>
      <c r="O16" s="103">
        <f t="shared" si="7"/>
        <v>0</v>
      </c>
      <c r="P16" s="9">
        <f ca="1" t="shared" si="4"/>
        <v>-4.468502751876572E-17</v>
      </c>
      <c r="Q16" s="9">
        <f ca="1" t="shared" si="4"/>
        <v>1</v>
      </c>
      <c r="R16" s="9">
        <f ca="1" t="shared" si="4"/>
        <v>-4.190131450276468E-17</v>
      </c>
      <c r="S16" s="9">
        <f ca="1" t="shared" si="5"/>
        <v>0.7294630677569378</v>
      </c>
      <c r="T16" s="9">
        <f ca="1" t="shared" si="5"/>
        <v>6.1257422745431E-17</v>
      </c>
      <c r="U16" s="9">
        <f ca="1" t="shared" si="5"/>
        <v>0.6840201991013403</v>
      </c>
      <c r="V16" s="9">
        <f ca="1" t="shared" si="6"/>
        <v>0.6840201991013403</v>
      </c>
      <c r="W16" s="9">
        <f ca="1" t="shared" si="6"/>
        <v>0</v>
      </c>
      <c r="X16" s="9">
        <f ca="1" t="shared" si="6"/>
        <v>-0.7294630677569378</v>
      </c>
      <c r="Y16" s="30">
        <f t="shared" si="8"/>
        <v>0</v>
      </c>
      <c r="Z16" s="31">
        <f t="shared" si="9"/>
        <v>90</v>
      </c>
      <c r="AA16" s="30">
        <f t="shared" si="10"/>
        <v>-6.162975822039155E-33</v>
      </c>
      <c r="AB16" s="31">
        <f t="shared" si="11"/>
        <v>90</v>
      </c>
      <c r="AC16" s="30">
        <f t="shared" si="12"/>
        <v>0</v>
      </c>
      <c r="AD16" s="31">
        <f t="shared" si="13"/>
        <v>90</v>
      </c>
    </row>
    <row r="17" spans="1:30" ht="13.5" thickBot="1">
      <c r="A17" s="22" t="s">
        <v>452</v>
      </c>
      <c r="B17" s="22">
        <v>-1</v>
      </c>
      <c r="C17" s="19">
        <f ca="1" t="shared" si="0"/>
      </c>
      <c r="D17" s="19" t="str">
        <f ca="1" t="shared" si="0"/>
        <v>PDIC1</v>
      </c>
      <c r="E17" s="1" t="str">
        <f ca="1" t="shared" si="0"/>
        <v>Phot</v>
      </c>
      <c r="F17" s="1" t="str">
        <f ca="1" t="shared" si="1"/>
        <v>Ignore</v>
      </c>
      <c r="G17" s="9">
        <f ca="1" t="shared" si="14"/>
      </c>
      <c r="H17" s="9">
        <f ca="1" t="shared" si="14"/>
      </c>
      <c r="I17" s="9">
        <f ca="1" t="shared" si="14"/>
      </c>
      <c r="J17" s="9">
        <f ca="1" t="shared" si="3"/>
      </c>
      <c r="K17" s="9">
        <f ca="1" t="shared" si="3"/>
      </c>
      <c r="L17" s="9">
        <f ca="1" t="shared" si="3"/>
      </c>
      <c r="M17" s="103">
        <f>IF(Flag="Ignore","",IF(OR(Flag="Hole",Flag="Det"),-VerticesSyno!NextIndex,SIGN(XnormP*GutCalc!Xnorm+YnormP*GutCalc!Ynorm+ZnormP*GutCalc!Znorm)))</f>
      </c>
      <c r="N17" s="103">
        <f>VerticesSyno!NextIndex</f>
        <v>-1</v>
      </c>
      <c r="O17" s="103" t="e">
        <f t="shared" si="7"/>
        <v>#VALUE!</v>
      </c>
      <c r="P17" s="9">
        <f ca="1" t="shared" si="4"/>
      </c>
      <c r="Q17" s="9">
        <f ca="1" t="shared" si="4"/>
      </c>
      <c r="R17" s="9">
        <f ca="1" t="shared" si="4"/>
      </c>
      <c r="S17" s="9">
        <f ca="1" t="shared" si="5"/>
      </c>
      <c r="T17" s="9">
        <f ca="1" t="shared" si="5"/>
      </c>
      <c r="U17" s="9">
        <f ca="1" t="shared" si="5"/>
      </c>
      <c r="V17" s="9">
        <f ca="1" t="shared" si="6"/>
      </c>
      <c r="W17" s="9">
        <f ca="1" t="shared" si="6"/>
      </c>
      <c r="X17" s="9">
        <f ca="1" t="shared" si="6"/>
      </c>
      <c r="Y17" s="30">
        <f t="shared" si="8"/>
      </c>
      <c r="Z17" s="31">
        <f t="shared" si="9"/>
      </c>
      <c r="AA17" s="30">
        <f t="shared" si="10"/>
      </c>
      <c r="AB17" s="31">
        <f t="shared" si="11"/>
      </c>
      <c r="AC17" s="30">
        <f t="shared" si="12"/>
      </c>
      <c r="AD17" s="31">
        <f t="shared" si="13"/>
      </c>
    </row>
    <row r="18" spans="1:30" ht="12.75">
      <c r="A18" s="22" t="s">
        <v>453</v>
      </c>
      <c r="B18" s="22">
        <v>1</v>
      </c>
      <c r="C18" s="10" t="str">
        <f ca="1" t="shared" si="0"/>
        <v>Medium wave</v>
      </c>
      <c r="D18" s="11" t="str">
        <f ca="1" t="shared" si="0"/>
        <v>PDIC2</v>
      </c>
      <c r="E18" s="11" t="str">
        <f ca="1" t="shared" si="0"/>
        <v>Phot</v>
      </c>
      <c r="F18" s="11" t="str">
        <f ca="1" t="shared" si="1"/>
        <v>Hole</v>
      </c>
      <c r="G18" s="9">
        <f ca="1" t="shared" si="14"/>
        <v>337.64034100000003</v>
      </c>
      <c r="H18" s="9">
        <f ca="1" t="shared" si="14"/>
        <v>7.15E-15</v>
      </c>
      <c r="I18" s="9">
        <f ca="1" t="shared" si="14"/>
        <v>-514.998367</v>
      </c>
      <c r="J18" s="9">
        <f ca="1" t="shared" si="3"/>
        <v>-0.8992431213587703</v>
      </c>
      <c r="K18" s="9">
        <f ca="1" t="shared" si="3"/>
        <v>-0.42261826174069944</v>
      </c>
      <c r="L18" s="9">
        <f ca="1" t="shared" si="3"/>
        <v>-0.1129407523093658</v>
      </c>
      <c r="M18" s="103">
        <f>IF(Flag="Ignore","",IF(OR(Flag="Hole",Flag="Det"),-VerticesSyno!NextIndex,SIGN(XnormP*GutCalc!Xnorm+YnormP*GutCalc!Ynorm+ZnormP*GutCalc!Znorm)))</f>
        <v>1</v>
      </c>
      <c r="N18" s="103">
        <f>VerticesSyno!NextIndex</f>
        <v>-1</v>
      </c>
      <c r="O18" s="103">
        <f t="shared" si="7"/>
        <v>0</v>
      </c>
      <c r="P18" s="9">
        <f ca="1" t="shared" si="4"/>
        <v>-0.8992431213587703</v>
      </c>
      <c r="Q18" s="9">
        <f ca="1" t="shared" si="4"/>
        <v>-0.42261826174069944</v>
      </c>
      <c r="R18" s="9">
        <f ca="1" t="shared" si="4"/>
        <v>-0.1129407523093658</v>
      </c>
      <c r="S18" s="9">
        <f ca="1" t="shared" si="5"/>
        <v>-0.4193239540327994</v>
      </c>
      <c r="T18" s="9">
        <f ca="1" t="shared" si="5"/>
        <v>0.9063077870366499</v>
      </c>
      <c r="U18" s="9">
        <f ca="1" t="shared" si="5"/>
        <v>-0.05266513771964412</v>
      </c>
      <c r="V18" s="9">
        <f ca="1" t="shared" si="6"/>
        <v>0.12461633224916628</v>
      </c>
      <c r="W18" s="9">
        <f ca="1" t="shared" si="6"/>
        <v>0</v>
      </c>
      <c r="X18" s="9">
        <f ca="1" t="shared" si="6"/>
        <v>-0.9922050038861754</v>
      </c>
      <c r="Y18" s="30">
        <f t="shared" si="8"/>
        <v>0</v>
      </c>
      <c r="Z18" s="31">
        <f t="shared" si="9"/>
        <v>90</v>
      </c>
      <c r="AA18" s="30">
        <f t="shared" si="10"/>
        <v>-3.0357660829594124E-17</v>
      </c>
      <c r="AB18" s="31">
        <f t="shared" si="11"/>
        <v>90</v>
      </c>
      <c r="AC18" s="30">
        <f t="shared" si="12"/>
        <v>6.938893903907228E-18</v>
      </c>
      <c r="AD18" s="31">
        <f t="shared" si="13"/>
        <v>90</v>
      </c>
    </row>
    <row r="19" spans="1:30" ht="13.5" thickBot="1">
      <c r="A19" s="22" t="s">
        <v>454</v>
      </c>
      <c r="B19" s="22">
        <v>1</v>
      </c>
      <c r="C19" s="14">
        <f ca="1" t="shared" si="0"/>
      </c>
      <c r="D19" s="15" t="str">
        <f ca="1" t="shared" si="0"/>
        <v>PMW</v>
      </c>
      <c r="E19" s="15" t="str">
        <f ca="1" t="shared" si="0"/>
        <v>Phot</v>
      </c>
      <c r="F19" s="15" t="str">
        <f ca="1" t="shared" si="1"/>
        <v>Det</v>
      </c>
      <c r="G19" s="9">
        <f ca="1" t="shared" si="14"/>
        <v>283.429289</v>
      </c>
      <c r="H19" s="9">
        <f ca="1" t="shared" si="14"/>
        <v>-65.113778</v>
      </c>
      <c r="I19" s="9">
        <f ca="1" t="shared" si="14"/>
        <v>-521.807023</v>
      </c>
      <c r="J19" s="9">
        <f ca="1" t="shared" si="3"/>
        <v>-0.6377770827670182</v>
      </c>
      <c r="K19" s="9">
        <f ca="1" t="shared" si="3"/>
        <v>-0.766044443118978</v>
      </c>
      <c r="L19" s="9">
        <f ca="1" t="shared" si="3"/>
        <v>-0.0801018343343452</v>
      </c>
      <c r="M19" s="103">
        <f>IF(Flag="Ignore","",IF(OR(Flag="Hole",Flag="Det"),-VerticesSyno!NextIndex,SIGN(XnormP*GutCalc!Xnorm+YnormP*GutCalc!Ynorm+ZnormP*GutCalc!Znorm)))</f>
        <v>-1</v>
      </c>
      <c r="N19" s="103">
        <f>VerticesSyno!NextIndex</f>
        <v>1</v>
      </c>
      <c r="O19" s="103">
        <f t="shared" si="7"/>
        <v>0</v>
      </c>
      <c r="P19" s="9">
        <f ca="1" t="shared" si="4"/>
        <v>0.6377770827670182</v>
      </c>
      <c r="Q19" s="9">
        <f ca="1" t="shared" si="4"/>
        <v>0.766044443118978</v>
      </c>
      <c r="R19" s="9">
        <f ca="1" t="shared" si="4"/>
        <v>0.0801018343343452</v>
      </c>
      <c r="S19" s="9">
        <f ca="1" t="shared" si="5"/>
        <v>-0.7600731296618486</v>
      </c>
      <c r="T19" s="9">
        <f ca="1" t="shared" si="5"/>
        <v>0.6427876096865394</v>
      </c>
      <c r="U19" s="9">
        <f ca="1" t="shared" si="5"/>
        <v>-0.09546164884134213</v>
      </c>
      <c r="V19" s="9">
        <f ca="1" t="shared" si="6"/>
        <v>-0.12461633224916628</v>
      </c>
      <c r="W19" s="9">
        <f ca="1" t="shared" si="6"/>
        <v>0</v>
      </c>
      <c r="X19" s="9">
        <f ca="1" t="shared" si="6"/>
        <v>0.9922050038861754</v>
      </c>
      <c r="Y19" s="30">
        <f t="shared" si="8"/>
        <v>0</v>
      </c>
      <c r="Z19" s="31">
        <f t="shared" si="9"/>
        <v>90</v>
      </c>
      <c r="AA19" s="30">
        <f t="shared" si="10"/>
        <v>1.0928757898653885E-16</v>
      </c>
      <c r="AB19" s="31">
        <f t="shared" si="11"/>
        <v>90</v>
      </c>
      <c r="AC19" s="30">
        <f t="shared" si="12"/>
        <v>-1.3877787807814457E-17</v>
      </c>
      <c r="AD19" s="31">
        <f t="shared" si="13"/>
        <v>90</v>
      </c>
    </row>
    <row r="20" spans="3:30" ht="13.5" thickBot="1">
      <c r="C20" s="19">
        <f ca="1" t="shared" si="0"/>
      </c>
      <c r="D20" s="19" t="str">
        <f ca="1" t="shared" si="0"/>
        <v>PDIC2</v>
      </c>
      <c r="E20" s="1" t="str">
        <f ca="1" t="shared" si="0"/>
        <v>Phot</v>
      </c>
      <c r="F20" s="1" t="str">
        <f ca="1" t="shared" si="1"/>
        <v>Ignore</v>
      </c>
      <c r="G20" s="9">
        <f ca="1" t="shared" si="14"/>
      </c>
      <c r="H20" s="9">
        <f ca="1" t="shared" si="14"/>
      </c>
      <c r="I20" s="9">
        <f ca="1" t="shared" si="14"/>
      </c>
      <c r="J20" s="9">
        <f ca="1" t="shared" si="3"/>
      </c>
      <c r="K20" s="9">
        <f ca="1" t="shared" si="3"/>
      </c>
      <c r="L20" s="9">
        <f ca="1" t="shared" si="3"/>
      </c>
      <c r="M20" s="103">
        <f>IF(Flag="Ignore","",IF(OR(Flag="Hole",Flag="Det"),-VerticesSyno!NextIndex,SIGN(XnormP*GutCalc!Xnorm+YnormP*GutCalc!Ynorm+ZnormP*GutCalc!Znorm)))</f>
      </c>
      <c r="N20" s="103">
        <f>VerticesSyno!NextIndex</f>
        <v>-1</v>
      </c>
      <c r="O20" s="103" t="e">
        <f t="shared" si="7"/>
        <v>#VALUE!</v>
      </c>
      <c r="P20" s="9">
        <f ca="1" t="shared" si="4"/>
      </c>
      <c r="Q20" s="9">
        <f ca="1" t="shared" si="4"/>
      </c>
      <c r="R20" s="9">
        <f ca="1" t="shared" si="4"/>
      </c>
      <c r="S20" s="9">
        <f ca="1" t="shared" si="5"/>
      </c>
      <c r="T20" s="9">
        <f ca="1" t="shared" si="5"/>
      </c>
      <c r="U20" s="9">
        <f ca="1" t="shared" si="5"/>
      </c>
      <c r="V20" s="9">
        <f ca="1" t="shared" si="6"/>
      </c>
      <c r="W20" s="9">
        <f ca="1" t="shared" si="6"/>
      </c>
      <c r="X20" s="9">
        <f ca="1" t="shared" si="6"/>
      </c>
      <c r="Y20" s="30">
        <f t="shared" si="8"/>
      </c>
      <c r="Z20" s="31">
        <f t="shared" si="9"/>
      </c>
      <c r="AA20" s="30">
        <f t="shared" si="10"/>
      </c>
      <c r="AB20" s="31">
        <f t="shared" si="11"/>
      </c>
      <c r="AC20" s="30">
        <f t="shared" si="12"/>
      </c>
      <c r="AD20" s="31">
        <f t="shared" si="13"/>
      </c>
    </row>
    <row r="21" spans="1:30" ht="12.75">
      <c r="A21" s="23" t="s">
        <v>470</v>
      </c>
      <c r="B21" s="1"/>
      <c r="C21" s="10" t="str">
        <f ca="1" t="shared" si="0"/>
        <v>Long wave</v>
      </c>
      <c r="D21" s="11" t="str">
        <f ca="1" t="shared" si="0"/>
        <v>PM11</v>
      </c>
      <c r="E21" s="11" t="str">
        <f ca="1" t="shared" si="0"/>
        <v>Phot</v>
      </c>
      <c r="F21" s="11" t="str">
        <f ca="1" t="shared" si="1"/>
        <v>Mirror</v>
      </c>
      <c r="G21" s="9">
        <f ca="1" t="shared" si="14"/>
        <v>381.297361</v>
      </c>
      <c r="H21" s="9">
        <f ca="1" t="shared" si="14"/>
        <v>-1.28E-14</v>
      </c>
      <c r="I21" s="9">
        <f ca="1" t="shared" si="14"/>
        <v>-509.515249</v>
      </c>
      <c r="J21" s="9">
        <f ca="1" t="shared" si="3"/>
        <v>-0.7498640170291299</v>
      </c>
      <c r="K21" s="9">
        <f ca="1" t="shared" si="3"/>
        <v>0</v>
      </c>
      <c r="L21" s="9">
        <f ca="1" t="shared" si="3"/>
        <v>0.6615919860192813</v>
      </c>
      <c r="M21" s="103">
        <f>IF(Flag="Ignore","",IF(OR(Flag="Hole",Flag="Det"),-VerticesSyno!NextIndex,SIGN(XnormP*GutCalc!Xnorm+YnormP*GutCalc!Ynorm+ZnormP*GutCalc!Znorm)))</f>
        <v>1</v>
      </c>
      <c r="N21" s="103">
        <f>VerticesSyno!NextIndex</f>
        <v>-1</v>
      </c>
      <c r="O21" s="103">
        <f t="shared" si="7"/>
        <v>0</v>
      </c>
      <c r="P21" s="9">
        <f ca="1" t="shared" si="4"/>
        <v>-0.7498640170291299</v>
      </c>
      <c r="Q21" s="9">
        <f ca="1" t="shared" si="4"/>
        <v>0</v>
      </c>
      <c r="R21" s="9">
        <f ca="1" t="shared" si="4"/>
        <v>0.6615919860192813</v>
      </c>
      <c r="S21" s="9">
        <f ca="1" t="shared" si="5"/>
        <v>0</v>
      </c>
      <c r="T21" s="9">
        <f ca="1" t="shared" si="5"/>
        <v>1</v>
      </c>
      <c r="U21" s="9">
        <f ca="1" t="shared" si="5"/>
        <v>0</v>
      </c>
      <c r="V21" s="9">
        <f ca="1" t="shared" si="6"/>
        <v>-0.6615919860192813</v>
      </c>
      <c r="W21" s="9">
        <f ca="1" t="shared" si="6"/>
        <v>0</v>
      </c>
      <c r="X21" s="9">
        <f ca="1" t="shared" si="6"/>
        <v>-0.7498640170291299</v>
      </c>
      <c r="Y21" s="30">
        <f t="shared" si="8"/>
        <v>0</v>
      </c>
      <c r="Z21" s="31">
        <f t="shared" si="9"/>
        <v>90</v>
      </c>
      <c r="AA21" s="30">
        <f t="shared" si="10"/>
        <v>0</v>
      </c>
      <c r="AB21" s="31">
        <f t="shared" si="11"/>
        <v>90</v>
      </c>
      <c r="AC21" s="30">
        <f t="shared" si="12"/>
        <v>0</v>
      </c>
      <c r="AD21" s="31">
        <f t="shared" si="13"/>
        <v>90</v>
      </c>
    </row>
    <row r="22" spans="1:30" ht="13.5" thickBot="1">
      <c r="A22" s="1" t="s">
        <v>463</v>
      </c>
      <c r="B22" s="1"/>
      <c r="C22" s="14">
        <f aca="true" ca="1" t="shared" si="15" ref="C22:E41">IF(INDIRECT("SurfaceList!"&amp;ThisCol)="","",INDIRECT("SurfaceList!"&amp;ThisCol))</f>
      </c>
      <c r="D22" s="15" t="str">
        <f ca="1" t="shared" si="15"/>
        <v>PLW</v>
      </c>
      <c r="E22" s="15" t="str">
        <f ca="1" t="shared" si="15"/>
        <v>Phot</v>
      </c>
      <c r="F22" s="15" t="str">
        <f ca="1" t="shared" si="1"/>
        <v>Det</v>
      </c>
      <c r="G22" s="9">
        <f aca="true" ca="1" t="shared" si="16" ref="G22:I31">IF(Flag="Ignore","",INDIRECT(Axe&amp;"0")+INDIRECT(Axe&amp;"fact")*INDIRECT("VerticesSyno!"&amp;AxeSyno&amp;Local))</f>
        <v>381.298363</v>
      </c>
      <c r="H22" s="9">
        <f ca="1" t="shared" si="16"/>
        <v>-1.34E-14</v>
      </c>
      <c r="I22" s="9">
        <f ca="1" t="shared" si="16"/>
        <v>-468.515249</v>
      </c>
      <c r="J22" s="9">
        <f aca="true" ca="1" t="shared" si="17" ref="J22:L41">IF(Flag="Ignore","",INDIRECT(Axe&amp;"fact")*INDIRECT("VerticesSyno!"&amp;AxeSyno&amp;Local))</f>
        <v>2.4434609525453033E-05</v>
      </c>
      <c r="K22" s="9">
        <f ca="1" t="shared" si="17"/>
        <v>0</v>
      </c>
      <c r="L22" s="9">
        <f ca="1" t="shared" si="17"/>
        <v>0.9999999997014749</v>
      </c>
      <c r="M22" s="103">
        <f>IF(Flag="Ignore","",IF(OR(Flag="Hole",Flag="Det"),-VerticesSyno!NextIndex,SIGN(XnormP*GutCalc!Xnorm+YnormP*GutCalc!Ynorm+ZnormP*GutCalc!Znorm)))</f>
        <v>-1</v>
      </c>
      <c r="N22" s="103">
        <f>VerticesSyno!NextIndex</f>
        <v>1</v>
      </c>
      <c r="O22" s="103">
        <f t="shared" si="7"/>
        <v>0</v>
      </c>
      <c r="P22" s="9">
        <f aca="true" ca="1" t="shared" si="18" ref="P22:R41">IF(Flag="Ignore","",INDIRECT(Axe&amp;"fact")*INDIRECT("VerticesSyno!"&amp;AxeSyno&amp;Local)*NormDir)</f>
        <v>-2.4434609525453033E-05</v>
      </c>
      <c r="Q22" s="9">
        <f ca="1" t="shared" si="18"/>
        <v>0</v>
      </c>
      <c r="R22" s="9">
        <f ca="1" t="shared" si="18"/>
        <v>-0.9999999997014749</v>
      </c>
      <c r="S22" s="9">
        <f aca="true" ca="1" t="shared" si="19" ref="S22:U41">IF(Flag="Ignore","",INDIRECT(Axe&amp;"fact")*INDIRECT("VerticesSyno!"&amp;AxeSyno&amp;Local))</f>
        <v>0</v>
      </c>
      <c r="T22" s="9">
        <f ca="1" t="shared" si="19"/>
        <v>1</v>
      </c>
      <c r="U22" s="9">
        <f ca="1" t="shared" si="19"/>
        <v>0</v>
      </c>
      <c r="V22" s="9">
        <f aca="true" ca="1" t="shared" si="20" ref="V22:X41">IF(Flag="Ignore","",INDIRECT(Axe&amp;"fact")*INDIRECT("VerticesSyno!"&amp;AxeSyno&amp;Local)*NormDir*(-1))</f>
        <v>0.9999999997014749</v>
      </c>
      <c r="W22" s="9">
        <f ca="1" t="shared" si="20"/>
        <v>0</v>
      </c>
      <c r="X22" s="9">
        <f ca="1" t="shared" si="20"/>
        <v>-2.4434609525453033E-05</v>
      </c>
      <c r="Y22" s="30">
        <f t="shared" si="8"/>
        <v>0</v>
      </c>
      <c r="Z22" s="31">
        <f t="shared" si="9"/>
        <v>90</v>
      </c>
      <c r="AA22" s="30">
        <f t="shared" si="10"/>
        <v>0</v>
      </c>
      <c r="AB22" s="31">
        <f t="shared" si="11"/>
        <v>90</v>
      </c>
      <c r="AC22" s="30">
        <f t="shared" si="12"/>
        <v>0</v>
      </c>
      <c r="AD22" s="31">
        <f t="shared" si="13"/>
        <v>90</v>
      </c>
    </row>
    <row r="23" spans="1:30" ht="13.5" thickBot="1">
      <c r="A23" s="1" t="s">
        <v>464</v>
      </c>
      <c r="B23" s="1"/>
      <c r="C23" s="19">
        <f ca="1" t="shared" si="15"/>
      </c>
      <c r="D23" s="19" t="str">
        <f ca="1" t="shared" si="15"/>
        <v>CM5</v>
      </c>
      <c r="E23" s="19" t="str">
        <f ca="1" t="shared" si="15"/>
        <v>Spec</v>
      </c>
      <c r="F23" s="15" t="str">
        <f ca="1" t="shared" si="1"/>
        <v>Ignore</v>
      </c>
      <c r="G23" s="9">
        <f ca="1" t="shared" si="16"/>
      </c>
      <c r="H23" s="9">
        <f ca="1" t="shared" si="16"/>
      </c>
      <c r="I23" s="9">
        <f ca="1" t="shared" si="16"/>
      </c>
      <c r="J23" s="9">
        <f ca="1" t="shared" si="17"/>
      </c>
      <c r="K23" s="9">
        <f ca="1" t="shared" si="17"/>
      </c>
      <c r="L23" s="9">
        <f ca="1" t="shared" si="17"/>
      </c>
      <c r="M23" s="103">
        <f>IF(Flag="Ignore","",IF(OR(Flag="Hole",Flag="Det"),-VerticesSyno!NextIndex,SIGN(XnormP*GutCalc!Xnorm+YnormP*GutCalc!Ynorm+ZnormP*GutCalc!Znorm)))</f>
      </c>
      <c r="N23" s="103">
        <f>VerticesSyno!NextIndex</f>
        <v>1</v>
      </c>
      <c r="O23" s="103" t="e">
        <f t="shared" si="7"/>
        <v>#VALUE!</v>
      </c>
      <c r="P23" s="9">
        <f ca="1" t="shared" si="18"/>
      </c>
      <c r="Q23" s="9">
        <f ca="1" t="shared" si="18"/>
      </c>
      <c r="R23" s="9">
        <f ca="1" t="shared" si="18"/>
      </c>
      <c r="S23" s="9">
        <f ca="1" t="shared" si="19"/>
      </c>
      <c r="T23" s="9">
        <f ca="1" t="shared" si="19"/>
      </c>
      <c r="U23" s="9">
        <f ca="1" t="shared" si="19"/>
      </c>
      <c r="V23" s="9">
        <f ca="1" t="shared" si="20"/>
      </c>
      <c r="W23" s="9">
        <f ca="1" t="shared" si="20"/>
      </c>
      <c r="X23" s="9">
        <f ca="1" t="shared" si="20"/>
      </c>
      <c r="Y23" s="30">
        <f t="shared" si="8"/>
      </c>
      <c r="Z23" s="31">
        <f t="shared" si="9"/>
      </c>
      <c r="AA23" s="30">
        <f t="shared" si="10"/>
      </c>
      <c r="AB23" s="31">
        <f t="shared" si="11"/>
      </c>
      <c r="AC23" s="30">
        <f t="shared" si="12"/>
      </c>
      <c r="AD23" s="31">
        <f t="shared" si="13"/>
      </c>
    </row>
    <row r="24" spans="1:30" ht="12.75">
      <c r="A24" s="1" t="s">
        <v>465</v>
      </c>
      <c r="B24" s="1"/>
      <c r="C24" s="10" t="str">
        <f ca="1" t="shared" si="15"/>
        <v>Spectrometer optics</v>
      </c>
      <c r="D24" s="11" t="str">
        <f ca="1" t="shared" si="15"/>
        <v>SM6</v>
      </c>
      <c r="E24" s="11" t="str">
        <f ca="1" t="shared" si="15"/>
        <v>Spec</v>
      </c>
      <c r="F24" s="11" t="str">
        <f ca="1" t="shared" si="1"/>
        <v>Mirror</v>
      </c>
      <c r="G24" s="9">
        <f ca="1" t="shared" si="16"/>
        <v>306.150668</v>
      </c>
      <c r="H24" s="9">
        <f ca="1" t="shared" si="16"/>
        <v>33.82</v>
      </c>
      <c r="I24" s="9">
        <f ca="1" t="shared" si="16"/>
        <v>-263.975222</v>
      </c>
      <c r="J24" s="9">
        <f ca="1" t="shared" si="17"/>
        <v>-0.5448036271387428</v>
      </c>
      <c r="K24" s="9">
        <f ca="1" t="shared" si="17"/>
        <v>0.7099523681147767</v>
      </c>
      <c r="L24" s="9">
        <f ca="1" t="shared" si="17"/>
        <v>0.4462696974528858</v>
      </c>
      <c r="M24" s="103">
        <f>IF(Flag="Ignore","",IF(OR(Flag="Hole",Flag="Det"),-VerticesSyno!NextIndex,SIGN(XnormP*GutCalc!Xnorm+YnormP*GutCalc!Ynorm+ZnormP*GutCalc!Znorm)))</f>
        <v>1</v>
      </c>
      <c r="N24" s="103">
        <f>VerticesSyno!NextIndex</f>
        <v>-1</v>
      </c>
      <c r="O24" s="103">
        <f t="shared" si="7"/>
        <v>0</v>
      </c>
      <c r="P24" s="9">
        <f ca="1" t="shared" si="18"/>
        <v>-0.5448036271387428</v>
      </c>
      <c r="Q24" s="9">
        <f ca="1" t="shared" si="18"/>
        <v>0.7099523681147767</v>
      </c>
      <c r="R24" s="9">
        <f ca="1" t="shared" si="18"/>
        <v>0.4462696974528858</v>
      </c>
      <c r="S24" s="9">
        <f ca="1" t="shared" si="19"/>
        <v>0.6876060018493141</v>
      </c>
      <c r="T24" s="9">
        <f ca="1" t="shared" si="19"/>
        <v>0.6828304098612817</v>
      </c>
      <c r="U24" s="9">
        <f ca="1" t="shared" si="19"/>
        <v>-0.24686153525706456</v>
      </c>
      <c r="V24" s="9">
        <f ca="1" t="shared" si="20"/>
        <v>-0.4799864519726267</v>
      </c>
      <c r="W24" s="9">
        <f ca="1" t="shared" si="20"/>
        <v>0.17236666260299444</v>
      </c>
      <c r="X24" s="9">
        <f ca="1" t="shared" si="20"/>
        <v>-0.8601759933559147</v>
      </c>
      <c r="Y24" s="30">
        <f t="shared" si="8"/>
        <v>0</v>
      </c>
      <c r="Z24" s="31">
        <f t="shared" si="9"/>
        <v>90</v>
      </c>
      <c r="AA24" s="30">
        <f t="shared" si="10"/>
        <v>6.938893903907228E-17</v>
      </c>
      <c r="AB24" s="31">
        <f t="shared" si="11"/>
        <v>90</v>
      </c>
      <c r="AC24" s="30">
        <f t="shared" si="12"/>
        <v>-5.551115123125783E-17</v>
      </c>
      <c r="AD24" s="31">
        <f t="shared" si="13"/>
        <v>90</v>
      </c>
    </row>
    <row r="25" spans="1:30" ht="12.75">
      <c r="A25" s="23" t="s">
        <v>123</v>
      </c>
      <c r="B25" s="1"/>
      <c r="C25" s="18">
        <f ca="1" t="shared" si="15"/>
      </c>
      <c r="D25" s="19" t="str">
        <f ca="1" t="shared" si="15"/>
        <v>SCS</v>
      </c>
      <c r="E25" s="19" t="str">
        <f ca="1" t="shared" si="15"/>
        <v>Spec</v>
      </c>
      <c r="F25" s="19" t="str">
        <f ca="1" t="shared" si="1"/>
        <v>Hole</v>
      </c>
      <c r="G25" s="9">
        <f ca="1" t="shared" si="16"/>
        <v>314.982809</v>
      </c>
      <c r="H25" s="9">
        <f ca="1" t="shared" si="16"/>
        <v>141.695656</v>
      </c>
      <c r="I25" s="9">
        <f ca="1" t="shared" si="16"/>
        <v>-233.042376</v>
      </c>
      <c r="J25" s="9">
        <f ca="1" t="shared" si="17"/>
        <v>0.49644749895141155</v>
      </c>
      <c r="K25" s="9">
        <f ca="1" t="shared" si="17"/>
        <v>0.7528435614080758</v>
      </c>
      <c r="L25" s="9">
        <f ca="1" t="shared" si="17"/>
        <v>0.4321648445110881</v>
      </c>
      <c r="M25" s="103">
        <f>IF(Flag="Ignore","",IF(OR(Flag="Hole",Flag="Det"),-VerticesSyno!NextIndex,SIGN(XnormP*GutCalc!Xnorm+YnormP*GutCalc!Ynorm+ZnormP*GutCalc!Znorm)))</f>
        <v>-1</v>
      </c>
      <c r="N25" s="103">
        <f>VerticesSyno!NextIndex</f>
        <v>1</v>
      </c>
      <c r="O25" s="103">
        <f t="shared" si="7"/>
        <v>0</v>
      </c>
      <c r="P25" s="9">
        <f ca="1" t="shared" si="18"/>
        <v>-0.49644749895141155</v>
      </c>
      <c r="Q25" s="9">
        <f ca="1" t="shared" si="18"/>
        <v>-0.7528435614080758</v>
      </c>
      <c r="R25" s="9">
        <f ca="1" t="shared" si="18"/>
        <v>-0.4321648445110881</v>
      </c>
      <c r="S25" s="9">
        <f ca="1" t="shared" si="19"/>
        <v>0.10552311724119295</v>
      </c>
      <c r="T25" s="9">
        <f ca="1" t="shared" si="19"/>
        <v>0.4418171429276573</v>
      </c>
      <c r="U25" s="9">
        <f ca="1" t="shared" si="19"/>
        <v>-0.8908773675107835</v>
      </c>
      <c r="V25" s="9">
        <f ca="1" t="shared" si="20"/>
        <v>0.8616291270103338</v>
      </c>
      <c r="W25" s="9">
        <f ca="1" t="shared" si="20"/>
        <v>-0.4878772225280114</v>
      </c>
      <c r="X25" s="9">
        <f ca="1" t="shared" si="20"/>
        <v>-0.1398966162055521</v>
      </c>
      <c r="Y25" s="30">
        <f t="shared" si="8"/>
        <v>-9.71445146547012E-17</v>
      </c>
      <c r="Z25" s="31">
        <f t="shared" si="9"/>
        <v>90</v>
      </c>
      <c r="AA25" s="30">
        <f t="shared" si="10"/>
        <v>0</v>
      </c>
      <c r="AB25" s="31">
        <f t="shared" si="11"/>
        <v>90</v>
      </c>
      <c r="AC25" s="30">
        <f t="shared" si="12"/>
        <v>-1.3877787807814457E-17</v>
      </c>
      <c r="AD25" s="31">
        <f t="shared" si="13"/>
        <v>90</v>
      </c>
    </row>
    <row r="26" spans="1:30" ht="12.75">
      <c r="A26" s="22" t="s">
        <v>452</v>
      </c>
      <c r="B26" s="22">
        <v>-1</v>
      </c>
      <c r="C26" s="18">
        <f ca="1" t="shared" si="15"/>
      </c>
      <c r="D26" s="19" t="str">
        <f ca="1" t="shared" si="15"/>
        <v>SM7</v>
      </c>
      <c r="E26" s="19" t="str">
        <f ca="1" t="shared" si="15"/>
        <v>Spec</v>
      </c>
      <c r="F26" s="19" t="str">
        <f ca="1" t="shared" si="1"/>
        <v>Mirror</v>
      </c>
      <c r="G26" s="9">
        <f ca="1" t="shared" si="16"/>
        <v>317.370319</v>
      </c>
      <c r="H26" s="9">
        <f ca="1" t="shared" si="16"/>
        <v>170.856678</v>
      </c>
      <c r="I26" s="9">
        <f ca="1" t="shared" si="16"/>
        <v>-224.680587</v>
      </c>
      <c r="J26" s="9">
        <f ca="1" t="shared" si="17"/>
        <v>0.6505602727317011</v>
      </c>
      <c r="K26" s="9">
        <f ca="1" t="shared" si="17"/>
        <v>-0.6878624431607016</v>
      </c>
      <c r="L26" s="9">
        <f ca="1" t="shared" si="17"/>
        <v>-0.32189531036075236</v>
      </c>
      <c r="M26" s="103">
        <f>IF(Flag="Ignore","",IF(OR(Flag="Hole",Flag="Det"),-VerticesSyno!NextIndex,SIGN(XnormP*GutCalc!Xnorm+YnormP*GutCalc!Ynorm+ZnormP*GutCalc!Znorm)))</f>
        <v>1</v>
      </c>
      <c r="N26" s="103">
        <f>VerticesSyno!NextIndex</f>
        <v>1</v>
      </c>
      <c r="O26" s="103">
        <f t="shared" si="7"/>
        <v>2</v>
      </c>
      <c r="P26" s="9">
        <f ca="1" t="shared" si="18"/>
        <v>0.6505602727317011</v>
      </c>
      <c r="Q26" s="9">
        <f ca="1" t="shared" si="18"/>
        <v>-0.6878624431607016</v>
      </c>
      <c r="R26" s="9">
        <f ca="1" t="shared" si="18"/>
        <v>-0.32189531036075236</v>
      </c>
      <c r="S26" s="9">
        <f ca="1" t="shared" si="19"/>
        <v>0.7553847183992874</v>
      </c>
      <c r="T26" s="9">
        <f ca="1" t="shared" si="19"/>
        <v>0.6298970733282109</v>
      </c>
      <c r="U26" s="9">
        <f ca="1" t="shared" si="19"/>
        <v>0.18062005487039234</v>
      </c>
      <c r="V26" s="9">
        <f ca="1" t="shared" si="20"/>
        <v>0.07851916168734602</v>
      </c>
      <c r="W26" s="9">
        <f ca="1" t="shared" si="20"/>
        <v>-0.36065903052820547</v>
      </c>
      <c r="X26" s="9">
        <f ca="1" t="shared" si="20"/>
        <v>0.9293867897416939</v>
      </c>
      <c r="Y26" s="30">
        <f t="shared" si="8"/>
        <v>0</v>
      </c>
      <c r="Z26" s="31">
        <f t="shared" si="9"/>
        <v>90</v>
      </c>
      <c r="AA26" s="30">
        <f t="shared" si="10"/>
        <v>-6.245004513516506E-17</v>
      </c>
      <c r="AB26" s="31">
        <f t="shared" si="11"/>
        <v>90</v>
      </c>
      <c r="AC26" s="30">
        <f t="shared" si="12"/>
        <v>5.551115123125783E-17</v>
      </c>
      <c r="AD26" s="31">
        <f t="shared" si="13"/>
        <v>90</v>
      </c>
    </row>
    <row r="27" spans="1:30" ht="13.5" thickBot="1">
      <c r="A27" s="22" t="s">
        <v>453</v>
      </c>
      <c r="B27" s="22">
        <v>1</v>
      </c>
      <c r="C27" s="14">
        <f ca="1" t="shared" si="15"/>
      </c>
      <c r="D27" s="15" t="str">
        <f ca="1" t="shared" si="15"/>
        <v>SM8A</v>
      </c>
      <c r="E27" s="15" t="str">
        <f ca="1" t="shared" si="15"/>
        <v>Spec</v>
      </c>
      <c r="F27" s="15" t="str">
        <f ca="1" t="shared" si="1"/>
        <v>Mirror</v>
      </c>
      <c r="G27" s="9">
        <f ca="1" t="shared" si="16"/>
        <v>373.504361</v>
      </c>
      <c r="H27" s="9">
        <f ca="1" t="shared" si="16"/>
        <v>170.856678</v>
      </c>
      <c r="I27" s="9">
        <f ca="1" t="shared" si="16"/>
        <v>-234.578533</v>
      </c>
      <c r="J27" s="9">
        <f ca="1" t="shared" si="17"/>
        <v>-0.984807753012208</v>
      </c>
      <c r="K27" s="9">
        <f ca="1" t="shared" si="17"/>
        <v>0</v>
      </c>
      <c r="L27" s="9">
        <f ca="1" t="shared" si="17"/>
        <v>-0.17364817766693033</v>
      </c>
      <c r="M27" s="103">
        <f>IF(Flag="Ignore","",IF(OR(Flag="Hole",Flag="Det"),-VerticesSyno!NextIndex,SIGN(XnormP*GutCalc!Xnorm+YnormP*GutCalc!Ynorm+ZnormP*GutCalc!Znorm)))</f>
        <v>1</v>
      </c>
      <c r="N27" s="103">
        <f>VerticesSyno!NextIndex</f>
        <v>-1</v>
      </c>
      <c r="O27" s="103">
        <f t="shared" si="7"/>
        <v>0</v>
      </c>
      <c r="P27" s="9">
        <f ca="1" t="shared" si="18"/>
        <v>-0.984807753012208</v>
      </c>
      <c r="Q27" s="9">
        <f ca="1" t="shared" si="18"/>
        <v>0</v>
      </c>
      <c r="R27" s="9">
        <f ca="1" t="shared" si="18"/>
        <v>-0.17364817766693033</v>
      </c>
      <c r="S27" s="9">
        <f ca="1" t="shared" si="19"/>
        <v>-0.018814150275320164</v>
      </c>
      <c r="T27" s="9">
        <f ca="1" t="shared" si="19"/>
        <v>0.9941132045189992</v>
      </c>
      <c r="U27" s="9">
        <f ca="1" t="shared" si="19"/>
        <v>0.10670034840797878</v>
      </c>
      <c r="V27" s="9">
        <f ca="1" t="shared" si="20"/>
        <v>0.17262594635935663</v>
      </c>
      <c r="W27" s="9">
        <f ca="1" t="shared" si="20"/>
        <v>0.10834637327094243</v>
      </c>
      <c r="X27" s="9">
        <f ca="1" t="shared" si="20"/>
        <v>-0.9790103911821212</v>
      </c>
      <c r="Y27" s="30">
        <f t="shared" si="8"/>
        <v>-2.7755575615628914E-17</v>
      </c>
      <c r="Z27" s="31">
        <f t="shared" si="9"/>
        <v>90</v>
      </c>
      <c r="AA27" s="30">
        <f t="shared" si="10"/>
        <v>0</v>
      </c>
      <c r="AB27" s="31">
        <f t="shared" si="11"/>
        <v>90</v>
      </c>
      <c r="AC27" s="30">
        <f t="shared" si="12"/>
        <v>1.3877787807814457E-17</v>
      </c>
      <c r="AD27" s="31">
        <f t="shared" si="13"/>
        <v>90</v>
      </c>
    </row>
    <row r="28" spans="1:30" ht="12.75">
      <c r="A28" s="22" t="s">
        <v>454</v>
      </c>
      <c r="B28" s="22">
        <v>1</v>
      </c>
      <c r="C28" s="10" t="str">
        <f ca="1" t="shared" si="15"/>
        <v>Upper arm</v>
      </c>
      <c r="D28" s="11" t="str">
        <f ca="1" t="shared" si="15"/>
        <v>SBS1</v>
      </c>
      <c r="E28" s="11" t="str">
        <f ca="1" t="shared" si="15"/>
        <v>Spec</v>
      </c>
      <c r="F28" s="11" t="str">
        <f ca="1" t="shared" si="1"/>
        <v>Hole</v>
      </c>
      <c r="G28" s="9">
        <f ca="1" t="shared" si="16"/>
        <v>223.12771</v>
      </c>
      <c r="H28" s="9">
        <f ca="1" t="shared" si="16"/>
        <v>170.856678</v>
      </c>
      <c r="I28" s="9">
        <f ca="1" t="shared" si="16"/>
        <v>-321.398533</v>
      </c>
      <c r="J28" s="9">
        <f ca="1" t="shared" si="17"/>
        <v>-0.9999999999999998</v>
      </c>
      <c r="K28" s="9">
        <f ca="1" t="shared" si="17"/>
        <v>0</v>
      </c>
      <c r="L28" s="9">
        <f ca="1" t="shared" si="17"/>
        <v>1.8325957145940456E-08</v>
      </c>
      <c r="M28" s="103">
        <f>IF(Flag="Ignore","",IF(OR(Flag="Hole",Flag="Det"),-VerticesSyno!NextIndex,SIGN(XnormP*GutCalc!Xnorm+YnormP*GutCalc!Ynorm+ZnormP*GutCalc!Znorm)))</f>
        <v>-1</v>
      </c>
      <c r="N28" s="103">
        <f>VerticesSyno!NextIndex</f>
        <v>1</v>
      </c>
      <c r="O28" s="103">
        <f t="shared" si="7"/>
        <v>0</v>
      </c>
      <c r="P28" s="9">
        <f ca="1" t="shared" si="18"/>
        <v>0.9999999999999998</v>
      </c>
      <c r="Q28" s="9">
        <f ca="1" t="shared" si="18"/>
        <v>0</v>
      </c>
      <c r="R28" s="9">
        <f ca="1" t="shared" si="18"/>
        <v>-1.8325957145940456E-08</v>
      </c>
      <c r="S28" s="9">
        <f ca="1" t="shared" si="19"/>
        <v>-3.3584070531484604E-16</v>
      </c>
      <c r="T28" s="9">
        <f ca="1" t="shared" si="19"/>
        <v>0.9999999999999998</v>
      </c>
      <c r="U28" s="9">
        <f ca="1" t="shared" si="19"/>
        <v>-1.8325957145940453E-08</v>
      </c>
      <c r="V28" s="9">
        <f ca="1" t="shared" si="20"/>
        <v>1.8325957145940453E-08</v>
      </c>
      <c r="W28" s="9">
        <f ca="1" t="shared" si="20"/>
        <v>1.8325957145940456E-08</v>
      </c>
      <c r="X28" s="9">
        <f ca="1" t="shared" si="20"/>
        <v>0.9999999999999996</v>
      </c>
      <c r="Y28" s="30">
        <f t="shared" si="8"/>
        <v>0</v>
      </c>
      <c r="Z28" s="31">
        <f t="shared" si="9"/>
        <v>90</v>
      </c>
      <c r="AA28" s="30">
        <f t="shared" si="10"/>
        <v>4.930380657631324E-32</v>
      </c>
      <c r="AB28" s="31">
        <f t="shared" si="11"/>
        <v>90</v>
      </c>
      <c r="AC28" s="30">
        <f t="shared" si="12"/>
        <v>0</v>
      </c>
      <c r="AD28" s="31">
        <f t="shared" si="13"/>
        <v>90</v>
      </c>
    </row>
    <row r="29" spans="3:30" ht="12.75">
      <c r="C29" s="18">
        <f ca="1" t="shared" si="15"/>
      </c>
      <c r="D29" s="19" t="str">
        <f ca="1" t="shared" si="15"/>
        <v>SM9A</v>
      </c>
      <c r="E29" s="19" t="str">
        <f ca="1" t="shared" si="15"/>
        <v>Spec</v>
      </c>
      <c r="F29" s="19" t="str">
        <f ca="1" t="shared" si="1"/>
        <v>Mirror</v>
      </c>
      <c r="G29" s="9">
        <f ca="1" t="shared" si="16"/>
        <v>373.12331</v>
      </c>
      <c r="H29" s="9">
        <f ca="1" t="shared" si="16"/>
        <v>170.856678</v>
      </c>
      <c r="I29" s="9">
        <f ca="1" t="shared" si="16"/>
        <v>-407.998533</v>
      </c>
      <c r="J29" s="9">
        <f ca="1" t="shared" si="17"/>
        <v>-0.9659258262890683</v>
      </c>
      <c r="K29" s="9">
        <f ca="1" t="shared" si="17"/>
        <v>0</v>
      </c>
      <c r="L29" s="9">
        <f ca="1" t="shared" si="17"/>
        <v>0.25881904510252074</v>
      </c>
      <c r="M29" s="103">
        <f>IF(Flag="Ignore","",IF(OR(Flag="Hole",Flag="Det"),-VerticesSyno!NextIndex,SIGN(XnormP*GutCalc!Xnorm+YnormP*GutCalc!Ynorm+ZnormP*GutCalc!Znorm)))</f>
        <v>1</v>
      </c>
      <c r="N29" s="103">
        <f>VerticesSyno!NextIndex</f>
        <v>-1</v>
      </c>
      <c r="O29" s="103">
        <f t="shared" si="7"/>
        <v>0</v>
      </c>
      <c r="P29" s="9">
        <f ca="1" t="shared" si="18"/>
        <v>-0.9659258262890683</v>
      </c>
      <c r="Q29" s="9">
        <f ca="1" t="shared" si="18"/>
        <v>0</v>
      </c>
      <c r="R29" s="9">
        <f ca="1" t="shared" si="18"/>
        <v>0.25881904510252074</v>
      </c>
      <c r="S29" s="9">
        <f ca="1" t="shared" si="19"/>
        <v>0</v>
      </c>
      <c r="T29" s="9">
        <f ca="1" t="shared" si="19"/>
        <v>1</v>
      </c>
      <c r="U29" s="9">
        <f ca="1" t="shared" si="19"/>
        <v>0</v>
      </c>
      <c r="V29" s="9">
        <f ca="1" t="shared" si="20"/>
        <v>-0.25881904510252074</v>
      </c>
      <c r="W29" s="9">
        <f ca="1" t="shared" si="20"/>
        <v>0</v>
      </c>
      <c r="X29" s="9">
        <f ca="1" t="shared" si="20"/>
        <v>-0.9659258262890683</v>
      </c>
      <c r="Y29" s="30">
        <f t="shared" si="8"/>
        <v>0</v>
      </c>
      <c r="Z29" s="31">
        <f t="shared" si="9"/>
        <v>90</v>
      </c>
      <c r="AA29" s="30">
        <f t="shared" si="10"/>
        <v>0</v>
      </c>
      <c r="AB29" s="31">
        <f t="shared" si="11"/>
        <v>90</v>
      </c>
      <c r="AC29" s="30">
        <f t="shared" si="12"/>
        <v>0</v>
      </c>
      <c r="AD29" s="31">
        <f t="shared" si="13"/>
        <v>90</v>
      </c>
    </row>
    <row r="30" spans="1:30" ht="12.75">
      <c r="A30" s="29" t="s">
        <v>466</v>
      </c>
      <c r="C30" s="18">
        <f ca="1" t="shared" si="15"/>
      </c>
      <c r="D30" s="19" t="str">
        <f ca="1" t="shared" si="15"/>
        <v>SRTA1</v>
      </c>
      <c r="E30" s="19" t="str">
        <f ca="1" t="shared" si="15"/>
        <v>Spec</v>
      </c>
      <c r="F30" s="19" t="str">
        <f ca="1" t="shared" si="1"/>
        <v>Mirror</v>
      </c>
      <c r="G30" s="9">
        <f ca="1" t="shared" si="16"/>
        <v>248.12331</v>
      </c>
      <c r="H30" s="9">
        <f ca="1" t="shared" si="16"/>
        <v>170.856678</v>
      </c>
      <c r="I30" s="9">
        <f ca="1" t="shared" si="16"/>
        <v>-407.998533</v>
      </c>
      <c r="J30" s="9">
        <f ca="1" t="shared" si="17"/>
        <v>-0.7071067811865476</v>
      </c>
      <c r="K30" s="9">
        <f ca="1" t="shared" si="17"/>
        <v>0</v>
      </c>
      <c r="L30" s="9">
        <f ca="1" t="shared" si="17"/>
        <v>0.7071067811865475</v>
      </c>
      <c r="M30" s="103">
        <f>IF(Flag="Ignore","",IF(OR(Flag="Hole",Flag="Det"),-VerticesSyno!NextIndex,SIGN(XnormP*GutCalc!Xnorm+YnormP*GutCalc!Ynorm+ZnormP*GutCalc!Znorm)))</f>
        <v>-1</v>
      </c>
      <c r="N30" s="103">
        <f>VerticesSyno!NextIndex</f>
        <v>1</v>
      </c>
      <c r="O30" s="103">
        <f t="shared" si="7"/>
        <v>0</v>
      </c>
      <c r="P30" s="9">
        <f ca="1" t="shared" si="18"/>
        <v>0.7071067811865476</v>
      </c>
      <c r="Q30" s="9">
        <f ca="1" t="shared" si="18"/>
        <v>0</v>
      </c>
      <c r="R30" s="9">
        <f ca="1" t="shared" si="18"/>
        <v>-0.7071067811865475</v>
      </c>
      <c r="S30" s="9">
        <f ca="1" t="shared" si="19"/>
        <v>0</v>
      </c>
      <c r="T30" s="9">
        <f ca="1" t="shared" si="19"/>
        <v>1</v>
      </c>
      <c r="U30" s="9">
        <f ca="1" t="shared" si="19"/>
        <v>0</v>
      </c>
      <c r="V30" s="9">
        <f ca="1" t="shared" si="20"/>
        <v>0.7071067811865475</v>
      </c>
      <c r="W30" s="9">
        <f ca="1" t="shared" si="20"/>
        <v>0</v>
      </c>
      <c r="X30" s="9">
        <f ca="1" t="shared" si="20"/>
        <v>0.7071067811865476</v>
      </c>
      <c r="Y30" s="30">
        <f t="shared" si="8"/>
        <v>0</v>
      </c>
      <c r="Z30" s="31">
        <f t="shared" si="9"/>
        <v>90</v>
      </c>
      <c r="AA30" s="30">
        <f t="shared" si="10"/>
        <v>0</v>
      </c>
      <c r="AB30" s="31">
        <f t="shared" si="11"/>
        <v>90</v>
      </c>
      <c r="AC30" s="30">
        <f t="shared" si="12"/>
        <v>0</v>
      </c>
      <c r="AD30" s="31">
        <f t="shared" si="13"/>
        <v>90</v>
      </c>
    </row>
    <row r="31" spans="1:30" ht="12.75">
      <c r="A31" s="29" t="s">
        <v>467</v>
      </c>
      <c r="C31" s="18">
        <f ca="1" t="shared" si="15"/>
      </c>
      <c r="D31" s="19" t="str">
        <f ca="1" t="shared" si="15"/>
        <v>SRTA2</v>
      </c>
      <c r="E31" s="19" t="str">
        <f ca="1" t="shared" si="15"/>
        <v>Spec</v>
      </c>
      <c r="F31" s="19" t="str">
        <f ca="1" t="shared" si="1"/>
        <v>Mirror</v>
      </c>
      <c r="G31" s="9">
        <f ca="1" t="shared" si="16"/>
        <v>248.12331</v>
      </c>
      <c r="H31" s="9">
        <f ca="1" t="shared" si="16"/>
        <v>170.856678</v>
      </c>
      <c r="I31" s="9">
        <f ca="1" t="shared" si="16"/>
        <v>-457.998533</v>
      </c>
      <c r="J31" s="9">
        <f ca="1" t="shared" si="17"/>
        <v>0.7071067811865475</v>
      </c>
      <c r="K31" s="9">
        <f ca="1" t="shared" si="17"/>
        <v>0</v>
      </c>
      <c r="L31" s="9">
        <f ca="1" t="shared" si="17"/>
        <v>0.7071067811865476</v>
      </c>
      <c r="M31" s="103">
        <f>IF(Flag="Ignore","",IF(OR(Flag="Hole",Flag="Det"),-VerticesSyno!NextIndex,SIGN(XnormP*GutCalc!Xnorm+YnormP*GutCalc!Ynorm+ZnormP*GutCalc!Znorm)))</f>
        <v>1</v>
      </c>
      <c r="N31" s="103">
        <f>VerticesSyno!NextIndex</f>
        <v>-1</v>
      </c>
      <c r="O31" s="103">
        <f t="shared" si="7"/>
        <v>0</v>
      </c>
      <c r="P31" s="9">
        <f ca="1" t="shared" si="18"/>
        <v>0.7071067811865475</v>
      </c>
      <c r="Q31" s="9">
        <f ca="1" t="shared" si="18"/>
        <v>0</v>
      </c>
      <c r="R31" s="9">
        <f ca="1" t="shared" si="18"/>
        <v>0.7071067811865476</v>
      </c>
      <c r="S31" s="9">
        <f ca="1" t="shared" si="19"/>
        <v>0</v>
      </c>
      <c r="T31" s="9">
        <f ca="1" t="shared" si="19"/>
        <v>1</v>
      </c>
      <c r="U31" s="9">
        <f ca="1" t="shared" si="19"/>
        <v>0</v>
      </c>
      <c r="V31" s="9">
        <f ca="1" t="shared" si="20"/>
        <v>-0.7071067811865476</v>
      </c>
      <c r="W31" s="9">
        <f ca="1" t="shared" si="20"/>
        <v>0</v>
      </c>
      <c r="X31" s="9">
        <f ca="1" t="shared" si="20"/>
        <v>0.7071067811865475</v>
      </c>
      <c r="Y31" s="30">
        <f t="shared" si="8"/>
        <v>0</v>
      </c>
      <c r="Z31" s="31">
        <f t="shared" si="9"/>
        <v>90</v>
      </c>
      <c r="AA31" s="30">
        <f t="shared" si="10"/>
        <v>0</v>
      </c>
      <c r="AB31" s="31">
        <f t="shared" si="11"/>
        <v>90</v>
      </c>
      <c r="AC31" s="30">
        <f t="shared" si="12"/>
        <v>0</v>
      </c>
      <c r="AD31" s="31">
        <f t="shared" si="13"/>
        <v>90</v>
      </c>
    </row>
    <row r="32" spans="1:30" ht="12.75">
      <c r="A32" s="29" t="s">
        <v>471</v>
      </c>
      <c r="C32" s="18">
        <f ca="1" t="shared" si="15"/>
      </c>
      <c r="D32" s="19" t="str">
        <f ca="1" t="shared" si="15"/>
        <v>SM10A</v>
      </c>
      <c r="E32" s="19" t="str">
        <f ca="1" t="shared" si="15"/>
        <v>Spec</v>
      </c>
      <c r="F32" s="19" t="str">
        <f ca="1" t="shared" si="1"/>
        <v>Mirror</v>
      </c>
      <c r="G32" s="9">
        <f aca="true" ca="1" t="shared" si="21" ref="G32:I41">IF(Flag="Ignore","",INDIRECT(Axe&amp;"0")+INDIRECT(Axe&amp;"fact")*INDIRECT("VerticesSyno!"&amp;AxeSyno&amp;Local))</f>
        <v>373.12331</v>
      </c>
      <c r="H32" s="9">
        <f ca="1" t="shared" si="21"/>
        <v>170.856678</v>
      </c>
      <c r="I32" s="9">
        <f ca="1" t="shared" si="21"/>
        <v>-457.998533</v>
      </c>
      <c r="J32" s="9">
        <f ca="1" t="shared" si="17"/>
        <v>0.9659258262890682</v>
      </c>
      <c r="K32" s="9">
        <f ca="1" t="shared" si="17"/>
        <v>0</v>
      </c>
      <c r="L32" s="9">
        <f ca="1" t="shared" si="17"/>
        <v>0.258819045102521</v>
      </c>
      <c r="M32" s="103">
        <f>IF(Flag="Ignore","",IF(OR(Flag="Hole",Flag="Det"),-VerticesSyno!NextIndex,SIGN(XnormP*GutCalc!Xnorm+YnormP*GutCalc!Ynorm+ZnormP*GutCalc!Znorm)))</f>
        <v>-1</v>
      </c>
      <c r="N32" s="103">
        <f>VerticesSyno!NextIndex</f>
        <v>1</v>
      </c>
      <c r="O32" s="103">
        <f t="shared" si="7"/>
        <v>0</v>
      </c>
      <c r="P32" s="9">
        <f ca="1" t="shared" si="18"/>
        <v>-0.9659258262890682</v>
      </c>
      <c r="Q32" s="9">
        <f ca="1" t="shared" si="18"/>
        <v>0</v>
      </c>
      <c r="R32" s="9">
        <f ca="1" t="shared" si="18"/>
        <v>-0.258819045102521</v>
      </c>
      <c r="S32" s="9">
        <f ca="1" t="shared" si="19"/>
        <v>0</v>
      </c>
      <c r="T32" s="9">
        <f ca="1" t="shared" si="19"/>
        <v>1</v>
      </c>
      <c r="U32" s="9">
        <f ca="1" t="shared" si="19"/>
        <v>0</v>
      </c>
      <c r="V32" s="9">
        <f ca="1" t="shared" si="20"/>
        <v>0.258819045102521</v>
      </c>
      <c r="W32" s="9">
        <f ca="1" t="shared" si="20"/>
        <v>0</v>
      </c>
      <c r="X32" s="9">
        <f ca="1" t="shared" si="20"/>
        <v>-0.9659258262890682</v>
      </c>
      <c r="Y32" s="30">
        <f t="shared" si="8"/>
        <v>0</v>
      </c>
      <c r="Z32" s="31">
        <f t="shared" si="9"/>
        <v>90</v>
      </c>
      <c r="AA32" s="30">
        <f t="shared" si="10"/>
        <v>0</v>
      </c>
      <c r="AB32" s="31">
        <f t="shared" si="11"/>
        <v>90</v>
      </c>
      <c r="AC32" s="30">
        <f t="shared" si="12"/>
        <v>0</v>
      </c>
      <c r="AD32" s="31">
        <f t="shared" si="13"/>
        <v>90</v>
      </c>
    </row>
    <row r="33" spans="1:30" ht="12.75">
      <c r="A33" s="19" t="s">
        <v>468</v>
      </c>
      <c r="C33" s="18">
        <f ca="1" t="shared" si="15"/>
      </c>
      <c r="D33" s="19" t="str">
        <f ca="1" t="shared" si="15"/>
        <v>SBS2</v>
      </c>
      <c r="E33" s="19" t="str">
        <f ca="1" t="shared" si="15"/>
        <v>Spec</v>
      </c>
      <c r="F33" s="19" t="str">
        <f ca="1" t="shared" si="1"/>
        <v>Hole</v>
      </c>
      <c r="G33" s="9">
        <f ca="1" t="shared" si="21"/>
        <v>223.12771</v>
      </c>
      <c r="H33" s="9">
        <f ca="1" t="shared" si="21"/>
        <v>170.856678</v>
      </c>
      <c r="I33" s="9">
        <f ca="1" t="shared" si="21"/>
        <v>-544.598533</v>
      </c>
      <c r="J33" s="9">
        <f ca="1" t="shared" si="17"/>
        <v>1</v>
      </c>
      <c r="K33" s="9">
        <f ca="1" t="shared" si="17"/>
        <v>0</v>
      </c>
      <c r="L33" s="9">
        <f ca="1" t="shared" si="17"/>
        <v>1.22514845490862E-16</v>
      </c>
      <c r="M33" s="103">
        <f>IF(Flag="Ignore","",IF(OR(Flag="Hole",Flag="Det"),-VerticesSyno!NextIndex,SIGN(XnormP*GutCalc!Xnorm+YnormP*GutCalc!Ynorm+ZnormP*GutCalc!Znorm)))</f>
        <v>1</v>
      </c>
      <c r="N33" s="103">
        <f>VerticesSyno!NextIndex</f>
        <v>-1</v>
      </c>
      <c r="O33" s="103">
        <f t="shared" si="7"/>
        <v>0</v>
      </c>
      <c r="P33" s="9">
        <f ca="1" t="shared" si="18"/>
        <v>1</v>
      </c>
      <c r="Q33" s="9">
        <f ca="1" t="shared" si="18"/>
        <v>0</v>
      </c>
      <c r="R33" s="9">
        <f ca="1" t="shared" si="18"/>
        <v>1.22514845490862E-16</v>
      </c>
      <c r="S33" s="9">
        <f ca="1" t="shared" si="19"/>
        <v>-2.587327798029081E-24</v>
      </c>
      <c r="T33" s="9">
        <f ca="1" t="shared" si="19"/>
        <v>0.9999999999999998</v>
      </c>
      <c r="U33" s="9">
        <f ca="1" t="shared" si="19"/>
        <v>2.1118483949131386E-08</v>
      </c>
      <c r="V33" s="9">
        <f ca="1" t="shared" si="20"/>
        <v>-1.2251484549086198E-16</v>
      </c>
      <c r="W33" s="9">
        <f ca="1" t="shared" si="20"/>
        <v>-2.1118483949131386E-08</v>
      </c>
      <c r="X33" s="9">
        <f ca="1" t="shared" si="20"/>
        <v>0.9999999999999998</v>
      </c>
      <c r="Y33" s="30">
        <f t="shared" si="8"/>
        <v>0</v>
      </c>
      <c r="Z33" s="31">
        <f t="shared" si="9"/>
        <v>90</v>
      </c>
      <c r="AA33" s="30">
        <f t="shared" si="10"/>
        <v>0</v>
      </c>
      <c r="AB33" s="31">
        <f t="shared" si="11"/>
        <v>90</v>
      </c>
      <c r="AC33" s="30">
        <f t="shared" si="12"/>
        <v>0</v>
      </c>
      <c r="AD33" s="31">
        <f t="shared" si="13"/>
        <v>90</v>
      </c>
    </row>
    <row r="34" spans="1:30" ht="12.75">
      <c r="A34" s="19" t="s">
        <v>469</v>
      </c>
      <c r="C34" s="18">
        <f ca="1" t="shared" si="15"/>
      </c>
      <c r="D34" s="19" t="str">
        <f ca="1" t="shared" si="15"/>
        <v>SM11A</v>
      </c>
      <c r="E34" s="19" t="str">
        <f ca="1" t="shared" si="15"/>
        <v>Spec</v>
      </c>
      <c r="F34" s="19" t="str">
        <f ca="1" t="shared" si="1"/>
        <v>Mirror</v>
      </c>
      <c r="G34" s="9">
        <f ca="1" t="shared" si="21"/>
        <v>354.74625000000003</v>
      </c>
      <c r="H34" s="9">
        <f ca="1" t="shared" si="21"/>
        <v>170.856678</v>
      </c>
      <c r="I34" s="9">
        <f ca="1" t="shared" si="21"/>
        <v>-620.588533</v>
      </c>
      <c r="J34" s="9">
        <f ca="1" t="shared" si="17"/>
        <v>0.984807753012208</v>
      </c>
      <c r="K34" s="9">
        <f ca="1" t="shared" si="17"/>
        <v>0</v>
      </c>
      <c r="L34" s="9">
        <f ca="1" t="shared" si="17"/>
        <v>-0.17364817766693028</v>
      </c>
      <c r="M34" s="103">
        <f>IF(Flag="Ignore","",IF(OR(Flag="Hole",Flag="Det"),-VerticesSyno!NextIndex,SIGN(XnormP*GutCalc!Xnorm+YnormP*GutCalc!Ynorm+ZnormP*GutCalc!Znorm)))</f>
        <v>-1</v>
      </c>
      <c r="N34" s="103">
        <f>VerticesSyno!NextIndex</f>
        <v>1</v>
      </c>
      <c r="O34" s="103">
        <f t="shared" si="7"/>
        <v>0</v>
      </c>
      <c r="P34" s="9">
        <f ca="1" t="shared" si="18"/>
        <v>-0.984807753012208</v>
      </c>
      <c r="Q34" s="9">
        <f ca="1" t="shared" si="18"/>
        <v>0</v>
      </c>
      <c r="R34" s="9">
        <f ca="1" t="shared" si="18"/>
        <v>0.17364817766693028</v>
      </c>
      <c r="S34" s="9">
        <f ca="1" t="shared" si="19"/>
        <v>0</v>
      </c>
      <c r="T34" s="9">
        <f ca="1" t="shared" si="19"/>
        <v>1</v>
      </c>
      <c r="U34" s="9">
        <f ca="1" t="shared" si="19"/>
        <v>0</v>
      </c>
      <c r="V34" s="9">
        <f ca="1" t="shared" si="20"/>
        <v>-0.17364817766693028</v>
      </c>
      <c r="W34" s="9">
        <f ca="1" t="shared" si="20"/>
        <v>0</v>
      </c>
      <c r="X34" s="9">
        <f ca="1" t="shared" si="20"/>
        <v>-0.984807753012208</v>
      </c>
      <c r="Y34" s="30">
        <f t="shared" si="8"/>
        <v>0</v>
      </c>
      <c r="Z34" s="31">
        <f t="shared" si="9"/>
        <v>90</v>
      </c>
      <c r="AA34" s="30">
        <f t="shared" si="10"/>
        <v>0</v>
      </c>
      <c r="AB34" s="31">
        <f t="shared" si="11"/>
        <v>90</v>
      </c>
      <c r="AC34" s="30">
        <f t="shared" si="12"/>
        <v>0</v>
      </c>
      <c r="AD34" s="31">
        <f t="shared" si="13"/>
        <v>90</v>
      </c>
    </row>
    <row r="35" spans="1:30" ht="12.75">
      <c r="A35" s="19" t="s">
        <v>472</v>
      </c>
      <c r="C35" s="18">
        <f ca="1" t="shared" si="15"/>
      </c>
      <c r="D35" s="19" t="str">
        <f ca="1" t="shared" si="15"/>
        <v>SM12A</v>
      </c>
      <c r="E35" s="19" t="str">
        <f ca="1" t="shared" si="15"/>
        <v>Spec</v>
      </c>
      <c r="F35" s="19" t="str">
        <f ca="1" t="shared" si="1"/>
        <v>Mirror</v>
      </c>
      <c r="G35" s="9">
        <f ca="1" t="shared" si="21"/>
        <v>263.582597</v>
      </c>
      <c r="H35" s="9">
        <f ca="1" t="shared" si="21"/>
        <v>170.856678</v>
      </c>
      <c r="I35" s="9">
        <f ca="1" t="shared" si="21"/>
        <v>-636.663145</v>
      </c>
      <c r="J35" s="9">
        <f ca="1" t="shared" si="17"/>
        <v>0.696364240320019</v>
      </c>
      <c r="K35" s="9">
        <f ca="1" t="shared" si="17"/>
        <v>0.7071067811865475</v>
      </c>
      <c r="L35" s="9">
        <f ca="1" t="shared" si="17"/>
        <v>0.1227878039689728</v>
      </c>
      <c r="M35" s="103">
        <f>IF(Flag="Ignore","",IF(OR(Flag="Hole",Flag="Det"),-VerticesSyno!NextIndex,SIGN(XnormP*GutCalc!Xnorm+YnormP*GutCalc!Ynorm+ZnormP*GutCalc!Znorm)))</f>
        <v>1</v>
      </c>
      <c r="N35" s="103">
        <f>VerticesSyno!NextIndex</f>
        <v>-1</v>
      </c>
      <c r="O35" s="103">
        <f t="shared" si="7"/>
        <v>0</v>
      </c>
      <c r="P35" s="9">
        <f ca="1" t="shared" si="18"/>
        <v>0.696364240320019</v>
      </c>
      <c r="Q35" s="9">
        <f ca="1" t="shared" si="18"/>
        <v>0.7071067811865475</v>
      </c>
      <c r="R35" s="9">
        <f ca="1" t="shared" si="18"/>
        <v>0.1227878039689728</v>
      </c>
      <c r="S35" s="9">
        <f ca="1" t="shared" si="19"/>
        <v>-0.6963642403200189</v>
      </c>
      <c r="T35" s="9">
        <f ca="1" t="shared" si="19"/>
        <v>0.7071067811865476</v>
      </c>
      <c r="U35" s="9">
        <f ca="1" t="shared" si="19"/>
        <v>-0.12278780396897278</v>
      </c>
      <c r="V35" s="9">
        <f ca="1" t="shared" si="20"/>
        <v>-0.17364817766693028</v>
      </c>
      <c r="W35" s="9">
        <f ca="1" t="shared" si="20"/>
        <v>0</v>
      </c>
      <c r="X35" s="9">
        <f ca="1" t="shared" si="20"/>
        <v>0.984807753012208</v>
      </c>
      <c r="Y35" s="30">
        <f t="shared" si="8"/>
        <v>0</v>
      </c>
      <c r="Z35" s="31">
        <f t="shared" si="9"/>
        <v>90</v>
      </c>
      <c r="AA35" s="30">
        <f t="shared" si="10"/>
        <v>5.724587470723463E-17</v>
      </c>
      <c r="AB35" s="31">
        <f t="shared" si="11"/>
        <v>90</v>
      </c>
      <c r="AC35" s="30">
        <f t="shared" si="12"/>
        <v>1.3877787807814457E-17</v>
      </c>
      <c r="AD35" s="31">
        <f t="shared" si="13"/>
        <v>90</v>
      </c>
    </row>
    <row r="36" spans="3:30" ht="12.75">
      <c r="C36" s="18">
        <f ca="1" t="shared" si="15"/>
      </c>
      <c r="D36" s="19" t="str">
        <f ca="1" t="shared" si="15"/>
        <v>SFLA</v>
      </c>
      <c r="E36" s="19" t="str">
        <f ca="1" t="shared" si="15"/>
        <v>Spec</v>
      </c>
      <c r="F36" s="19" t="str">
        <f ca="1" t="shared" si="1"/>
        <v>Hole</v>
      </c>
      <c r="G36" s="9">
        <f ca="1" t="shared" si="21"/>
        <v>263.582597</v>
      </c>
      <c r="H36" s="9">
        <f ca="1" t="shared" si="21"/>
        <v>236.756678</v>
      </c>
      <c r="I36" s="9">
        <f ca="1" t="shared" si="21"/>
        <v>-636.663145</v>
      </c>
      <c r="J36" s="9">
        <f ca="1" t="shared" si="17"/>
        <v>6.032678484924683E-17</v>
      </c>
      <c r="K36" s="9">
        <f ca="1" t="shared" si="17"/>
        <v>1</v>
      </c>
      <c r="L36" s="9">
        <f ca="1" t="shared" si="17"/>
        <v>1.0637239828316857E-17</v>
      </c>
      <c r="M36" s="103">
        <f>IF(Flag="Ignore","",IF(OR(Flag="Hole",Flag="Det"),-VerticesSyno!NextIndex,SIGN(XnormP*GutCalc!Xnorm+YnormP*GutCalc!Ynorm+ZnormP*GutCalc!Znorm)))</f>
        <v>-1</v>
      </c>
      <c r="N36" s="103">
        <f>VerticesSyno!NextIndex</f>
        <v>1</v>
      </c>
      <c r="O36" s="103">
        <f t="shared" si="7"/>
        <v>0</v>
      </c>
      <c r="P36" s="9">
        <f ca="1" t="shared" si="18"/>
        <v>-6.032678484924683E-17</v>
      </c>
      <c r="Q36" s="9">
        <f ca="1" t="shared" si="18"/>
        <v>-1</v>
      </c>
      <c r="R36" s="9">
        <f ca="1" t="shared" si="18"/>
        <v>-1.0637239828316857E-17</v>
      </c>
      <c r="S36" s="9">
        <f ca="1" t="shared" si="19"/>
        <v>-0.984807753012208</v>
      </c>
      <c r="T36" s="9">
        <f ca="1" t="shared" si="19"/>
        <v>6.1257422745431E-17</v>
      </c>
      <c r="U36" s="9">
        <f ca="1" t="shared" si="19"/>
        <v>-0.17364817766693028</v>
      </c>
      <c r="V36" s="9">
        <f ca="1" t="shared" si="20"/>
        <v>0.17364817766693028</v>
      </c>
      <c r="W36" s="9">
        <f ca="1" t="shared" si="20"/>
        <v>0</v>
      </c>
      <c r="X36" s="9">
        <f ca="1" t="shared" si="20"/>
        <v>-0.984807753012208</v>
      </c>
      <c r="Y36" s="30">
        <f t="shared" si="8"/>
        <v>-1.5407439555097887E-33</v>
      </c>
      <c r="Z36" s="31">
        <f t="shared" si="9"/>
        <v>90</v>
      </c>
      <c r="AA36" s="30">
        <f t="shared" si="10"/>
        <v>1.5407439555097887E-33</v>
      </c>
      <c r="AB36" s="31">
        <f t="shared" si="11"/>
        <v>90</v>
      </c>
      <c r="AC36" s="30">
        <f t="shared" si="12"/>
        <v>0</v>
      </c>
      <c r="AD36" s="31">
        <f t="shared" si="13"/>
        <v>90</v>
      </c>
    </row>
    <row r="37" spans="3:30" ht="13.5" thickBot="1">
      <c r="C37" s="14">
        <f ca="1" t="shared" si="15"/>
      </c>
      <c r="D37" s="15" t="str">
        <f ca="1" t="shared" si="15"/>
        <v>SSW</v>
      </c>
      <c r="E37" s="15" t="str">
        <f ca="1" t="shared" si="15"/>
        <v>Spec</v>
      </c>
      <c r="F37" s="15" t="str">
        <f ca="1" t="shared" si="1"/>
        <v>Det</v>
      </c>
      <c r="G37" s="9">
        <f ca="1" t="shared" si="21"/>
        <v>263.582597</v>
      </c>
      <c r="H37" s="9">
        <f ca="1" t="shared" si="21"/>
        <v>250.856678</v>
      </c>
      <c r="I37" s="9">
        <f ca="1" t="shared" si="21"/>
        <v>-636.663145</v>
      </c>
      <c r="J37" s="9">
        <f ca="1" t="shared" si="17"/>
        <v>6.1257422745431E-17</v>
      </c>
      <c r="K37" s="9">
        <f ca="1" t="shared" si="17"/>
        <v>1</v>
      </c>
      <c r="L37" s="9">
        <f ca="1" t="shared" si="17"/>
        <v>-7.504943682824895E-33</v>
      </c>
      <c r="M37" s="103">
        <f>IF(Flag="Ignore","",IF(OR(Flag="Hole",Flag="Det"),-VerticesSyno!NextIndex,SIGN(XnormP*GutCalc!Xnorm+YnormP*GutCalc!Ynorm+ZnormP*GutCalc!Znorm)))</f>
        <v>-1</v>
      </c>
      <c r="N37" s="103">
        <f>VerticesSyno!NextIndex</f>
        <v>1</v>
      </c>
      <c r="O37" s="103">
        <f t="shared" si="7"/>
        <v>0</v>
      </c>
      <c r="P37" s="9">
        <f ca="1" t="shared" si="18"/>
        <v>-6.1257422745431E-17</v>
      </c>
      <c r="Q37" s="9">
        <f ca="1" t="shared" si="18"/>
        <v>-1</v>
      </c>
      <c r="R37" s="9">
        <f ca="1" t="shared" si="18"/>
        <v>7.504943682824895E-33</v>
      </c>
      <c r="S37" s="9">
        <f ca="1" t="shared" si="19"/>
        <v>-1</v>
      </c>
      <c r="T37" s="9">
        <f ca="1" t="shared" si="19"/>
        <v>6.1257422745431E-17</v>
      </c>
      <c r="U37" s="9">
        <f ca="1" t="shared" si="19"/>
        <v>1.22514845490862E-16</v>
      </c>
      <c r="V37" s="9">
        <f ca="1" t="shared" si="20"/>
        <v>-1.22514845490862E-16</v>
      </c>
      <c r="W37" s="9">
        <f ca="1" t="shared" si="20"/>
        <v>0</v>
      </c>
      <c r="X37" s="9">
        <f ca="1" t="shared" si="20"/>
        <v>-1</v>
      </c>
      <c r="Y37" s="30">
        <f t="shared" si="8"/>
        <v>0</v>
      </c>
      <c r="Z37" s="31">
        <f t="shared" si="9"/>
        <v>90</v>
      </c>
      <c r="AA37" s="30">
        <f t="shared" si="10"/>
        <v>9.194670157189128E-49</v>
      </c>
      <c r="AB37" s="31">
        <f t="shared" si="11"/>
        <v>90</v>
      </c>
      <c r="AC37" s="30">
        <f t="shared" si="12"/>
        <v>0</v>
      </c>
      <c r="AD37" s="31">
        <f t="shared" si="13"/>
        <v>90</v>
      </c>
    </row>
    <row r="38" spans="3:30" ht="12.75">
      <c r="C38" s="10" t="str">
        <f ca="1" t="shared" si="15"/>
        <v>Lower arm</v>
      </c>
      <c r="D38" s="11" t="str">
        <f ca="1" t="shared" si="15"/>
        <v>SCAL</v>
      </c>
      <c r="E38" s="11" t="str">
        <f ca="1" t="shared" si="15"/>
        <v>Spec</v>
      </c>
      <c r="F38" s="11" t="str">
        <f ca="1" t="shared" si="1"/>
        <v>Hole</v>
      </c>
      <c r="G38" s="9">
        <f ca="1" t="shared" si="21"/>
        <v>158.8528</v>
      </c>
      <c r="H38" s="9">
        <f ca="1" t="shared" si="21"/>
        <v>170.856678</v>
      </c>
      <c r="I38" s="9">
        <f ca="1" t="shared" si="21"/>
        <v>-219.396473</v>
      </c>
      <c r="J38" s="9">
        <f ca="1" t="shared" si="17"/>
        <v>-0.984807753012208</v>
      </c>
      <c r="K38" s="9">
        <f ca="1" t="shared" si="17"/>
        <v>0</v>
      </c>
      <c r="L38" s="9">
        <f ca="1" t="shared" si="17"/>
        <v>-0.17364817766693033</v>
      </c>
      <c r="M38" s="103">
        <f>IF(Flag="Ignore","",IF(OR(Flag="Hole",Flag="Det"),-VerticesSyno!NextIndex,SIGN(XnormP*GutCalc!Xnorm+YnormP*GutCalc!Ynorm+ZnormP*GutCalc!Znorm)))</f>
        <v>-1</v>
      </c>
      <c r="N38" s="103">
        <f>VerticesSyno!NextIndex</f>
        <v>1</v>
      </c>
      <c r="O38" s="103">
        <f t="shared" si="7"/>
        <v>0</v>
      </c>
      <c r="P38" s="9">
        <f ca="1" t="shared" si="18"/>
        <v>0.984807753012208</v>
      </c>
      <c r="Q38" s="9">
        <f ca="1" t="shared" si="18"/>
        <v>0</v>
      </c>
      <c r="R38" s="9">
        <f ca="1" t="shared" si="18"/>
        <v>0.17364817766693033</v>
      </c>
      <c r="S38" s="9">
        <f ca="1" t="shared" si="19"/>
        <v>0</v>
      </c>
      <c r="T38" s="9">
        <f ca="1" t="shared" si="19"/>
        <v>1</v>
      </c>
      <c r="U38" s="9">
        <f ca="1" t="shared" si="19"/>
        <v>0</v>
      </c>
      <c r="V38" s="9">
        <f ca="1" t="shared" si="20"/>
        <v>-0.17364817766693033</v>
      </c>
      <c r="W38" s="9">
        <f ca="1" t="shared" si="20"/>
        <v>0</v>
      </c>
      <c r="X38" s="9">
        <f ca="1" t="shared" si="20"/>
        <v>0.984807753012208</v>
      </c>
      <c r="Y38" s="30">
        <f t="shared" si="8"/>
        <v>0</v>
      </c>
      <c r="Z38" s="31">
        <f t="shared" si="9"/>
        <v>90</v>
      </c>
      <c r="AA38" s="30">
        <f t="shared" si="10"/>
        <v>0</v>
      </c>
      <c r="AB38" s="31">
        <f t="shared" si="11"/>
        <v>90</v>
      </c>
      <c r="AC38" s="30">
        <f t="shared" si="12"/>
        <v>0</v>
      </c>
      <c r="AD38" s="31">
        <f t="shared" si="13"/>
        <v>90</v>
      </c>
    </row>
    <row r="39" spans="3:30" ht="12.75">
      <c r="C39" s="18">
        <f ca="1" t="shared" si="15"/>
      </c>
      <c r="D39" s="19" t="str">
        <f ca="1" t="shared" si="15"/>
        <v>SM8B</v>
      </c>
      <c r="E39" s="19" t="str">
        <f ca="1" t="shared" si="15"/>
        <v>Spec</v>
      </c>
      <c r="F39" s="19" t="str">
        <f ca="1" t="shared" si="1"/>
        <v>Mirror</v>
      </c>
      <c r="G39" s="9">
        <f ca="1" t="shared" si="21"/>
        <v>72.751059</v>
      </c>
      <c r="H39" s="9">
        <f ca="1" t="shared" si="21"/>
        <v>170.856678</v>
      </c>
      <c r="I39" s="9">
        <f ca="1" t="shared" si="21"/>
        <v>-234.578533</v>
      </c>
      <c r="J39" s="9">
        <f ca="1" t="shared" si="17"/>
        <v>-0.984807753012208</v>
      </c>
      <c r="K39" s="9">
        <f ca="1" t="shared" si="17"/>
        <v>0</v>
      </c>
      <c r="L39" s="9">
        <f ca="1" t="shared" si="17"/>
        <v>0.17364817766693033</v>
      </c>
      <c r="M39" s="103">
        <f>IF(Flag="Ignore","",IF(OR(Flag="Hole",Flag="Det"),-VerticesSyno!NextIndex,SIGN(XnormP*GutCalc!Xnorm+YnormP*GutCalc!Ynorm+ZnormP*GutCalc!Znorm)))</f>
        <v>-1</v>
      </c>
      <c r="N39" s="103">
        <f>VerticesSyno!NextIndex</f>
        <v>-1</v>
      </c>
      <c r="O39" s="103">
        <f t="shared" si="7"/>
        <v>-2</v>
      </c>
      <c r="P39" s="9">
        <f ca="1" t="shared" si="18"/>
        <v>0.984807753012208</v>
      </c>
      <c r="Q39" s="9">
        <f ca="1" t="shared" si="18"/>
        <v>0</v>
      </c>
      <c r="R39" s="9">
        <f ca="1" t="shared" si="18"/>
        <v>-0.17364817766693033</v>
      </c>
      <c r="S39" s="9">
        <f ca="1" t="shared" si="19"/>
        <v>0.018814150275320164</v>
      </c>
      <c r="T39" s="9">
        <f ca="1" t="shared" si="19"/>
        <v>0.9941132045189992</v>
      </c>
      <c r="U39" s="9">
        <f ca="1" t="shared" si="19"/>
        <v>0.10670034840797878</v>
      </c>
      <c r="V39" s="9">
        <f ca="1" t="shared" si="20"/>
        <v>0.17262594635935663</v>
      </c>
      <c r="W39" s="9">
        <f ca="1" t="shared" si="20"/>
        <v>-0.10834637327094243</v>
      </c>
      <c r="X39" s="9">
        <f ca="1" t="shared" si="20"/>
        <v>0.9790103911821212</v>
      </c>
      <c r="Y39" s="30">
        <f t="shared" si="8"/>
        <v>2.7755575615628914E-17</v>
      </c>
      <c r="Z39" s="31">
        <f t="shared" si="9"/>
        <v>90</v>
      </c>
      <c r="AA39" s="30">
        <f t="shared" si="10"/>
        <v>0</v>
      </c>
      <c r="AB39" s="31">
        <f t="shared" si="11"/>
        <v>90</v>
      </c>
      <c r="AC39" s="30">
        <f t="shared" si="12"/>
        <v>-1.3877787807814457E-17</v>
      </c>
      <c r="AD39" s="31">
        <f t="shared" si="13"/>
        <v>90</v>
      </c>
    </row>
    <row r="40" spans="1:30" ht="12.75">
      <c r="A40" s="19" t="s">
        <v>333</v>
      </c>
      <c r="B40" s="28">
        <v>-1</v>
      </c>
      <c r="C40" s="18">
        <f ca="1" t="shared" si="15"/>
      </c>
      <c r="D40" s="19" t="str">
        <f ca="1" t="shared" si="15"/>
        <v>SBS1</v>
      </c>
      <c r="E40" s="19" t="str">
        <f ca="1" t="shared" si="15"/>
        <v>Spec</v>
      </c>
      <c r="F40" s="19" t="str">
        <f ca="1" t="shared" si="1"/>
        <v>Hole</v>
      </c>
      <c r="G40" s="9">
        <f ca="1" t="shared" si="21"/>
        <v>223.12771</v>
      </c>
      <c r="H40" s="9">
        <f ca="1" t="shared" si="21"/>
        <v>170.856678</v>
      </c>
      <c r="I40" s="9">
        <f ca="1" t="shared" si="21"/>
        <v>-321.398533</v>
      </c>
      <c r="J40" s="9">
        <f ca="1" t="shared" si="17"/>
        <v>-0.9999999999999998</v>
      </c>
      <c r="K40" s="9">
        <f ca="1" t="shared" si="17"/>
        <v>0</v>
      </c>
      <c r="L40" s="9">
        <f ca="1" t="shared" si="17"/>
        <v>1.8325957145940456E-08</v>
      </c>
      <c r="M40" s="103">
        <f>IF(Flag="Ignore","",IF(OR(Flag="Hole",Flag="Det"),-VerticesSyno!NextIndex,SIGN(XnormP*GutCalc!Xnorm+YnormP*GutCalc!Ynorm+ZnormP*GutCalc!Znorm)))</f>
        <v>-1</v>
      </c>
      <c r="N40" s="103">
        <f>VerticesSyno!NextIndex</f>
        <v>1</v>
      </c>
      <c r="O40" s="103">
        <f t="shared" si="7"/>
        <v>0</v>
      </c>
      <c r="P40" s="9">
        <f ca="1" t="shared" si="18"/>
        <v>0.9999999999999998</v>
      </c>
      <c r="Q40" s="9">
        <f ca="1" t="shared" si="18"/>
        <v>0</v>
      </c>
      <c r="R40" s="9">
        <f ca="1" t="shared" si="18"/>
        <v>-1.8325957145940456E-08</v>
      </c>
      <c r="S40" s="9">
        <f ca="1" t="shared" si="19"/>
        <v>-3.3584070531484604E-16</v>
      </c>
      <c r="T40" s="9">
        <f ca="1" t="shared" si="19"/>
        <v>0.9999999999999998</v>
      </c>
      <c r="U40" s="9">
        <f ca="1" t="shared" si="19"/>
        <v>-1.8325957145940453E-08</v>
      </c>
      <c r="V40" s="9">
        <f ca="1" t="shared" si="20"/>
        <v>1.8325957145940453E-08</v>
      </c>
      <c r="W40" s="9">
        <f ca="1" t="shared" si="20"/>
        <v>1.8325957145940456E-08</v>
      </c>
      <c r="X40" s="9">
        <f ca="1" t="shared" si="20"/>
        <v>0.9999999999999996</v>
      </c>
      <c r="Y40" s="30">
        <f t="shared" si="8"/>
        <v>0</v>
      </c>
      <c r="Z40" s="31">
        <f t="shared" si="9"/>
        <v>90</v>
      </c>
      <c r="AA40" s="30">
        <f t="shared" si="10"/>
        <v>4.930380657631324E-32</v>
      </c>
      <c r="AB40" s="31">
        <f t="shared" si="11"/>
        <v>90</v>
      </c>
      <c r="AC40" s="30">
        <f t="shared" si="12"/>
        <v>0</v>
      </c>
      <c r="AD40" s="31">
        <f t="shared" si="13"/>
        <v>90</v>
      </c>
    </row>
    <row r="41" spans="1:30" ht="12.75">
      <c r="A41" s="19" t="s">
        <v>334</v>
      </c>
      <c r="B41" s="28">
        <v>-1</v>
      </c>
      <c r="C41" s="18">
        <f ca="1" t="shared" si="15"/>
      </c>
      <c r="D41" s="19" t="str">
        <f ca="1" t="shared" si="15"/>
        <v>SM9B</v>
      </c>
      <c r="E41" s="19" t="str">
        <f ca="1" t="shared" si="15"/>
        <v>Spec</v>
      </c>
      <c r="F41" s="19" t="str">
        <f ca="1" t="shared" si="1"/>
        <v>Mirror</v>
      </c>
      <c r="G41" s="9">
        <f ca="1" t="shared" si="21"/>
        <v>73.13211000000001</v>
      </c>
      <c r="H41" s="9">
        <f ca="1" t="shared" si="21"/>
        <v>170.856678</v>
      </c>
      <c r="I41" s="9">
        <f ca="1" t="shared" si="21"/>
        <v>-407.998533</v>
      </c>
      <c r="J41" s="9">
        <f ca="1" t="shared" si="17"/>
        <v>-0.9659258262890683</v>
      </c>
      <c r="K41" s="9">
        <f ca="1" t="shared" si="17"/>
        <v>0</v>
      </c>
      <c r="L41" s="9">
        <f ca="1" t="shared" si="17"/>
        <v>-0.25881904510252074</v>
      </c>
      <c r="M41" s="103">
        <f>IF(Flag="Ignore","",IF(OR(Flag="Hole",Flag="Det"),-VerticesSyno!NextIndex,SIGN(XnormP*GutCalc!Xnorm+YnormP*GutCalc!Ynorm+ZnormP*GutCalc!Znorm)))</f>
        <v>-1</v>
      </c>
      <c r="N41" s="103">
        <f>VerticesSyno!NextIndex</f>
        <v>1</v>
      </c>
      <c r="O41" s="103">
        <f t="shared" si="7"/>
        <v>0</v>
      </c>
      <c r="P41" s="9">
        <f ca="1" t="shared" si="18"/>
        <v>0.9659258262890683</v>
      </c>
      <c r="Q41" s="9">
        <f ca="1" t="shared" si="18"/>
        <v>0</v>
      </c>
      <c r="R41" s="9">
        <f ca="1" t="shared" si="18"/>
        <v>0.25881904510252074</v>
      </c>
      <c r="S41" s="9">
        <f ca="1" t="shared" si="19"/>
        <v>0</v>
      </c>
      <c r="T41" s="9">
        <f ca="1" t="shared" si="19"/>
        <v>1</v>
      </c>
      <c r="U41" s="9">
        <f ca="1" t="shared" si="19"/>
        <v>0</v>
      </c>
      <c r="V41" s="9">
        <f ca="1" t="shared" si="20"/>
        <v>-0.25881904510252074</v>
      </c>
      <c r="W41" s="9">
        <f ca="1" t="shared" si="20"/>
        <v>0</v>
      </c>
      <c r="X41" s="9">
        <f ca="1" t="shared" si="20"/>
        <v>0.9659258262890683</v>
      </c>
      <c r="Y41" s="30">
        <f t="shared" si="8"/>
        <v>0</v>
      </c>
      <c r="Z41" s="31">
        <f t="shared" si="9"/>
        <v>90</v>
      </c>
      <c r="AA41" s="30">
        <f t="shared" si="10"/>
        <v>0</v>
      </c>
      <c r="AB41" s="31">
        <f t="shared" si="11"/>
        <v>90</v>
      </c>
      <c r="AC41" s="30">
        <f t="shared" si="12"/>
        <v>0</v>
      </c>
      <c r="AD41" s="31">
        <f t="shared" si="13"/>
        <v>90</v>
      </c>
    </row>
    <row r="42" spans="3:30" ht="12.75">
      <c r="C42" s="18">
        <f aca="true" ca="1" t="shared" si="22" ref="C42:E49">IF(INDIRECT("SurfaceList!"&amp;ThisCol)="","",INDIRECT("SurfaceList!"&amp;ThisCol))</f>
      </c>
      <c r="D42" s="19" t="str">
        <f ca="1" t="shared" si="22"/>
        <v>SRTB1</v>
      </c>
      <c r="E42" s="19" t="str">
        <f ca="1" t="shared" si="22"/>
        <v>Spec</v>
      </c>
      <c r="F42" s="19" t="str">
        <f ca="1" t="shared" si="1"/>
        <v>Mirror</v>
      </c>
      <c r="G42" s="9">
        <f aca="true" ca="1" t="shared" si="23" ref="G42:I49">IF(Flag="Ignore","",INDIRECT(Axe&amp;"0")+INDIRECT(Axe&amp;"fact")*INDIRECT("VerticesSyno!"&amp;AxeSyno&amp;Local))</f>
        <v>198.13211</v>
      </c>
      <c r="H42" s="9">
        <f ca="1" t="shared" si="23"/>
        <v>170.856678</v>
      </c>
      <c r="I42" s="9">
        <f ca="1" t="shared" si="23"/>
        <v>-407.998533</v>
      </c>
      <c r="J42" s="9">
        <f aca="true" ca="1" t="shared" si="24" ref="J42:L49">IF(Flag="Ignore","",INDIRECT(Axe&amp;"fact")*INDIRECT("VerticesSyno!"&amp;AxeSyno&amp;Local))</f>
        <v>-0.7071067811865476</v>
      </c>
      <c r="K42" s="9">
        <f ca="1" t="shared" si="24"/>
        <v>0</v>
      </c>
      <c r="L42" s="9">
        <f ca="1" t="shared" si="24"/>
        <v>-0.7071067811865475</v>
      </c>
      <c r="M42" s="103">
        <f>IF(Flag="Ignore","",IF(OR(Flag="Hole",Flag="Det"),-VerticesSyno!NextIndex,SIGN(XnormP*GutCalc!Xnorm+YnormP*GutCalc!Ynorm+ZnormP*GutCalc!Znorm)))</f>
        <v>1</v>
      </c>
      <c r="N42" s="103">
        <f>VerticesSyno!NextIndex</f>
        <v>-1</v>
      </c>
      <c r="O42" s="103">
        <f t="shared" si="7"/>
        <v>0</v>
      </c>
      <c r="P42" s="9">
        <f aca="true" ca="1" t="shared" si="25" ref="P42:R49">IF(Flag="Ignore","",INDIRECT(Axe&amp;"fact")*INDIRECT("VerticesSyno!"&amp;AxeSyno&amp;Local)*NormDir)</f>
        <v>-0.7071067811865476</v>
      </c>
      <c r="Q42" s="9">
        <f ca="1" t="shared" si="25"/>
        <v>0</v>
      </c>
      <c r="R42" s="9">
        <f ca="1" t="shared" si="25"/>
        <v>-0.7071067811865475</v>
      </c>
      <c r="S42" s="9">
        <f aca="true" ca="1" t="shared" si="26" ref="S42:U49">IF(Flag="Ignore","",INDIRECT(Axe&amp;"fact")*INDIRECT("VerticesSyno!"&amp;AxeSyno&amp;Local))</f>
        <v>0</v>
      </c>
      <c r="T42" s="9">
        <f ca="1" t="shared" si="26"/>
        <v>1</v>
      </c>
      <c r="U42" s="9">
        <f ca="1" t="shared" si="26"/>
        <v>0</v>
      </c>
      <c r="V42" s="9">
        <f aca="true" ca="1" t="shared" si="27" ref="V42:X49">IF(Flag="Ignore","",INDIRECT(Axe&amp;"fact")*INDIRECT("VerticesSyno!"&amp;AxeSyno&amp;Local)*NormDir*(-1))</f>
        <v>0.7071067811865475</v>
      </c>
      <c r="W42" s="9">
        <f ca="1" t="shared" si="27"/>
        <v>0</v>
      </c>
      <c r="X42" s="9">
        <f ca="1" t="shared" si="27"/>
        <v>-0.7071067811865476</v>
      </c>
      <c r="Y42" s="30">
        <f t="shared" si="8"/>
        <v>0</v>
      </c>
      <c r="Z42" s="31">
        <f t="shared" si="9"/>
        <v>90</v>
      </c>
      <c r="AA42" s="30">
        <f t="shared" si="10"/>
        <v>0</v>
      </c>
      <c r="AB42" s="31">
        <f t="shared" si="11"/>
        <v>90</v>
      </c>
      <c r="AC42" s="30">
        <f t="shared" si="12"/>
        <v>0</v>
      </c>
      <c r="AD42" s="31">
        <f t="shared" si="13"/>
        <v>90</v>
      </c>
    </row>
    <row r="43" spans="3:30" ht="12.75">
      <c r="C43" s="18">
        <f ca="1" t="shared" si="22"/>
      </c>
      <c r="D43" s="19" t="str">
        <f ca="1" t="shared" si="22"/>
        <v>SRTB2</v>
      </c>
      <c r="E43" s="19" t="str">
        <f ca="1" t="shared" si="22"/>
        <v>Spec</v>
      </c>
      <c r="F43" s="19" t="str">
        <f ca="1" t="shared" si="1"/>
        <v>Mirror</v>
      </c>
      <c r="G43" s="9">
        <f ca="1" t="shared" si="23"/>
        <v>198.13211</v>
      </c>
      <c r="H43" s="9">
        <f ca="1" t="shared" si="23"/>
        <v>170.856678</v>
      </c>
      <c r="I43" s="9">
        <f ca="1" t="shared" si="23"/>
        <v>-457.998533</v>
      </c>
      <c r="J43" s="9">
        <f ca="1" t="shared" si="24"/>
        <v>0.7071067811865475</v>
      </c>
      <c r="K43" s="9">
        <f ca="1" t="shared" si="24"/>
        <v>0</v>
      </c>
      <c r="L43" s="9">
        <f ca="1" t="shared" si="24"/>
        <v>-0.7071067811865476</v>
      </c>
      <c r="M43" s="103">
        <f>IF(Flag="Ignore","",IF(OR(Flag="Hole",Flag="Det"),-VerticesSyno!NextIndex,SIGN(XnormP*GutCalc!Xnorm+YnormP*GutCalc!Ynorm+ZnormP*GutCalc!Znorm)))</f>
        <v>-1</v>
      </c>
      <c r="N43" s="103">
        <f>VerticesSyno!NextIndex</f>
        <v>1</v>
      </c>
      <c r="O43" s="103">
        <f t="shared" si="7"/>
        <v>0</v>
      </c>
      <c r="P43" s="9">
        <f ca="1" t="shared" si="25"/>
        <v>-0.7071067811865475</v>
      </c>
      <c r="Q43" s="9">
        <f ca="1" t="shared" si="25"/>
        <v>0</v>
      </c>
      <c r="R43" s="9">
        <f ca="1" t="shared" si="25"/>
        <v>0.7071067811865476</v>
      </c>
      <c r="S43" s="9">
        <f ca="1" t="shared" si="26"/>
        <v>0</v>
      </c>
      <c r="T43" s="9">
        <f ca="1" t="shared" si="26"/>
        <v>1</v>
      </c>
      <c r="U43" s="9">
        <f ca="1" t="shared" si="26"/>
        <v>0</v>
      </c>
      <c r="V43" s="9">
        <f ca="1" t="shared" si="27"/>
        <v>-0.7071067811865476</v>
      </c>
      <c r="W43" s="9">
        <f ca="1" t="shared" si="27"/>
        <v>0</v>
      </c>
      <c r="X43" s="9">
        <f ca="1" t="shared" si="27"/>
        <v>-0.7071067811865475</v>
      </c>
      <c r="Y43" s="30">
        <f t="shared" si="8"/>
        <v>0</v>
      </c>
      <c r="Z43" s="31">
        <f t="shared" si="9"/>
        <v>90</v>
      </c>
      <c r="AA43" s="30">
        <f t="shared" si="10"/>
        <v>0</v>
      </c>
      <c r="AB43" s="31">
        <f t="shared" si="11"/>
        <v>90</v>
      </c>
      <c r="AC43" s="30">
        <f t="shared" si="12"/>
        <v>0</v>
      </c>
      <c r="AD43" s="31">
        <f t="shared" si="13"/>
        <v>90</v>
      </c>
    </row>
    <row r="44" spans="3:30" ht="12.75">
      <c r="C44" s="18">
        <f ca="1" t="shared" si="22"/>
      </c>
      <c r="D44" s="19" t="str">
        <f ca="1" t="shared" si="22"/>
        <v>SM10B</v>
      </c>
      <c r="E44" s="19" t="str">
        <f ca="1" t="shared" si="22"/>
        <v>Spec</v>
      </c>
      <c r="F44" s="19" t="str">
        <f ca="1" t="shared" si="1"/>
        <v>Mirror</v>
      </c>
      <c r="G44" s="9">
        <f ca="1" t="shared" si="23"/>
        <v>73.13211000000001</v>
      </c>
      <c r="H44" s="9">
        <f ca="1" t="shared" si="23"/>
        <v>170.856678</v>
      </c>
      <c r="I44" s="9">
        <f ca="1" t="shared" si="23"/>
        <v>-457.998533</v>
      </c>
      <c r="J44" s="9">
        <f ca="1" t="shared" si="24"/>
        <v>0.9659258262890682</v>
      </c>
      <c r="K44" s="9">
        <f ca="1" t="shared" si="24"/>
        <v>0</v>
      </c>
      <c r="L44" s="9">
        <f ca="1" t="shared" si="24"/>
        <v>-0.258819045102521</v>
      </c>
      <c r="M44" s="103">
        <f>IF(Flag="Ignore","",IF(OR(Flag="Hole",Flag="Det"),-VerticesSyno!NextIndex,SIGN(XnormP*GutCalc!Xnorm+YnormP*GutCalc!Ynorm+ZnormP*GutCalc!Znorm)))</f>
        <v>1</v>
      </c>
      <c r="N44" s="103">
        <f>VerticesSyno!NextIndex</f>
        <v>-1</v>
      </c>
      <c r="O44" s="103">
        <f t="shared" si="7"/>
        <v>0</v>
      </c>
      <c r="P44" s="9">
        <f ca="1" t="shared" si="25"/>
        <v>0.9659258262890682</v>
      </c>
      <c r="Q44" s="9">
        <f ca="1" t="shared" si="25"/>
        <v>0</v>
      </c>
      <c r="R44" s="9">
        <f ca="1" t="shared" si="25"/>
        <v>-0.258819045102521</v>
      </c>
      <c r="S44" s="9">
        <f ca="1" t="shared" si="26"/>
        <v>0</v>
      </c>
      <c r="T44" s="9">
        <f ca="1" t="shared" si="26"/>
        <v>1</v>
      </c>
      <c r="U44" s="9">
        <f ca="1" t="shared" si="26"/>
        <v>0</v>
      </c>
      <c r="V44" s="9">
        <f ca="1" t="shared" si="27"/>
        <v>0.258819045102521</v>
      </c>
      <c r="W44" s="9">
        <f ca="1" t="shared" si="27"/>
        <v>0</v>
      </c>
      <c r="X44" s="9">
        <f ca="1" t="shared" si="27"/>
        <v>0.9659258262890682</v>
      </c>
      <c r="Y44" s="30">
        <f t="shared" si="8"/>
        <v>0</v>
      </c>
      <c r="Z44" s="31">
        <f t="shared" si="9"/>
        <v>90</v>
      </c>
      <c r="AA44" s="30">
        <f t="shared" si="10"/>
        <v>0</v>
      </c>
      <c r="AB44" s="31">
        <f t="shared" si="11"/>
        <v>90</v>
      </c>
      <c r="AC44" s="30">
        <f t="shared" si="12"/>
        <v>0</v>
      </c>
      <c r="AD44" s="31">
        <f t="shared" si="13"/>
        <v>90</v>
      </c>
    </row>
    <row r="45" spans="3:30" ht="12.75">
      <c r="C45" s="18">
        <f ca="1" t="shared" si="22"/>
      </c>
      <c r="D45" s="19" t="str">
        <f ca="1" t="shared" si="22"/>
        <v>SBS2</v>
      </c>
      <c r="E45" s="19" t="str">
        <f ca="1" t="shared" si="22"/>
        <v>Spec</v>
      </c>
      <c r="F45" s="19" t="str">
        <f ca="1" t="shared" si="1"/>
        <v>Hole</v>
      </c>
      <c r="G45" s="9">
        <f ca="1" t="shared" si="23"/>
        <v>223.12771</v>
      </c>
      <c r="H45" s="9">
        <f ca="1" t="shared" si="23"/>
        <v>170.856678</v>
      </c>
      <c r="I45" s="9">
        <f ca="1" t="shared" si="23"/>
        <v>-544.598533</v>
      </c>
      <c r="J45" s="9">
        <f ca="1" t="shared" si="24"/>
        <v>1</v>
      </c>
      <c r="K45" s="9">
        <f ca="1" t="shared" si="24"/>
        <v>0</v>
      </c>
      <c r="L45" s="9">
        <f ca="1" t="shared" si="24"/>
        <v>1.22514845490862E-16</v>
      </c>
      <c r="M45" s="103">
        <f>IF(Flag="Ignore","",IF(OR(Flag="Hole",Flag="Det"),-VerticesSyno!NextIndex,SIGN(XnormP*GutCalc!Xnorm+YnormP*GutCalc!Ynorm+ZnormP*GutCalc!Znorm)))</f>
        <v>1</v>
      </c>
      <c r="N45" s="103">
        <f>VerticesSyno!NextIndex</f>
        <v>-1</v>
      </c>
      <c r="O45" s="103">
        <f t="shared" si="7"/>
        <v>0</v>
      </c>
      <c r="P45" s="9">
        <f ca="1" t="shared" si="25"/>
        <v>1</v>
      </c>
      <c r="Q45" s="9">
        <f ca="1" t="shared" si="25"/>
        <v>0</v>
      </c>
      <c r="R45" s="9">
        <f ca="1" t="shared" si="25"/>
        <v>1.22514845490862E-16</v>
      </c>
      <c r="S45" s="9">
        <f ca="1" t="shared" si="26"/>
        <v>-2.587327798029081E-24</v>
      </c>
      <c r="T45" s="9">
        <f ca="1" t="shared" si="26"/>
        <v>0.9999999999999998</v>
      </c>
      <c r="U45" s="9">
        <f ca="1" t="shared" si="26"/>
        <v>2.1118483949131386E-08</v>
      </c>
      <c r="V45" s="9">
        <f ca="1" t="shared" si="27"/>
        <v>-1.2251484549086198E-16</v>
      </c>
      <c r="W45" s="9">
        <f ca="1" t="shared" si="27"/>
        <v>-2.1118483949131386E-08</v>
      </c>
      <c r="X45" s="9">
        <f ca="1" t="shared" si="27"/>
        <v>0.9999999999999998</v>
      </c>
      <c r="Y45" s="30">
        <f t="shared" si="8"/>
        <v>0</v>
      </c>
      <c r="Z45" s="31">
        <f t="shared" si="9"/>
        <v>90</v>
      </c>
      <c r="AA45" s="30">
        <f t="shared" si="10"/>
        <v>0</v>
      </c>
      <c r="AB45" s="31">
        <f t="shared" si="11"/>
        <v>90</v>
      </c>
      <c r="AC45" s="30">
        <f t="shared" si="12"/>
        <v>0</v>
      </c>
      <c r="AD45" s="31">
        <f t="shared" si="13"/>
        <v>90</v>
      </c>
    </row>
    <row r="46" spans="3:30" ht="12.75">
      <c r="C46" s="18">
        <f ca="1" t="shared" si="22"/>
      </c>
      <c r="D46" s="19" t="str">
        <f ca="1" t="shared" si="22"/>
        <v>SM11B</v>
      </c>
      <c r="E46" s="19" t="str">
        <f ca="1" t="shared" si="22"/>
        <v>Spec</v>
      </c>
      <c r="F46" s="19" t="str">
        <f ca="1" t="shared" si="1"/>
        <v>Mirror</v>
      </c>
      <c r="G46" s="9">
        <f ca="1" t="shared" si="23"/>
        <v>91.509169</v>
      </c>
      <c r="H46" s="9">
        <f ca="1" t="shared" si="23"/>
        <v>170.856678</v>
      </c>
      <c r="I46" s="9">
        <f ca="1" t="shared" si="23"/>
        <v>-620.588533</v>
      </c>
      <c r="J46" s="9">
        <f ca="1" t="shared" si="24"/>
        <v>0.984807753012208</v>
      </c>
      <c r="K46" s="9">
        <f ca="1" t="shared" si="24"/>
        <v>0</v>
      </c>
      <c r="L46" s="9">
        <f ca="1" t="shared" si="24"/>
        <v>0.17364817766693028</v>
      </c>
      <c r="M46" s="103">
        <f>IF(Flag="Ignore","",IF(OR(Flag="Hole",Flag="Det"),-VerticesSyno!NextIndex,SIGN(XnormP*GutCalc!Xnorm+YnormP*GutCalc!Ynorm+ZnormP*GutCalc!Znorm)))</f>
        <v>1</v>
      </c>
      <c r="N46" s="103">
        <f>VerticesSyno!NextIndex</f>
        <v>-1</v>
      </c>
      <c r="O46" s="103">
        <f t="shared" si="7"/>
        <v>0</v>
      </c>
      <c r="P46" s="9">
        <f ca="1" t="shared" si="25"/>
        <v>0.984807753012208</v>
      </c>
      <c r="Q46" s="9">
        <f ca="1" t="shared" si="25"/>
        <v>0</v>
      </c>
      <c r="R46" s="9">
        <f ca="1" t="shared" si="25"/>
        <v>0.17364817766693028</v>
      </c>
      <c r="S46" s="9">
        <f ca="1" t="shared" si="26"/>
        <v>0</v>
      </c>
      <c r="T46" s="9">
        <f ca="1" t="shared" si="26"/>
        <v>1</v>
      </c>
      <c r="U46" s="9">
        <f ca="1" t="shared" si="26"/>
        <v>0</v>
      </c>
      <c r="V46" s="9">
        <f ca="1" t="shared" si="27"/>
        <v>-0.17364817766693028</v>
      </c>
      <c r="W46" s="9">
        <f ca="1" t="shared" si="27"/>
        <v>0</v>
      </c>
      <c r="X46" s="9">
        <f ca="1" t="shared" si="27"/>
        <v>0.984807753012208</v>
      </c>
      <c r="Y46" s="30">
        <f t="shared" si="8"/>
        <v>0</v>
      </c>
      <c r="Z46" s="31">
        <f t="shared" si="9"/>
        <v>90</v>
      </c>
      <c r="AA46" s="30">
        <f t="shared" si="10"/>
        <v>0</v>
      </c>
      <c r="AB46" s="31">
        <f t="shared" si="11"/>
        <v>90</v>
      </c>
      <c r="AC46" s="30">
        <f t="shared" si="12"/>
        <v>0</v>
      </c>
      <c r="AD46" s="31">
        <f t="shared" si="13"/>
        <v>90</v>
      </c>
    </row>
    <row r="47" spans="3:30" ht="12.75">
      <c r="C47" s="18">
        <f ca="1" t="shared" si="22"/>
      </c>
      <c r="D47" s="19" t="str">
        <f ca="1" t="shared" si="22"/>
        <v>SM12B</v>
      </c>
      <c r="E47" s="19" t="str">
        <f ca="1" t="shared" si="22"/>
        <v>Spec</v>
      </c>
      <c r="F47" s="19" t="str">
        <f ca="1" t="shared" si="1"/>
        <v>Mirror</v>
      </c>
      <c r="G47" s="9">
        <f ca="1" t="shared" si="23"/>
        <v>182.672823</v>
      </c>
      <c r="H47" s="9">
        <f ca="1" t="shared" si="23"/>
        <v>170.856678</v>
      </c>
      <c r="I47" s="9">
        <f ca="1" t="shared" si="23"/>
        <v>-636.663145</v>
      </c>
      <c r="J47" s="9">
        <f ca="1" t="shared" si="24"/>
        <v>0.696364240320019</v>
      </c>
      <c r="K47" s="9">
        <f ca="1" t="shared" si="24"/>
        <v>-0.7071067811865475</v>
      </c>
      <c r="L47" s="9">
        <f ca="1" t="shared" si="24"/>
        <v>-0.1227878039689728</v>
      </c>
      <c r="M47" s="103">
        <f>IF(Flag="Ignore","",IF(OR(Flag="Hole",Flag="Det"),-VerticesSyno!NextIndex,SIGN(XnormP*GutCalc!Xnorm+YnormP*GutCalc!Ynorm+ZnormP*GutCalc!Znorm)))</f>
        <v>-1</v>
      </c>
      <c r="N47" s="103">
        <f>VerticesSyno!NextIndex</f>
        <v>1</v>
      </c>
      <c r="O47" s="103">
        <f t="shared" si="7"/>
        <v>0</v>
      </c>
      <c r="P47" s="9">
        <f ca="1" t="shared" si="25"/>
        <v>-0.696364240320019</v>
      </c>
      <c r="Q47" s="9">
        <f ca="1" t="shared" si="25"/>
        <v>0.7071067811865475</v>
      </c>
      <c r="R47" s="9">
        <f ca="1" t="shared" si="25"/>
        <v>0.1227878039689728</v>
      </c>
      <c r="S47" s="9">
        <f ca="1" t="shared" si="26"/>
        <v>0.6963642403200189</v>
      </c>
      <c r="T47" s="9">
        <f ca="1" t="shared" si="26"/>
        <v>0.7071067811865476</v>
      </c>
      <c r="U47" s="9">
        <f ca="1" t="shared" si="26"/>
        <v>-0.12278780396897278</v>
      </c>
      <c r="V47" s="9">
        <f ca="1" t="shared" si="27"/>
        <v>-0.17364817766693028</v>
      </c>
      <c r="W47" s="9">
        <f ca="1" t="shared" si="27"/>
        <v>0</v>
      </c>
      <c r="X47" s="9">
        <f ca="1" t="shared" si="27"/>
        <v>-0.984807753012208</v>
      </c>
      <c r="Y47" s="30">
        <f t="shared" si="8"/>
        <v>0</v>
      </c>
      <c r="Z47" s="31">
        <f t="shared" si="9"/>
        <v>90</v>
      </c>
      <c r="AA47" s="30">
        <f t="shared" si="10"/>
        <v>5.724587470723463E-17</v>
      </c>
      <c r="AB47" s="31">
        <f t="shared" si="11"/>
        <v>90</v>
      </c>
      <c r="AC47" s="30">
        <f t="shared" si="12"/>
        <v>-1.3877787807814457E-17</v>
      </c>
      <c r="AD47" s="31">
        <f t="shared" si="13"/>
        <v>90</v>
      </c>
    </row>
    <row r="48" spans="3:30" ht="12.75">
      <c r="C48" s="18"/>
      <c r="D48" s="19" t="str">
        <f ca="1" t="shared" si="22"/>
        <v>SFLB</v>
      </c>
      <c r="E48" s="19" t="str">
        <f ca="1" t="shared" si="22"/>
        <v>Spec</v>
      </c>
      <c r="F48" s="19" t="str">
        <f ca="1" t="shared" si="1"/>
        <v>Hole</v>
      </c>
      <c r="G48" s="9">
        <f ca="1" t="shared" si="23"/>
        <v>182.672823</v>
      </c>
      <c r="H48" s="9">
        <f ca="1" t="shared" si="23"/>
        <v>246.956678</v>
      </c>
      <c r="I48" s="9">
        <f ca="1" t="shared" si="23"/>
        <v>-636.663145</v>
      </c>
      <c r="J48" s="9">
        <f ca="1" t="shared" si="24"/>
        <v>6.032678484924683E-17</v>
      </c>
      <c r="K48" s="9">
        <f ca="1" t="shared" si="24"/>
        <v>-1</v>
      </c>
      <c r="L48" s="9">
        <f ca="1" t="shared" si="24"/>
        <v>-1.0637239828316857E-17</v>
      </c>
      <c r="M48" s="103">
        <f>IF(Flag="Ignore","",IF(OR(Flag="Hole",Flag="Det"),-VerticesSyno!NextIndex,SIGN(XnormP*GutCalc!Xnorm+YnormP*GutCalc!Ynorm+ZnormP*GutCalc!Znorm)))</f>
        <v>1</v>
      </c>
      <c r="N48" s="103">
        <f>VerticesSyno!NextIndex</f>
        <v>-1</v>
      </c>
      <c r="O48" s="103">
        <f t="shared" si="7"/>
        <v>0</v>
      </c>
      <c r="P48" s="9">
        <f ca="1" t="shared" si="25"/>
        <v>6.032678484924683E-17</v>
      </c>
      <c r="Q48" s="9">
        <f ca="1" t="shared" si="25"/>
        <v>-1</v>
      </c>
      <c r="R48" s="9">
        <f ca="1" t="shared" si="25"/>
        <v>-1.0637239828316857E-17</v>
      </c>
      <c r="S48" s="9">
        <f ca="1" t="shared" si="26"/>
        <v>0.984807753012208</v>
      </c>
      <c r="T48" s="9">
        <f ca="1" t="shared" si="26"/>
        <v>6.1257422745431E-17</v>
      </c>
      <c r="U48" s="9">
        <f ca="1" t="shared" si="26"/>
        <v>-0.17364817766693028</v>
      </c>
      <c r="V48" s="9">
        <f ca="1" t="shared" si="27"/>
        <v>0.17364817766693028</v>
      </c>
      <c r="W48" s="9">
        <f ca="1" t="shared" si="27"/>
        <v>0</v>
      </c>
      <c r="X48" s="9">
        <f ca="1" t="shared" si="27"/>
        <v>0.984807753012208</v>
      </c>
      <c r="Y48" s="30">
        <f t="shared" si="8"/>
        <v>1.5407439555097887E-33</v>
      </c>
      <c r="Z48" s="31">
        <f t="shared" si="9"/>
        <v>90</v>
      </c>
      <c r="AA48" s="30">
        <f t="shared" si="10"/>
        <v>1.5407439555097887E-33</v>
      </c>
      <c r="AB48" s="31">
        <f t="shared" si="11"/>
        <v>90</v>
      </c>
      <c r="AC48" s="30">
        <f t="shared" si="12"/>
        <v>0</v>
      </c>
      <c r="AD48" s="31">
        <f t="shared" si="13"/>
        <v>90</v>
      </c>
    </row>
    <row r="49" spans="3:30" ht="13.5" thickBot="1">
      <c r="C49" s="14">
        <f ca="1" t="shared" si="22"/>
      </c>
      <c r="D49" s="15" t="str">
        <f ca="1" t="shared" si="22"/>
        <v>SLW</v>
      </c>
      <c r="E49" s="15" t="str">
        <f ca="1" t="shared" si="22"/>
        <v>Spec</v>
      </c>
      <c r="F49" s="15" t="str">
        <f ca="1" t="shared" si="1"/>
        <v>Det</v>
      </c>
      <c r="G49" s="9">
        <f ca="1" t="shared" si="23"/>
        <v>182.672823</v>
      </c>
      <c r="H49" s="9">
        <f ca="1" t="shared" si="23"/>
        <v>250.856678</v>
      </c>
      <c r="I49" s="9">
        <f ca="1" t="shared" si="23"/>
        <v>-636.663145</v>
      </c>
      <c r="J49" s="9">
        <f ca="1" t="shared" si="24"/>
        <v>6.1257422745431E-17</v>
      </c>
      <c r="K49" s="9">
        <f ca="1" t="shared" si="24"/>
        <v>-1</v>
      </c>
      <c r="L49" s="9">
        <f ca="1" t="shared" si="24"/>
        <v>7.504943682824895E-33</v>
      </c>
      <c r="M49" s="103">
        <f>IF(Flag="Ignore","",IF(OR(Flag="Hole",Flag="Det"),-VerticesSyno!NextIndex,SIGN(XnormP*GutCalc!Xnorm+YnormP*GutCalc!Ynorm+ZnormP*GutCalc!Znorm)))</f>
        <v>1</v>
      </c>
      <c r="N49" s="103">
        <f>VerticesSyno!NextIndex</f>
        <v>-1</v>
      </c>
      <c r="O49" s="103">
        <f t="shared" si="7"/>
        <v>0</v>
      </c>
      <c r="P49" s="9">
        <f ca="1" t="shared" si="25"/>
        <v>6.1257422745431E-17</v>
      </c>
      <c r="Q49" s="9">
        <f ca="1" t="shared" si="25"/>
        <v>-1</v>
      </c>
      <c r="R49" s="9">
        <f ca="1" t="shared" si="25"/>
        <v>7.504943682824895E-33</v>
      </c>
      <c r="S49" s="9">
        <f ca="1" t="shared" si="26"/>
        <v>1</v>
      </c>
      <c r="T49" s="9">
        <f ca="1" t="shared" si="26"/>
        <v>6.1257422745431E-17</v>
      </c>
      <c r="U49" s="9">
        <f ca="1" t="shared" si="26"/>
        <v>1.22514845490862E-16</v>
      </c>
      <c r="V49" s="9">
        <f ca="1" t="shared" si="27"/>
        <v>-1.22514845490862E-16</v>
      </c>
      <c r="W49" s="9">
        <f ca="1" t="shared" si="27"/>
        <v>0</v>
      </c>
      <c r="X49" s="9">
        <f ca="1" t="shared" si="27"/>
        <v>1</v>
      </c>
      <c r="Y49" s="30">
        <f t="shared" si="8"/>
        <v>0</v>
      </c>
      <c r="Z49" s="31">
        <f t="shared" si="9"/>
        <v>90</v>
      </c>
      <c r="AA49" s="30">
        <f t="shared" si="10"/>
        <v>9.194670157189128E-49</v>
      </c>
      <c r="AB49" s="31">
        <f t="shared" si="11"/>
        <v>90</v>
      </c>
      <c r="AC49" s="30">
        <f t="shared" si="12"/>
        <v>0</v>
      </c>
      <c r="AD49" s="31">
        <f t="shared" si="13"/>
        <v>90</v>
      </c>
    </row>
    <row r="50" spans="1:36" s="1" customFormat="1" ht="12.75">
      <c r="A50" s="25" t="s">
        <v>442</v>
      </c>
      <c r="C50" s="19"/>
      <c r="D50" s="19"/>
      <c r="E50" s="19"/>
      <c r="F50" s="19"/>
      <c r="G50" s="21" t="s">
        <v>14</v>
      </c>
      <c r="H50" s="21" t="s">
        <v>69</v>
      </c>
      <c r="I50" s="21" t="s">
        <v>70</v>
      </c>
      <c r="J50" s="21" t="s">
        <v>14</v>
      </c>
      <c r="K50" s="21" t="s">
        <v>69</v>
      </c>
      <c r="L50" s="21" t="s">
        <v>70</v>
      </c>
      <c r="P50" s="21" t="s">
        <v>14</v>
      </c>
      <c r="Q50" s="21" t="s">
        <v>69</v>
      </c>
      <c r="R50" s="21" t="s">
        <v>70</v>
      </c>
      <c r="S50" s="21" t="s">
        <v>14</v>
      </c>
      <c r="T50" s="21" t="s">
        <v>69</v>
      </c>
      <c r="U50" s="21" t="s">
        <v>70</v>
      </c>
      <c r="V50" s="21" t="s">
        <v>14</v>
      </c>
      <c r="W50" s="21" t="s">
        <v>69</v>
      </c>
      <c r="X50" s="21" t="s">
        <v>70</v>
      </c>
      <c r="Y50" s="21"/>
      <c r="Z50" s="21"/>
      <c r="AA50" s="21"/>
      <c r="AB50" s="21"/>
      <c r="AC50" s="21"/>
      <c r="AD50" s="21"/>
      <c r="AE50" s="19"/>
      <c r="AF50" s="19"/>
      <c r="AG50" s="19"/>
      <c r="AH50" s="19"/>
      <c r="AI50" s="19"/>
      <c r="AJ50" s="19"/>
    </row>
    <row r="51" spans="1:36" s="1" customFormat="1" ht="12.75">
      <c r="A51" s="5" t="s">
        <v>443</v>
      </c>
      <c r="C51" s="19"/>
      <c r="D51" s="19"/>
      <c r="E51" s="19"/>
      <c r="G51" s="21" t="s">
        <v>441</v>
      </c>
      <c r="H51" s="21" t="s">
        <v>439</v>
      </c>
      <c r="I51" s="21" t="s">
        <v>440</v>
      </c>
      <c r="J51" s="21" t="s">
        <v>441</v>
      </c>
      <c r="K51" s="21" t="s">
        <v>439</v>
      </c>
      <c r="L51" s="21" t="s">
        <v>440</v>
      </c>
      <c r="P51" s="21" t="s">
        <v>441</v>
      </c>
      <c r="Q51" s="21" t="s">
        <v>439</v>
      </c>
      <c r="R51" s="21" t="s">
        <v>440</v>
      </c>
      <c r="S51" s="21" t="s">
        <v>441</v>
      </c>
      <c r="T51" s="21" t="s">
        <v>439</v>
      </c>
      <c r="U51" s="21" t="s">
        <v>440</v>
      </c>
      <c r="V51" s="21" t="s">
        <v>441</v>
      </c>
      <c r="W51" s="21" t="s">
        <v>439</v>
      </c>
      <c r="X51" s="21" t="s">
        <v>440</v>
      </c>
      <c r="Y51" s="21"/>
      <c r="Z51" s="21"/>
      <c r="AA51" s="21"/>
      <c r="AB51" s="21"/>
      <c r="AC51" s="21"/>
      <c r="AD51" s="21"/>
      <c r="AE51" s="19"/>
      <c r="AF51" s="19"/>
      <c r="AG51" s="19"/>
      <c r="AH51" s="19"/>
      <c r="AI51" s="19"/>
      <c r="AJ51" s="19"/>
    </row>
    <row r="52" spans="1:30" ht="12.75">
      <c r="A52" s="25" t="s">
        <v>456</v>
      </c>
      <c r="C52" s="23" t="s">
        <v>124</v>
      </c>
      <c r="D52" s="1"/>
      <c r="F52" s="19"/>
      <c r="G52" s="21" t="s">
        <v>457</v>
      </c>
      <c r="H52" s="21" t="s">
        <v>457</v>
      </c>
      <c r="I52" s="21" t="s">
        <v>457</v>
      </c>
      <c r="J52" s="20" t="s">
        <v>339</v>
      </c>
      <c r="K52" s="20" t="s">
        <v>339</v>
      </c>
      <c r="L52" s="20" t="s">
        <v>339</v>
      </c>
      <c r="M52" s="104"/>
      <c r="N52" s="104"/>
      <c r="O52" s="104"/>
      <c r="P52" s="20" t="s">
        <v>339</v>
      </c>
      <c r="Q52" s="20" t="s">
        <v>339</v>
      </c>
      <c r="R52" s="20" t="s">
        <v>339</v>
      </c>
      <c r="S52" s="20" t="s">
        <v>340</v>
      </c>
      <c r="T52" s="20" t="s">
        <v>340</v>
      </c>
      <c r="U52" s="20" t="s">
        <v>340</v>
      </c>
      <c r="V52" s="20" t="s">
        <v>341</v>
      </c>
      <c r="W52" s="20" t="s">
        <v>341</v>
      </c>
      <c r="X52" s="20" t="s">
        <v>341</v>
      </c>
      <c r="Y52" s="45"/>
      <c r="Z52" s="68"/>
      <c r="AA52" s="45"/>
      <c r="AB52" s="68"/>
      <c r="AC52" s="45"/>
      <c r="AD52" s="68"/>
    </row>
    <row r="53" spans="3:30" ht="12.75">
      <c r="C53" s="1" t="s">
        <v>14</v>
      </c>
      <c r="D53" s="1" t="str">
        <f>"-Zsyno"</f>
        <v>-Zsyno</v>
      </c>
      <c r="E53" s="1" t="s">
        <v>117</v>
      </c>
      <c r="F53" s="19"/>
      <c r="J53" s="19"/>
      <c r="K53" s="19"/>
      <c r="L53" s="19"/>
      <c r="M53" s="104"/>
      <c r="N53" s="104"/>
      <c r="O53" s="104"/>
      <c r="P53" s="19"/>
      <c r="Q53" s="19"/>
      <c r="R53" s="19"/>
      <c r="S53" s="19"/>
      <c r="T53" s="19"/>
      <c r="U53" s="19"/>
      <c r="V53" s="19"/>
      <c r="W53" s="19"/>
      <c r="X53" s="19"/>
      <c r="Y53" s="45"/>
      <c r="Z53" s="68"/>
      <c r="AA53" s="45"/>
      <c r="AB53" s="68"/>
      <c r="AC53" s="45"/>
      <c r="AD53" s="68"/>
    </row>
    <row r="54" spans="3:30" ht="12.75">
      <c r="C54" s="1" t="s">
        <v>69</v>
      </c>
      <c r="D54" s="1" t="s">
        <v>120</v>
      </c>
      <c r="E54" s="1" t="s">
        <v>118</v>
      </c>
      <c r="J54" s="19"/>
      <c r="K54" s="19"/>
      <c r="L54" s="19"/>
      <c r="M54" s="104"/>
      <c r="N54" s="104"/>
      <c r="O54" s="104"/>
      <c r="P54" s="19"/>
      <c r="Q54" s="19"/>
      <c r="R54" s="19"/>
      <c r="S54" s="19"/>
      <c r="T54" s="19"/>
      <c r="U54" s="19"/>
      <c r="V54" s="19"/>
      <c r="W54" s="19"/>
      <c r="X54" s="19"/>
      <c r="Y54" s="45"/>
      <c r="Z54" s="68"/>
      <c r="AA54" s="45"/>
      <c r="AB54" s="68"/>
      <c r="AC54" s="45"/>
      <c r="AD54" s="68"/>
    </row>
    <row r="55" spans="3:30" ht="12.75">
      <c r="C55" s="1" t="s">
        <v>70</v>
      </c>
      <c r="D55" s="1" t="s">
        <v>121</v>
      </c>
      <c r="E55" s="1" t="s">
        <v>119</v>
      </c>
      <c r="J55" s="19"/>
      <c r="K55" s="19"/>
      <c r="L55" s="19"/>
      <c r="M55" s="104"/>
      <c r="N55" s="104"/>
      <c r="O55" s="104"/>
      <c r="P55" s="19"/>
      <c r="Q55" s="19"/>
      <c r="R55" s="19"/>
      <c r="S55" s="19"/>
      <c r="T55" s="19"/>
      <c r="U55" s="19"/>
      <c r="V55" s="19"/>
      <c r="W55" s="19"/>
      <c r="X55" s="19"/>
      <c r="Y55" s="45"/>
      <c r="Z55" s="68"/>
      <c r="AA55" s="45"/>
      <c r="AB55" s="68"/>
      <c r="AC55" s="45"/>
      <c r="AD55" s="68"/>
    </row>
    <row r="56" spans="5:30" ht="12.75">
      <c r="E56" s="19"/>
      <c r="J56" s="19"/>
      <c r="K56" s="19"/>
      <c r="L56" s="19"/>
      <c r="M56" s="103"/>
      <c r="N56" s="103"/>
      <c r="O56" s="103"/>
      <c r="P56" s="19"/>
      <c r="Q56" s="19"/>
      <c r="R56" s="19"/>
      <c r="S56" s="19"/>
      <c r="T56" s="19"/>
      <c r="U56" s="19"/>
      <c r="V56" s="19"/>
      <c r="W56" s="19"/>
      <c r="X56" s="19"/>
      <c r="Y56" s="45"/>
      <c r="Z56" s="68"/>
      <c r="AA56" s="45"/>
      <c r="AB56" s="68"/>
      <c r="AC56" s="45"/>
      <c r="AD56" s="68"/>
    </row>
    <row r="57" spans="10:30" ht="12.75">
      <c r="J57" s="19"/>
      <c r="K57" s="19"/>
      <c r="L57" s="19"/>
      <c r="M57" s="104"/>
      <c r="N57" s="104"/>
      <c r="O57" s="104"/>
      <c r="P57" s="19"/>
      <c r="Q57" s="19"/>
      <c r="R57" s="19"/>
      <c r="S57" s="19"/>
      <c r="T57" s="19"/>
      <c r="U57" s="19"/>
      <c r="V57" s="19"/>
      <c r="W57" s="19"/>
      <c r="X57" s="19"/>
      <c r="Y57" s="45"/>
      <c r="Z57" s="68"/>
      <c r="AA57" s="45"/>
      <c r="AB57" s="68"/>
      <c r="AC57" s="45"/>
      <c r="AD57" s="68"/>
    </row>
    <row r="58" spans="10:30" ht="12.75">
      <c r="J58" s="19"/>
      <c r="K58" s="19"/>
      <c r="L58" s="19"/>
      <c r="M58" s="104"/>
      <c r="N58" s="104"/>
      <c r="O58" s="104"/>
      <c r="P58" s="19"/>
      <c r="Q58" s="19"/>
      <c r="R58" s="19"/>
      <c r="S58" s="19"/>
      <c r="T58" s="19"/>
      <c r="U58" s="19"/>
      <c r="V58" s="19"/>
      <c r="W58" s="19"/>
      <c r="X58" s="19"/>
      <c r="Y58" s="45"/>
      <c r="Z58" s="68"/>
      <c r="AA58" s="45"/>
      <c r="AB58" s="68"/>
      <c r="AC58" s="45"/>
      <c r="AD58" s="68"/>
    </row>
    <row r="59" spans="6:30" ht="12.75">
      <c r="F59" s="19"/>
      <c r="J59" s="19"/>
      <c r="K59" s="19"/>
      <c r="L59" s="19"/>
      <c r="M59" s="104"/>
      <c r="N59" s="104"/>
      <c r="O59" s="104"/>
      <c r="P59" s="19"/>
      <c r="Q59" s="19"/>
      <c r="R59" s="19"/>
      <c r="S59" s="19"/>
      <c r="T59" s="19"/>
      <c r="U59" s="19"/>
      <c r="V59" s="19"/>
      <c r="W59" s="19"/>
      <c r="X59" s="19"/>
      <c r="Y59" s="45"/>
      <c r="Z59" s="68"/>
      <c r="AA59" s="45"/>
      <c r="AB59" s="68"/>
      <c r="AC59" s="45"/>
      <c r="AD59" s="68"/>
    </row>
    <row r="60" spans="6:30" ht="12.75">
      <c r="F60" s="19"/>
      <c r="J60" s="19"/>
      <c r="K60" s="19"/>
      <c r="L60" s="19"/>
      <c r="M60" s="104"/>
      <c r="N60" s="104"/>
      <c r="O60" s="104"/>
      <c r="P60" s="19"/>
      <c r="Q60" s="19"/>
      <c r="R60" s="19"/>
      <c r="S60" s="19"/>
      <c r="T60" s="19"/>
      <c r="U60" s="19"/>
      <c r="V60" s="19"/>
      <c r="W60" s="19"/>
      <c r="X60" s="19"/>
      <c r="Y60" s="45"/>
      <c r="Z60" s="68"/>
      <c r="AA60" s="45"/>
      <c r="AB60" s="68"/>
      <c r="AC60" s="45"/>
      <c r="AD60" s="68"/>
    </row>
    <row r="61" spans="6:30" ht="12.75">
      <c r="F61" s="19"/>
      <c r="J61" s="19"/>
      <c r="K61" s="19"/>
      <c r="L61" s="19"/>
      <c r="M61" s="104"/>
      <c r="N61" s="104"/>
      <c r="O61" s="104"/>
      <c r="P61" s="19"/>
      <c r="Q61" s="19"/>
      <c r="R61" s="19"/>
      <c r="S61" s="19"/>
      <c r="T61" s="19"/>
      <c r="U61" s="19"/>
      <c r="V61" s="19"/>
      <c r="W61" s="19"/>
      <c r="X61" s="19"/>
      <c r="Y61" s="45"/>
      <c r="Z61" s="68"/>
      <c r="AA61" s="45"/>
      <c r="AB61" s="68"/>
      <c r="AC61" s="45"/>
      <c r="AD61" s="68"/>
    </row>
    <row r="62" spans="6:30" ht="12.75">
      <c r="F62" s="19"/>
      <c r="J62" s="19"/>
      <c r="K62" s="19"/>
      <c r="L62" s="19"/>
      <c r="M62" s="104"/>
      <c r="N62" s="104"/>
      <c r="O62" s="104"/>
      <c r="P62" s="19"/>
      <c r="Q62" s="19"/>
      <c r="R62" s="19"/>
      <c r="S62" s="19"/>
      <c r="T62" s="19"/>
      <c r="U62" s="19"/>
      <c r="V62" s="19"/>
      <c r="W62" s="19"/>
      <c r="X62" s="19"/>
      <c r="Y62" s="45"/>
      <c r="Z62" s="68"/>
      <c r="AA62" s="45"/>
      <c r="AB62" s="68"/>
      <c r="AC62" s="45"/>
      <c r="AD62" s="68"/>
    </row>
    <row r="63" spans="10:30" ht="12.75">
      <c r="J63" s="19"/>
      <c r="K63" s="19"/>
      <c r="L63" s="19"/>
      <c r="M63" s="104"/>
      <c r="N63" s="104"/>
      <c r="O63" s="104"/>
      <c r="P63" s="19"/>
      <c r="Q63" s="19"/>
      <c r="R63" s="19"/>
      <c r="S63" s="19"/>
      <c r="T63" s="19"/>
      <c r="U63" s="19"/>
      <c r="V63" s="19"/>
      <c r="W63" s="19"/>
      <c r="X63" s="19"/>
      <c r="Y63" s="45"/>
      <c r="Z63" s="68"/>
      <c r="AA63" s="45"/>
      <c r="AB63" s="68"/>
      <c r="AC63" s="45"/>
      <c r="AD63" s="68"/>
    </row>
  </sheetData>
  <printOptions/>
  <pageMargins left="0.41" right="0.25" top="0.984251968503937" bottom="0.984251968503937" header="0.5118110236220472" footer="0.5118110236220472"/>
  <pageSetup fitToHeight="1" fitToWidth="1" horizontalDpi="600" verticalDpi="600" orientation="landscape" paperSize="9" scale="41" r:id="rId1"/>
  <headerFooter alignWithMargins="0">
    <oddHeader>&amp;L&amp;F, &amp;A&amp;R&amp;T, &amp;D</oddHeader>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F56"/>
  <sheetViews>
    <sheetView zoomScale="75" zoomScaleNormal="75" workbookViewId="0" topLeftCell="A1">
      <selection activeCell="K2" sqref="K2:K49"/>
    </sheetView>
  </sheetViews>
  <sheetFormatPr defaultColWidth="12" defaultRowHeight="12.75"/>
  <cols>
    <col min="1" max="1" width="12.83203125" style="19" customWidth="1"/>
    <col min="2" max="2" width="7.5" style="19" customWidth="1"/>
    <col min="3" max="3" width="18.66015625" style="19" customWidth="1"/>
    <col min="4" max="4" width="12" style="19" customWidth="1"/>
    <col min="5" max="5" width="12" style="1" customWidth="1"/>
    <col min="6" max="6" width="8.83203125" style="1" customWidth="1"/>
    <col min="7" max="7" width="11.16015625" style="20" customWidth="1"/>
    <col min="8" max="9" width="8.16015625" style="20" customWidth="1"/>
    <col min="10" max="10" width="10" style="20" customWidth="1"/>
    <col min="11" max="11" width="11.5" style="20" customWidth="1"/>
    <col min="12" max="12" width="9.66015625" style="45" customWidth="1"/>
    <col min="13" max="14" width="10" style="45" customWidth="1"/>
    <col min="15" max="15" width="11.16015625" style="45" customWidth="1"/>
    <col min="16" max="17" width="10" style="45" customWidth="1"/>
    <col min="18" max="18" width="15.16015625" style="55" customWidth="1"/>
    <col min="19" max="26" width="10" style="55" customWidth="1"/>
    <col min="27" max="27" width="10" style="30" customWidth="1"/>
    <col min="28" max="28" width="10" style="31" customWidth="1"/>
    <col min="29" max="29" width="10" style="30" customWidth="1"/>
    <col min="30" max="30" width="10" style="31" customWidth="1"/>
    <col min="31" max="31" width="10" style="30" customWidth="1"/>
    <col min="32" max="32" width="10" style="31" customWidth="1"/>
    <col min="33" max="16384" width="12" style="19" customWidth="1"/>
  </cols>
  <sheetData>
    <row r="1" spans="1:32" s="25" customFormat="1" ht="12.75">
      <c r="A1" s="19" t="s">
        <v>555</v>
      </c>
      <c r="C1" s="25" t="s">
        <v>116</v>
      </c>
      <c r="D1" s="25" t="s">
        <v>2</v>
      </c>
      <c r="E1" s="5" t="s">
        <v>431</v>
      </c>
      <c r="F1" s="5" t="s">
        <v>145</v>
      </c>
      <c r="G1" s="6" t="s">
        <v>78</v>
      </c>
      <c r="H1" s="26" t="s">
        <v>79</v>
      </c>
      <c r="I1" s="26" t="s">
        <v>669</v>
      </c>
      <c r="J1" s="26"/>
      <c r="K1" s="26" t="s">
        <v>662</v>
      </c>
      <c r="L1" s="54" t="s">
        <v>4</v>
      </c>
      <c r="M1" s="54" t="s">
        <v>5</v>
      </c>
      <c r="N1" s="54" t="s">
        <v>6</v>
      </c>
      <c r="O1" s="54" t="s">
        <v>299</v>
      </c>
      <c r="P1" s="54" t="s">
        <v>300</v>
      </c>
      <c r="Q1" s="54" t="s">
        <v>301</v>
      </c>
      <c r="R1" s="32" t="s">
        <v>309</v>
      </c>
      <c r="S1" s="32" t="s">
        <v>310</v>
      </c>
      <c r="T1" s="32" t="s">
        <v>311</v>
      </c>
      <c r="U1" s="32" t="s">
        <v>289</v>
      </c>
      <c r="V1" s="32" t="s">
        <v>312</v>
      </c>
      <c r="W1" s="32" t="s">
        <v>313</v>
      </c>
      <c r="X1" s="32" t="s">
        <v>314</v>
      </c>
      <c r="Y1" s="32" t="s">
        <v>315</v>
      </c>
      <c r="Z1" s="32" t="s">
        <v>316</v>
      </c>
      <c r="AA1" s="30" t="s">
        <v>317</v>
      </c>
      <c r="AB1" s="31"/>
      <c r="AC1" s="30" t="s">
        <v>318</v>
      </c>
      <c r="AD1" s="31"/>
      <c r="AE1" s="30" t="s">
        <v>319</v>
      </c>
      <c r="AF1" s="31"/>
    </row>
    <row r="2" spans="3:32" ht="13.5" thickBot="1">
      <c r="C2" s="19">
        <f aca="true" ca="1" t="shared" si="0" ref="C2:E21">IF(INDIRECT("SurfaceList!"&amp;ThisCol)="","",INDIRECT("SurfaceList!"&amp;ThisCol))</f>
      </c>
      <c r="D2" s="19" t="str">
        <f ca="1" t="shared" si="0"/>
        <v>Dummy</v>
      </c>
      <c r="E2" s="19" t="str">
        <f ca="1" t="shared" si="0"/>
        <v>Phot</v>
      </c>
      <c r="F2" s="19" t="str">
        <f aca="true" ca="1" t="shared" si="1" ref="F2:F49">IF(INDIRECT("SurfaceList!"&amp;ThisCol)="","",INDIRECT("SurfaceList!"&amp;ThisCol))</f>
        <v>Ignore</v>
      </c>
      <c r="G2" s="8">
        <f aca="true" ca="1" t="shared" si="2" ref="G2:G49">IF(INDIRECT("SurfaceList!"&amp;ThisCol)="","",INDIRECT("SurfaceList!"&amp;ThisCol))</f>
        <v>5</v>
      </c>
      <c r="H2" s="20">
        <f aca="true" ca="1" t="shared" si="3" ref="H2:H49">SurfNum+INDIRECT("Line0"&amp;System)</f>
        <v>245</v>
      </c>
      <c r="I2" s="20">
        <f aca="true" ca="1" t="shared" si="4" ref="I2:I49">SurfNum+INDIRECT("ListLine0"&amp;System)</f>
        <v>50</v>
      </c>
      <c r="J2" s="20" t="str">
        <f ca="1" t="shared" si="5" ref="J2:J49">INDIRECT(System&amp;"Glob!"&amp;INDIRECT("IndexCol")&amp;FIXED(ListLine,0))</f>
        <v>AIR</v>
      </c>
      <c r="K2" s="45">
        <f aca="true" ca="1" t="shared" si="6" ref="K2:K49">IF(ISERROR(INDIRECT(System&amp;"Glob!"&amp;INDIRECT("IndexCol")&amp;FIXED(ListLine,0))),-1,1)</f>
        <v>1</v>
      </c>
      <c r="L2" s="45">
        <f ca="1" t="shared" si="7" ref="L2:Q11">INDIRECT(System&amp;"Glob!"&amp;INDIRECT(Axe&amp;"col")&amp;FIXED(Line,0))</f>
        <v>0</v>
      </c>
      <c r="M2" s="45">
        <f ca="1" t="shared" si="7"/>
        <v>0</v>
      </c>
      <c r="N2" s="45">
        <f ca="1" t="shared" si="7"/>
        <v>-3050</v>
      </c>
      <c r="O2" s="45">
        <f ca="1" t="shared" si="7"/>
        <v>0</v>
      </c>
      <c r="P2" s="45">
        <f ca="1" t="shared" si="7"/>
        <v>0</v>
      </c>
      <c r="Q2" s="45">
        <f ca="1" t="shared" si="7"/>
        <v>0</v>
      </c>
      <c r="R2" s="30">
        <f>-SIN(bEuler*PI()/180)</f>
        <v>0</v>
      </c>
      <c r="S2" s="30">
        <f>SIN(aEuler*PI()/180)*COS(bEuler*PI()/180)</f>
        <v>0</v>
      </c>
      <c r="T2" s="30">
        <f>COS(aEuler*PI()/180)*COS(bEuler*PI()/180)</f>
        <v>1</v>
      </c>
      <c r="U2" s="30">
        <f>(COS(bEuler*PI()/180)*SIN(cEuler*PI()/180))</f>
        <v>0</v>
      </c>
      <c r="V2" s="30">
        <f>(SIN(aEuler*PI()/180)*SIN(bEuler*PI()/180)*SIN(cEuler*PI()/180)+COS(aEuler*PI()/180)*COS(cEuler*PI()/180))</f>
        <v>1</v>
      </c>
      <c r="W2" s="30">
        <f>(COS(aEuler*PI()/180)*SIN(bEuler*PI()/180)*SIN(cEuler*PI()/180)-SIN(aEuler*PI()/180)*COS(cEuler*PI()/180))</f>
        <v>0</v>
      </c>
      <c r="X2" s="30">
        <f>COS(bEuler*PI()/180)*COS(cEuler*PI()/180)</f>
        <v>1</v>
      </c>
      <c r="Y2" s="30">
        <f>(SIN(aEuler*PI()/180)*SIN(bEuler*PI()/180)*COS(cEuler*PI()/180)-COS(aEuler*PI()/180)*SIN(cEuler*PI()/180))</f>
        <v>0</v>
      </c>
      <c r="Z2" s="30">
        <f>(COS(aEuler*PI()/180)*SIN(bEuler*PI()/180)*COS(cEuler*PI()/180)+SIN(aEuler*PI()/180)*SIN(cEuler*PI()/180))</f>
        <v>0</v>
      </c>
      <c r="AA2" s="30">
        <f>xTang*xNorm+yTang*yNorm+zTang*zNorm</f>
        <v>0</v>
      </c>
      <c r="AB2" s="31">
        <f>ACOS(AA2)*180/PI()</f>
        <v>90</v>
      </c>
      <c r="AC2" s="30">
        <f>xSag*xNorm+ySag*yNorm+zSag*zNorm</f>
        <v>0</v>
      </c>
      <c r="AD2" s="31">
        <f>ACOS(AC2)*180/PI()</f>
        <v>90</v>
      </c>
      <c r="AE2" s="30">
        <f>xSag*xTang+ySag*yTang+zSag*zTang</f>
        <v>0</v>
      </c>
      <c r="AF2" s="31">
        <f aca="true" t="shared" si="8" ref="AF2:AF49">ACOS(AE2)*180/PI()</f>
        <v>90</v>
      </c>
    </row>
    <row r="3" spans="1:32" ht="12.75">
      <c r="A3" s="29" t="s">
        <v>664</v>
      </c>
      <c r="C3" s="10" t="str">
        <f ca="1" t="shared" si="0"/>
        <v>Telescope</v>
      </c>
      <c r="D3" s="11" t="str">
        <f ca="1" t="shared" si="0"/>
        <v>M1</v>
      </c>
      <c r="E3" s="11" t="str">
        <f ca="1" t="shared" si="0"/>
        <v>Phot</v>
      </c>
      <c r="F3" s="11" t="str">
        <f ca="1" t="shared" si="1"/>
        <v>Mirror</v>
      </c>
      <c r="G3" s="12">
        <f ca="1" t="shared" si="2"/>
        <v>6</v>
      </c>
      <c r="H3" s="12">
        <f ca="1" t="shared" si="3"/>
        <v>246</v>
      </c>
      <c r="I3" s="12">
        <f ca="1" t="shared" si="4"/>
        <v>51</v>
      </c>
      <c r="J3" s="12" t="str">
        <f ca="1" t="shared" si="5"/>
        <v>AIR</v>
      </c>
      <c r="K3" s="12">
        <f ca="1" t="shared" si="6"/>
        <v>1</v>
      </c>
      <c r="L3" s="48">
        <f ca="1" t="shared" si="7"/>
        <v>0</v>
      </c>
      <c r="M3" s="48">
        <f ca="1" t="shared" si="7"/>
        <v>0</v>
      </c>
      <c r="N3" s="48">
        <f ca="1" t="shared" si="7"/>
        <v>-1050</v>
      </c>
      <c r="O3" s="48">
        <f ca="1" t="shared" si="7"/>
        <v>0</v>
      </c>
      <c r="P3" s="48">
        <f ca="1" t="shared" si="7"/>
        <v>0</v>
      </c>
      <c r="Q3" s="49">
        <f ca="1" t="shared" si="7"/>
        <v>0</v>
      </c>
      <c r="R3" s="30">
        <f aca="true" t="shared" si="9" ref="R3:R49">-SIN(bEuler*PI()/180)</f>
        <v>0</v>
      </c>
      <c r="S3" s="30">
        <f aca="true" t="shared" si="10" ref="S3:S49">SIN(aEuler*PI()/180)*COS(bEuler*PI()/180)</f>
        <v>0</v>
      </c>
      <c r="T3" s="30">
        <f aca="true" t="shared" si="11" ref="T3:T49">COS(aEuler*PI()/180)*COS(bEuler*PI()/180)</f>
        <v>1</v>
      </c>
      <c r="U3" s="30">
        <f aca="true" t="shared" si="12" ref="U3:U49">(COS(bEuler*PI()/180)*SIN(cEuler*PI()/180))</f>
        <v>0</v>
      </c>
      <c r="V3" s="30">
        <f aca="true" t="shared" si="13" ref="V3:V49">(SIN(aEuler*PI()/180)*SIN(bEuler*PI()/180)*SIN(cEuler*PI()/180)+COS(aEuler*PI()/180)*COS(cEuler*PI()/180))</f>
        <v>1</v>
      </c>
      <c r="W3" s="30">
        <f aca="true" t="shared" si="14" ref="W3:W49">(COS(aEuler*PI()/180)*SIN(bEuler*PI()/180)*SIN(cEuler*PI()/180)-SIN(aEuler*PI()/180)*COS(cEuler*PI()/180))</f>
        <v>0</v>
      </c>
      <c r="X3" s="30">
        <f aca="true" t="shared" si="15" ref="X3:X49">COS(bEuler*PI()/180)*COS(cEuler*PI()/180)</f>
        <v>1</v>
      </c>
      <c r="Y3" s="30">
        <f aca="true" t="shared" si="16" ref="Y3:Y49">(SIN(aEuler*PI()/180)*SIN(bEuler*PI()/180)*COS(cEuler*PI()/180)-COS(aEuler*PI()/180)*SIN(cEuler*PI()/180))</f>
        <v>0</v>
      </c>
      <c r="Z3" s="30">
        <f aca="true" t="shared" si="17" ref="Z3:Z49">(COS(aEuler*PI()/180)*SIN(bEuler*PI()/180)*COS(cEuler*PI()/180)+SIN(aEuler*PI()/180)*SIN(cEuler*PI()/180))</f>
        <v>0</v>
      </c>
      <c r="AA3" s="30">
        <f aca="true" t="shared" si="18" ref="AA3:AA49">xTang*xNorm+yTang*yNorm+zTang*zNorm</f>
        <v>0</v>
      </c>
      <c r="AB3" s="31">
        <f aca="true" t="shared" si="19" ref="AB3:AB49">ACOS(AA3)*180/PI()</f>
        <v>90</v>
      </c>
      <c r="AC3" s="30">
        <f aca="true" t="shared" si="20" ref="AC3:AC49">xSag*xNorm+ySag*yNorm+zSag*zNorm</f>
        <v>0</v>
      </c>
      <c r="AD3" s="31">
        <f aca="true" t="shared" si="21" ref="AD3:AD49">ACOS(AC3)*180/PI()</f>
        <v>90</v>
      </c>
      <c r="AE3" s="30">
        <f aca="true" t="shared" si="22" ref="AE3:AE49">xSag*xTang+ySag*yTang+zSag*zTang</f>
        <v>0</v>
      </c>
      <c r="AF3" s="31">
        <f t="shared" si="8"/>
        <v>90</v>
      </c>
    </row>
    <row r="4" spans="1:32" ht="13.5" thickBot="1">
      <c r="A4" s="28" t="s">
        <v>433</v>
      </c>
      <c r="B4" s="28">
        <v>240</v>
      </c>
      <c r="C4" s="14">
        <f ca="1" t="shared" si="0"/>
      </c>
      <c r="D4" s="15" t="str">
        <f ca="1" t="shared" si="0"/>
        <v>M2</v>
      </c>
      <c r="E4" s="15" t="str">
        <f ca="1" t="shared" si="0"/>
        <v>Phot</v>
      </c>
      <c r="F4" s="15" t="str">
        <f ca="1" t="shared" si="1"/>
        <v>Mirror</v>
      </c>
      <c r="G4" s="16">
        <f ca="1" t="shared" si="2"/>
        <v>7</v>
      </c>
      <c r="H4" s="16">
        <f ca="1" t="shared" si="3"/>
        <v>247</v>
      </c>
      <c r="I4" s="16">
        <f ca="1" t="shared" si="4"/>
        <v>52</v>
      </c>
      <c r="J4" s="16" t="e">
        <f ca="1" t="shared" si="5"/>
        <v>#NAME?</v>
      </c>
      <c r="K4" s="16">
        <f ca="1" t="shared" si="6"/>
        <v>-1</v>
      </c>
      <c r="L4" s="51">
        <f ca="1" t="shared" si="7"/>
        <v>0</v>
      </c>
      <c r="M4" s="51">
        <f ca="1" t="shared" si="7"/>
        <v>0</v>
      </c>
      <c r="N4" s="51">
        <f ca="1" t="shared" si="7"/>
        <v>-2637.998</v>
      </c>
      <c r="O4" s="51">
        <f ca="1" t="shared" si="7"/>
        <v>0</v>
      </c>
      <c r="P4" s="51">
        <f ca="1" t="shared" si="7"/>
        <v>0</v>
      </c>
      <c r="Q4" s="52">
        <f ca="1" t="shared" si="7"/>
        <v>0</v>
      </c>
      <c r="R4" s="30">
        <f t="shared" si="9"/>
        <v>0</v>
      </c>
      <c r="S4" s="30">
        <f t="shared" si="10"/>
        <v>0</v>
      </c>
      <c r="T4" s="30">
        <f t="shared" si="11"/>
        <v>1</v>
      </c>
      <c r="U4" s="30">
        <f t="shared" si="12"/>
        <v>0</v>
      </c>
      <c r="V4" s="30">
        <f t="shared" si="13"/>
        <v>1</v>
      </c>
      <c r="W4" s="30">
        <f t="shared" si="14"/>
        <v>0</v>
      </c>
      <c r="X4" s="30">
        <f t="shared" si="15"/>
        <v>1</v>
      </c>
      <c r="Y4" s="30">
        <f t="shared" si="16"/>
        <v>0</v>
      </c>
      <c r="Z4" s="30">
        <f t="shared" si="17"/>
        <v>0</v>
      </c>
      <c r="AA4" s="30">
        <f t="shared" si="18"/>
        <v>0</v>
      </c>
      <c r="AB4" s="31">
        <f t="shared" si="19"/>
        <v>90</v>
      </c>
      <c r="AC4" s="30">
        <f t="shared" si="20"/>
        <v>0</v>
      </c>
      <c r="AD4" s="31">
        <f t="shared" si="21"/>
        <v>90</v>
      </c>
      <c r="AE4" s="30">
        <f t="shared" si="22"/>
        <v>0</v>
      </c>
      <c r="AF4" s="31">
        <f t="shared" si="8"/>
        <v>90</v>
      </c>
    </row>
    <row r="5" spans="1:32" ht="12.75">
      <c r="A5" s="19" t="s">
        <v>545</v>
      </c>
      <c r="B5" s="28">
        <v>420</v>
      </c>
      <c r="C5" s="10" t="str">
        <f ca="1" t="shared" si="0"/>
        <v>Common optics</v>
      </c>
      <c r="D5" s="11" t="str">
        <f ca="1" t="shared" si="0"/>
        <v>CFP</v>
      </c>
      <c r="E5" s="11" t="str">
        <f ca="1" t="shared" si="0"/>
        <v>Phot</v>
      </c>
      <c r="F5" s="11" t="str">
        <f ca="1" t="shared" si="1"/>
        <v>Ignore</v>
      </c>
      <c r="G5" s="12">
        <f ca="1" t="shared" si="2"/>
        <v>9</v>
      </c>
      <c r="H5" s="12">
        <f ca="1" t="shared" si="3"/>
        <v>249</v>
      </c>
      <c r="I5" s="12">
        <f ca="1" t="shared" si="4"/>
        <v>54</v>
      </c>
      <c r="J5" s="12" t="str">
        <f ca="1" t="shared" si="5"/>
        <v>AIR</v>
      </c>
      <c r="K5" s="12">
        <f ca="1" t="shared" si="6"/>
        <v>1</v>
      </c>
      <c r="L5" s="48">
        <f ca="1" t="shared" si="7"/>
        <v>0</v>
      </c>
      <c r="M5" s="48">
        <f ca="1" t="shared" si="7"/>
        <v>0</v>
      </c>
      <c r="N5" s="48">
        <f ca="1" t="shared" si="7"/>
        <v>0</v>
      </c>
      <c r="O5" s="48">
        <f ca="1" t="shared" si="7"/>
        <v>0</v>
      </c>
      <c r="P5" s="48">
        <f ca="1" t="shared" si="7"/>
        <v>0</v>
      </c>
      <c r="Q5" s="49">
        <f ca="1" t="shared" si="7"/>
        <v>0</v>
      </c>
      <c r="R5" s="30">
        <f t="shared" si="9"/>
        <v>0</v>
      </c>
      <c r="S5" s="30">
        <f t="shared" si="10"/>
        <v>0</v>
      </c>
      <c r="T5" s="30">
        <f t="shared" si="11"/>
        <v>1</v>
      </c>
      <c r="U5" s="30">
        <f t="shared" si="12"/>
        <v>0</v>
      </c>
      <c r="V5" s="30">
        <f t="shared" si="13"/>
        <v>1</v>
      </c>
      <c r="W5" s="30">
        <f t="shared" si="14"/>
        <v>0</v>
      </c>
      <c r="X5" s="30">
        <f t="shared" si="15"/>
        <v>1</v>
      </c>
      <c r="Y5" s="30">
        <f t="shared" si="16"/>
        <v>0</v>
      </c>
      <c r="Z5" s="30">
        <f t="shared" si="17"/>
        <v>0</v>
      </c>
      <c r="AA5" s="30">
        <f t="shared" si="18"/>
        <v>0</v>
      </c>
      <c r="AB5" s="31">
        <f t="shared" si="19"/>
        <v>90</v>
      </c>
      <c r="AC5" s="30">
        <f t="shared" si="20"/>
        <v>0</v>
      </c>
      <c r="AD5" s="31">
        <f t="shared" si="21"/>
        <v>90</v>
      </c>
      <c r="AE5" s="30">
        <f t="shared" si="22"/>
        <v>0</v>
      </c>
      <c r="AF5" s="31">
        <f t="shared" si="8"/>
        <v>90</v>
      </c>
    </row>
    <row r="6" spans="1:32" ht="12.75">
      <c r="A6" s="28" t="s">
        <v>88</v>
      </c>
      <c r="B6" s="28" t="s">
        <v>89</v>
      </c>
      <c r="C6" s="18">
        <f ca="1" t="shared" si="0"/>
      </c>
      <c r="D6" s="19" t="str">
        <f ca="1" t="shared" si="0"/>
        <v>CM3</v>
      </c>
      <c r="E6" s="19" t="str">
        <f ca="1" t="shared" si="0"/>
        <v>Phot</v>
      </c>
      <c r="F6" s="19" t="str">
        <f ca="1" t="shared" si="1"/>
        <v>Mirror</v>
      </c>
      <c r="G6" s="20">
        <f ca="1" t="shared" si="2"/>
        <v>11</v>
      </c>
      <c r="H6" s="20">
        <f ca="1" t="shared" si="3"/>
        <v>251</v>
      </c>
      <c r="I6" s="20">
        <f ca="1" t="shared" si="4"/>
        <v>56</v>
      </c>
      <c r="J6" s="20" t="str">
        <f ca="1" t="shared" si="5"/>
        <v>AIR</v>
      </c>
      <c r="K6" s="20">
        <f ca="1" t="shared" si="6"/>
        <v>1</v>
      </c>
      <c r="L6" s="45">
        <f ca="1" t="shared" si="7"/>
        <v>0</v>
      </c>
      <c r="M6" s="45">
        <f ca="1" t="shared" si="7"/>
        <v>-243.065859</v>
      </c>
      <c r="N6" s="45">
        <f ca="1" t="shared" si="7"/>
        <v>78.379337</v>
      </c>
      <c r="O6" s="45">
        <f ca="1" t="shared" si="7"/>
        <v>-8.6832</v>
      </c>
      <c r="P6" s="45">
        <f ca="1" t="shared" si="7"/>
        <v>0</v>
      </c>
      <c r="Q6" s="46">
        <f ca="1" t="shared" si="7"/>
        <v>0</v>
      </c>
      <c r="R6" s="30">
        <f t="shared" si="9"/>
        <v>0</v>
      </c>
      <c r="S6" s="30">
        <f t="shared" si="10"/>
        <v>-0.15097097220329236</v>
      </c>
      <c r="T6" s="30">
        <f t="shared" si="11"/>
        <v>0.9885381963040137</v>
      </c>
      <c r="U6" s="30">
        <f t="shared" si="12"/>
        <v>0</v>
      </c>
      <c r="V6" s="30">
        <f t="shared" si="13"/>
        <v>0.9885381963040137</v>
      </c>
      <c r="W6" s="30">
        <f t="shared" si="14"/>
        <v>0.15097097220329236</v>
      </c>
      <c r="X6" s="30">
        <f t="shared" si="15"/>
        <v>1</v>
      </c>
      <c r="Y6" s="30">
        <f t="shared" si="16"/>
        <v>0</v>
      </c>
      <c r="Z6" s="30">
        <f t="shared" si="17"/>
        <v>0</v>
      </c>
      <c r="AA6" s="30">
        <f t="shared" si="18"/>
        <v>0</v>
      </c>
      <c r="AB6" s="31">
        <f t="shared" si="19"/>
        <v>90</v>
      </c>
      <c r="AC6" s="30">
        <f t="shared" si="20"/>
        <v>0</v>
      </c>
      <c r="AD6" s="31">
        <f t="shared" si="21"/>
        <v>90</v>
      </c>
      <c r="AE6" s="30">
        <f t="shared" si="22"/>
        <v>0</v>
      </c>
      <c r="AF6" s="31">
        <f t="shared" si="8"/>
        <v>90</v>
      </c>
    </row>
    <row r="7" spans="1:32" ht="12.75">
      <c r="A7" s="28" t="s">
        <v>91</v>
      </c>
      <c r="B7" s="28" t="s">
        <v>92</v>
      </c>
      <c r="C7" s="18">
        <f ca="1" t="shared" si="0"/>
      </c>
      <c r="D7" s="19" t="str">
        <f ca="1" t="shared" si="0"/>
        <v>CM4</v>
      </c>
      <c r="E7" s="19" t="str">
        <f ca="1" t="shared" si="0"/>
        <v>Phot</v>
      </c>
      <c r="F7" s="19" t="str">
        <f ca="1" t="shared" si="1"/>
        <v>Mirror</v>
      </c>
      <c r="G7" s="20">
        <f ca="1" t="shared" si="2"/>
        <v>14</v>
      </c>
      <c r="H7" s="20">
        <f ca="1" t="shared" si="3"/>
        <v>254</v>
      </c>
      <c r="I7" s="20">
        <f ca="1" t="shared" si="4"/>
        <v>59</v>
      </c>
      <c r="J7" s="20" t="e">
        <f ca="1" t="shared" si="5"/>
        <v>#NAME?</v>
      </c>
      <c r="K7" s="20">
        <f ca="1" t="shared" si="6"/>
        <v>-1</v>
      </c>
      <c r="L7" s="45">
        <f ca="1" t="shared" si="7"/>
        <v>0</v>
      </c>
      <c r="M7" s="45">
        <f ca="1" t="shared" si="7"/>
        <v>-200.09302</v>
      </c>
      <c r="N7" s="45">
        <f ca="1" t="shared" si="7"/>
        <v>-114.125371</v>
      </c>
      <c r="O7" s="45">
        <f ca="1" t="shared" si="7"/>
        <v>17.9434</v>
      </c>
      <c r="P7" s="45">
        <f ca="1" t="shared" si="7"/>
        <v>0</v>
      </c>
      <c r="Q7" s="46">
        <f ca="1" t="shared" si="7"/>
        <v>0</v>
      </c>
      <c r="R7" s="30">
        <f t="shared" si="9"/>
        <v>0</v>
      </c>
      <c r="S7" s="30">
        <f t="shared" si="10"/>
        <v>0.3080773365239388</v>
      </c>
      <c r="T7" s="30">
        <f t="shared" si="11"/>
        <v>0.9513613165986495</v>
      </c>
      <c r="U7" s="30">
        <f t="shared" si="12"/>
        <v>0</v>
      </c>
      <c r="V7" s="30">
        <f t="shared" si="13"/>
        <v>0.9513613165986495</v>
      </c>
      <c r="W7" s="30">
        <f t="shared" si="14"/>
        <v>-0.3080773365239388</v>
      </c>
      <c r="X7" s="30">
        <f t="shared" si="15"/>
        <v>1</v>
      </c>
      <c r="Y7" s="30">
        <f t="shared" si="16"/>
        <v>0</v>
      </c>
      <c r="Z7" s="30">
        <f t="shared" si="17"/>
        <v>0</v>
      </c>
      <c r="AA7" s="30">
        <f t="shared" si="18"/>
        <v>0</v>
      </c>
      <c r="AB7" s="31">
        <f t="shared" si="19"/>
        <v>90</v>
      </c>
      <c r="AC7" s="30">
        <f t="shared" si="20"/>
        <v>0</v>
      </c>
      <c r="AD7" s="31">
        <f t="shared" si="21"/>
        <v>90</v>
      </c>
      <c r="AE7" s="30">
        <f t="shared" si="22"/>
        <v>0</v>
      </c>
      <c r="AF7" s="31">
        <f t="shared" si="8"/>
        <v>90</v>
      </c>
    </row>
    <row r="8" spans="1:32" ht="13.5" thickBot="1">
      <c r="A8" s="28" t="s">
        <v>94</v>
      </c>
      <c r="B8" s="28" t="s">
        <v>95</v>
      </c>
      <c r="C8" s="14">
        <f ca="1" t="shared" si="0"/>
      </c>
      <c r="D8" s="15" t="str">
        <f ca="1" t="shared" si="0"/>
        <v>CM5</v>
      </c>
      <c r="E8" s="15" t="str">
        <f ca="1" t="shared" si="0"/>
        <v>Phot</v>
      </c>
      <c r="F8" s="15" t="str">
        <f ca="1" t="shared" si="1"/>
        <v>Mirror</v>
      </c>
      <c r="G8" s="16">
        <f ca="1" t="shared" si="2"/>
        <v>17</v>
      </c>
      <c r="H8" s="16">
        <f ca="1" t="shared" si="3"/>
        <v>257</v>
      </c>
      <c r="I8" s="16">
        <f ca="1" t="shared" si="4"/>
        <v>62</v>
      </c>
      <c r="J8" s="16" t="str">
        <f ca="1" t="shared" si="5"/>
        <v>AIR</v>
      </c>
      <c r="K8" s="16">
        <f ca="1" t="shared" si="6"/>
        <v>1</v>
      </c>
      <c r="L8" s="51">
        <f ca="1" t="shared" si="7"/>
        <v>0</v>
      </c>
      <c r="M8" s="51">
        <f ca="1" t="shared" si="7"/>
        <v>-179.687314</v>
      </c>
      <c r="N8" s="51">
        <f ca="1" t="shared" si="7"/>
        <v>82.217104</v>
      </c>
      <c r="O8" s="51">
        <f ca="1" t="shared" si="7"/>
        <v>15.1454</v>
      </c>
      <c r="P8" s="51">
        <f ca="1" t="shared" si="7"/>
        <v>0</v>
      </c>
      <c r="Q8" s="52">
        <f ca="1" t="shared" si="7"/>
        <v>0</v>
      </c>
      <c r="R8" s="30">
        <f t="shared" si="9"/>
        <v>0</v>
      </c>
      <c r="S8" s="30">
        <f t="shared" si="10"/>
        <v>0.26126944748333636</v>
      </c>
      <c r="T8" s="30">
        <f t="shared" si="11"/>
        <v>0.9652659093802869</v>
      </c>
      <c r="U8" s="30">
        <f t="shared" si="12"/>
        <v>0</v>
      </c>
      <c r="V8" s="30">
        <f t="shared" si="13"/>
        <v>0.9652659093802869</v>
      </c>
      <c r="W8" s="30">
        <f t="shared" si="14"/>
        <v>-0.26126944748333636</v>
      </c>
      <c r="X8" s="30">
        <f t="shared" si="15"/>
        <v>1</v>
      </c>
      <c r="Y8" s="30">
        <f t="shared" si="16"/>
        <v>0</v>
      </c>
      <c r="Z8" s="30">
        <f t="shared" si="17"/>
        <v>0</v>
      </c>
      <c r="AA8" s="30">
        <f t="shared" si="18"/>
        <v>0</v>
      </c>
      <c r="AB8" s="31">
        <f t="shared" si="19"/>
        <v>90</v>
      </c>
      <c r="AC8" s="30">
        <f t="shared" si="20"/>
        <v>0</v>
      </c>
      <c r="AD8" s="31">
        <f t="shared" si="21"/>
        <v>90</v>
      </c>
      <c r="AE8" s="30">
        <f t="shared" si="22"/>
        <v>0</v>
      </c>
      <c r="AF8" s="31">
        <f t="shared" si="8"/>
        <v>90</v>
      </c>
    </row>
    <row r="9" spans="1:32" ht="12.75">
      <c r="A9" s="28" t="s">
        <v>303</v>
      </c>
      <c r="B9" s="28" t="s">
        <v>306</v>
      </c>
      <c r="C9" s="10" t="str">
        <f ca="1" t="shared" si="0"/>
        <v>Photometer optics</v>
      </c>
      <c r="D9" s="11" t="str">
        <f ca="1" t="shared" si="0"/>
        <v>PM6</v>
      </c>
      <c r="E9" s="11" t="str">
        <f ca="1" t="shared" si="0"/>
        <v>Phot</v>
      </c>
      <c r="F9" s="11" t="str">
        <f ca="1" t="shared" si="1"/>
        <v>Mirror</v>
      </c>
      <c r="G9" s="12">
        <f ca="1" t="shared" si="2"/>
        <v>20</v>
      </c>
      <c r="H9" s="12">
        <f ca="1" t="shared" si="3"/>
        <v>260</v>
      </c>
      <c r="I9" s="12">
        <f ca="1" t="shared" si="4"/>
        <v>65</v>
      </c>
      <c r="J9" s="12" t="e">
        <f ca="1" t="shared" si="5"/>
        <v>#NAME?</v>
      </c>
      <c r="K9" s="12">
        <f ca="1" t="shared" si="6"/>
        <v>-1</v>
      </c>
      <c r="L9" s="48">
        <f ca="1" t="shared" si="7"/>
        <v>0</v>
      </c>
      <c r="M9" s="48">
        <f ca="1" t="shared" si="7"/>
        <v>-259.533222</v>
      </c>
      <c r="N9" s="48">
        <f ca="1" t="shared" si="7"/>
        <v>-94.150668</v>
      </c>
      <c r="O9" s="48">
        <f ca="1" t="shared" si="7"/>
        <v>9.3574</v>
      </c>
      <c r="P9" s="48">
        <f ca="1" t="shared" si="7"/>
        <v>0</v>
      </c>
      <c r="Q9" s="49">
        <f ca="1" t="shared" si="7"/>
        <v>0</v>
      </c>
      <c r="R9" s="30">
        <f t="shared" si="9"/>
        <v>0</v>
      </c>
      <c r="S9" s="30">
        <f t="shared" si="10"/>
        <v>0.16259239063958172</v>
      </c>
      <c r="T9" s="30">
        <f t="shared" si="11"/>
        <v>0.9866933234324157</v>
      </c>
      <c r="U9" s="30">
        <f t="shared" si="12"/>
        <v>0</v>
      </c>
      <c r="V9" s="30">
        <f t="shared" si="13"/>
        <v>0.9866933234324157</v>
      </c>
      <c r="W9" s="30">
        <f t="shared" si="14"/>
        <v>-0.16259239063958172</v>
      </c>
      <c r="X9" s="30">
        <f t="shared" si="15"/>
        <v>1</v>
      </c>
      <c r="Y9" s="30">
        <f t="shared" si="16"/>
        <v>0</v>
      </c>
      <c r="Z9" s="30">
        <f t="shared" si="17"/>
        <v>0</v>
      </c>
      <c r="AA9" s="30">
        <f t="shared" si="18"/>
        <v>0</v>
      </c>
      <c r="AB9" s="31">
        <f t="shared" si="19"/>
        <v>90</v>
      </c>
      <c r="AC9" s="30">
        <f t="shared" si="20"/>
        <v>0</v>
      </c>
      <c r="AD9" s="31">
        <f t="shared" si="21"/>
        <v>90</v>
      </c>
      <c r="AE9" s="30">
        <f t="shared" si="22"/>
        <v>0</v>
      </c>
      <c r="AF9" s="31">
        <f t="shared" si="8"/>
        <v>90</v>
      </c>
    </row>
    <row r="10" spans="1:32" ht="12.75">
      <c r="A10" s="28" t="s">
        <v>304</v>
      </c>
      <c r="B10" s="28" t="s">
        <v>307</v>
      </c>
      <c r="C10" s="18">
        <f ca="1" t="shared" si="0"/>
      </c>
      <c r="D10" s="19" t="str">
        <f ca="1" t="shared" si="0"/>
        <v>PM7</v>
      </c>
      <c r="E10" s="19" t="str">
        <f ca="1" t="shared" si="0"/>
        <v>Phot</v>
      </c>
      <c r="F10" s="19" t="str">
        <f ca="1" t="shared" si="1"/>
        <v>Mirror</v>
      </c>
      <c r="G10" s="20">
        <f ca="1" t="shared" si="2"/>
        <v>22</v>
      </c>
      <c r="H10" s="20">
        <f ca="1" t="shared" si="3"/>
        <v>262</v>
      </c>
      <c r="I10" s="20">
        <f ca="1" t="shared" si="4"/>
        <v>67</v>
      </c>
      <c r="J10" s="20" t="str">
        <f ca="1" t="shared" si="5"/>
        <v>AIR</v>
      </c>
      <c r="K10" s="20">
        <f ca="1" t="shared" si="6"/>
        <v>1</v>
      </c>
      <c r="L10" s="45">
        <f ca="1" t="shared" si="7"/>
        <v>0</v>
      </c>
      <c r="M10" s="45">
        <f ca="1" t="shared" si="7"/>
        <v>-279.482925</v>
      </c>
      <c r="N10" s="45">
        <f ca="1" t="shared" si="7"/>
        <v>107.766194</v>
      </c>
      <c r="O10" s="45">
        <f ca="1" t="shared" si="7"/>
        <v>16.6474</v>
      </c>
      <c r="P10" s="45">
        <f ca="1" t="shared" si="7"/>
        <v>0</v>
      </c>
      <c r="Q10" s="46">
        <f ca="1" t="shared" si="7"/>
        <v>0</v>
      </c>
      <c r="R10" s="30">
        <f t="shared" si="9"/>
        <v>0</v>
      </c>
      <c r="S10" s="30">
        <f t="shared" si="10"/>
        <v>0.2864810764637242</v>
      </c>
      <c r="T10" s="30">
        <f t="shared" si="11"/>
        <v>0.9580859005476418</v>
      </c>
      <c r="U10" s="30">
        <f t="shared" si="12"/>
        <v>0</v>
      </c>
      <c r="V10" s="30">
        <f t="shared" si="13"/>
        <v>0.9580859005476418</v>
      </c>
      <c r="W10" s="30">
        <f t="shared" si="14"/>
        <v>-0.2864810764637242</v>
      </c>
      <c r="X10" s="30">
        <f t="shared" si="15"/>
        <v>1</v>
      </c>
      <c r="Y10" s="30">
        <f t="shared" si="16"/>
        <v>0</v>
      </c>
      <c r="Z10" s="30">
        <f t="shared" si="17"/>
        <v>0</v>
      </c>
      <c r="AA10" s="30">
        <f t="shared" si="18"/>
        <v>0</v>
      </c>
      <c r="AB10" s="31">
        <f t="shared" si="19"/>
        <v>90</v>
      </c>
      <c r="AC10" s="30">
        <f t="shared" si="20"/>
        <v>0</v>
      </c>
      <c r="AD10" s="31">
        <f t="shared" si="21"/>
        <v>90</v>
      </c>
      <c r="AE10" s="30">
        <f t="shared" si="22"/>
        <v>0</v>
      </c>
      <c r="AF10" s="31">
        <f t="shared" si="8"/>
        <v>90</v>
      </c>
    </row>
    <row r="11" spans="1:32" ht="12.75">
      <c r="A11" s="28" t="s">
        <v>305</v>
      </c>
      <c r="B11" s="28" t="s">
        <v>308</v>
      </c>
      <c r="C11" s="18">
        <f ca="1" t="shared" si="0"/>
      </c>
      <c r="D11" s="19" t="str">
        <f ca="1" t="shared" si="0"/>
        <v>PM8</v>
      </c>
      <c r="E11" s="19" t="str">
        <f ca="1" t="shared" si="0"/>
        <v>Phot</v>
      </c>
      <c r="F11" s="19" t="str">
        <f ca="1" t="shared" si="1"/>
        <v>Mirror</v>
      </c>
      <c r="G11" s="20">
        <f ca="1" t="shared" si="2"/>
        <v>24</v>
      </c>
      <c r="H11" s="20">
        <f ca="1" t="shared" si="3"/>
        <v>264</v>
      </c>
      <c r="I11" s="20">
        <f ca="1" t="shared" si="4"/>
        <v>69</v>
      </c>
      <c r="J11" s="20" t="e">
        <f ca="1" t="shared" si="5"/>
        <v>#NAME?</v>
      </c>
      <c r="K11" s="20">
        <f ca="1" t="shared" si="6"/>
        <v>-1</v>
      </c>
      <c r="L11" s="45">
        <f ca="1" t="shared" si="7"/>
        <v>0</v>
      </c>
      <c r="M11" s="45">
        <f ca="1" t="shared" si="7"/>
        <v>-397.635459</v>
      </c>
      <c r="N11" s="45">
        <f ca="1" t="shared" si="7"/>
        <v>-38.466424</v>
      </c>
      <c r="O11" s="45">
        <f ca="1" t="shared" si="7"/>
        <v>-4.1106</v>
      </c>
      <c r="P11" s="45">
        <f ca="1" t="shared" si="7"/>
        <v>0</v>
      </c>
      <c r="Q11" s="46">
        <f ca="1" t="shared" si="7"/>
        <v>0</v>
      </c>
      <c r="R11" s="30">
        <f t="shared" si="9"/>
        <v>0</v>
      </c>
      <c r="S11" s="30">
        <f t="shared" si="10"/>
        <v>-0.07168197454108007</v>
      </c>
      <c r="T11" s="30">
        <f t="shared" si="11"/>
        <v>0.9974275384838198</v>
      </c>
      <c r="U11" s="30">
        <f t="shared" si="12"/>
        <v>0</v>
      </c>
      <c r="V11" s="30">
        <f t="shared" si="13"/>
        <v>0.9974275384838198</v>
      </c>
      <c r="W11" s="30">
        <f t="shared" si="14"/>
        <v>0.07168197454108007</v>
      </c>
      <c r="X11" s="30">
        <f t="shared" si="15"/>
        <v>1</v>
      </c>
      <c r="Y11" s="30">
        <f t="shared" si="16"/>
        <v>0</v>
      </c>
      <c r="Z11" s="30">
        <f t="shared" si="17"/>
        <v>0</v>
      </c>
      <c r="AA11" s="30">
        <f t="shared" si="18"/>
        <v>0</v>
      </c>
      <c r="AB11" s="31">
        <f t="shared" si="19"/>
        <v>90</v>
      </c>
      <c r="AC11" s="30">
        <f t="shared" si="20"/>
        <v>0</v>
      </c>
      <c r="AD11" s="31">
        <f t="shared" si="21"/>
        <v>90</v>
      </c>
      <c r="AE11" s="30">
        <f t="shared" si="22"/>
        <v>0</v>
      </c>
      <c r="AF11" s="31">
        <f t="shared" si="8"/>
        <v>90</v>
      </c>
    </row>
    <row r="12" spans="3:32" ht="12.75">
      <c r="C12" s="18">
        <f ca="1" t="shared" si="0"/>
      </c>
      <c r="D12" s="19" t="str">
        <f ca="1" t="shared" si="0"/>
        <v>PCS</v>
      </c>
      <c r="E12" s="19" t="str">
        <f ca="1" t="shared" si="0"/>
        <v>Phot</v>
      </c>
      <c r="F12" s="19" t="str">
        <f ca="1" t="shared" si="1"/>
        <v>Hole</v>
      </c>
      <c r="G12" s="20">
        <f ca="1" t="shared" si="2"/>
        <v>26</v>
      </c>
      <c r="H12" s="20">
        <f ca="1" t="shared" si="3"/>
        <v>266</v>
      </c>
      <c r="I12" s="20">
        <f ca="1" t="shared" si="4"/>
        <v>71</v>
      </c>
      <c r="J12" s="20" t="str">
        <f ca="1" t="shared" si="5"/>
        <v>AIR</v>
      </c>
      <c r="K12" s="20">
        <f ca="1" t="shared" si="6"/>
        <v>1</v>
      </c>
      <c r="L12" s="45">
        <f ca="1" t="shared" si="23" ref="L12:Q21">INDIRECT(System&amp;"Glob!"&amp;INDIRECT(Axe&amp;"col")&amp;FIXED(Line,0))</f>
        <v>0</v>
      </c>
      <c r="M12" s="45">
        <f ca="1" t="shared" si="23"/>
        <v>-448.96217</v>
      </c>
      <c r="N12" s="45">
        <f ca="1" t="shared" si="23"/>
        <v>9.131566</v>
      </c>
      <c r="O12" s="45">
        <f ca="1" t="shared" si="23"/>
        <v>-47.1586</v>
      </c>
      <c r="P12" s="45">
        <f ca="1" t="shared" si="23"/>
        <v>0</v>
      </c>
      <c r="Q12" s="46">
        <f ca="1" t="shared" si="23"/>
        <v>0</v>
      </c>
      <c r="R12" s="30">
        <f t="shared" si="9"/>
        <v>0</v>
      </c>
      <c r="S12" s="30">
        <f t="shared" si="10"/>
        <v>-0.7332387316083603</v>
      </c>
      <c r="T12" s="30">
        <f t="shared" si="11"/>
        <v>0.6799712953275036</v>
      </c>
      <c r="U12" s="30">
        <f t="shared" si="12"/>
        <v>0</v>
      </c>
      <c r="V12" s="30">
        <f t="shared" si="13"/>
        <v>0.6799712953275036</v>
      </c>
      <c r="W12" s="30">
        <f t="shared" si="14"/>
        <v>0.7332387316083603</v>
      </c>
      <c r="X12" s="30">
        <f t="shared" si="15"/>
        <v>1</v>
      </c>
      <c r="Y12" s="30">
        <f t="shared" si="16"/>
        <v>0</v>
      </c>
      <c r="Z12" s="30">
        <f t="shared" si="17"/>
        <v>0</v>
      </c>
      <c r="AA12" s="30">
        <f t="shared" si="18"/>
        <v>0</v>
      </c>
      <c r="AB12" s="31">
        <f t="shared" si="19"/>
        <v>90</v>
      </c>
      <c r="AC12" s="30">
        <f t="shared" si="20"/>
        <v>0</v>
      </c>
      <c r="AD12" s="31">
        <f t="shared" si="21"/>
        <v>90</v>
      </c>
      <c r="AE12" s="30">
        <f t="shared" si="22"/>
        <v>0</v>
      </c>
      <c r="AF12" s="31">
        <f t="shared" si="8"/>
        <v>90</v>
      </c>
    </row>
    <row r="13" spans="3:32" ht="13.5" thickBot="1">
      <c r="C13" s="14">
        <f ca="1" t="shared" si="0"/>
      </c>
      <c r="D13" s="15" t="str">
        <f ca="1" t="shared" si="0"/>
        <v>PM9</v>
      </c>
      <c r="E13" s="15" t="str">
        <f ca="1" t="shared" si="0"/>
        <v>Phot</v>
      </c>
      <c r="F13" s="15" t="str">
        <f ca="1" t="shared" si="1"/>
        <v>Mirror</v>
      </c>
      <c r="G13" s="16">
        <f ca="1" t="shared" si="2"/>
        <v>27</v>
      </c>
      <c r="H13" s="16">
        <f ca="1" t="shared" si="3"/>
        <v>267</v>
      </c>
      <c r="I13" s="16">
        <f ca="1" t="shared" si="4"/>
        <v>72</v>
      </c>
      <c r="J13" s="16" t="str">
        <f ca="1" t="shared" si="5"/>
        <v>AIR</v>
      </c>
      <c r="K13" s="16">
        <f ca="1" t="shared" si="6"/>
        <v>1</v>
      </c>
      <c r="L13" s="51">
        <f ca="1" t="shared" si="23"/>
        <v>0</v>
      </c>
      <c r="M13" s="51">
        <f ca="1" t="shared" si="23"/>
        <v>-544.283205</v>
      </c>
      <c r="N13" s="51">
        <f ca="1" t="shared" si="23"/>
        <v>97.527835</v>
      </c>
      <c r="O13" s="51">
        <f ca="1" t="shared" si="23"/>
        <v>-27.1586</v>
      </c>
      <c r="P13" s="51">
        <f ca="1" t="shared" si="23"/>
        <v>0</v>
      </c>
      <c r="Q13" s="52">
        <f ca="1" t="shared" si="23"/>
        <v>0</v>
      </c>
      <c r="R13" s="30">
        <f t="shared" si="9"/>
        <v>0</v>
      </c>
      <c r="S13" s="30">
        <f t="shared" si="10"/>
        <v>-0.4564551454815419</v>
      </c>
      <c r="T13" s="30">
        <f t="shared" si="11"/>
        <v>0.8897464246421136</v>
      </c>
      <c r="U13" s="30">
        <f t="shared" si="12"/>
        <v>0</v>
      </c>
      <c r="V13" s="30">
        <f t="shared" si="13"/>
        <v>0.8897464246421136</v>
      </c>
      <c r="W13" s="30">
        <f t="shared" si="14"/>
        <v>0.4564551454815419</v>
      </c>
      <c r="X13" s="30">
        <f t="shared" si="15"/>
        <v>1</v>
      </c>
      <c r="Y13" s="30">
        <f t="shared" si="16"/>
        <v>0</v>
      </c>
      <c r="Z13" s="30">
        <f t="shared" si="17"/>
        <v>0</v>
      </c>
      <c r="AA13" s="30">
        <f t="shared" si="18"/>
        <v>0</v>
      </c>
      <c r="AB13" s="31">
        <f t="shared" si="19"/>
        <v>90</v>
      </c>
      <c r="AC13" s="30">
        <f t="shared" si="20"/>
        <v>0</v>
      </c>
      <c r="AD13" s="31">
        <f t="shared" si="21"/>
        <v>90</v>
      </c>
      <c r="AE13" s="30">
        <f t="shared" si="22"/>
        <v>0</v>
      </c>
      <c r="AF13" s="31">
        <f t="shared" si="8"/>
        <v>90</v>
      </c>
    </row>
    <row r="14" spans="1:32" ht="12.75">
      <c r="A14" s="29" t="s">
        <v>665</v>
      </c>
      <c r="C14" s="10" t="str">
        <f ca="1" t="shared" si="0"/>
        <v>Short wave</v>
      </c>
      <c r="D14" s="11" t="str">
        <f ca="1" t="shared" si="0"/>
        <v>PDIC1</v>
      </c>
      <c r="E14" s="11" t="str">
        <f ca="1" t="shared" si="0"/>
        <v>Phot</v>
      </c>
      <c r="F14" s="11" t="str">
        <f ca="1" t="shared" si="1"/>
        <v>Hole</v>
      </c>
      <c r="G14" s="12">
        <f ca="1" t="shared" si="2"/>
        <v>31</v>
      </c>
      <c r="H14" s="12">
        <f ca="1" t="shared" si="3"/>
        <v>271</v>
      </c>
      <c r="I14" s="12">
        <f ca="1" t="shared" si="4"/>
        <v>76</v>
      </c>
      <c r="J14" s="12" t="e">
        <f ca="1" t="shared" si="5"/>
        <v>#NAME?</v>
      </c>
      <c r="K14" s="12">
        <f ca="1" t="shared" si="6"/>
        <v>-1</v>
      </c>
      <c r="L14" s="48">
        <f ca="1" t="shared" si="23"/>
        <v>0</v>
      </c>
      <c r="M14" s="48">
        <f ca="1" t="shared" si="23"/>
        <v>-527.460001</v>
      </c>
      <c r="N14" s="48">
        <f ca="1" t="shared" si="23"/>
        <v>-36.419841</v>
      </c>
      <c r="O14" s="48">
        <f ca="1" t="shared" si="23"/>
        <v>-25.1586</v>
      </c>
      <c r="P14" s="48">
        <f ca="1" t="shared" si="23"/>
        <v>0</v>
      </c>
      <c r="Q14" s="49">
        <f ca="1" t="shared" si="23"/>
        <v>0</v>
      </c>
      <c r="R14" s="30">
        <f t="shared" si="9"/>
        <v>0</v>
      </c>
      <c r="S14" s="30">
        <f t="shared" si="10"/>
        <v>-0.4251253829270604</v>
      </c>
      <c r="T14" s="30">
        <f t="shared" si="11"/>
        <v>0.9051344700049381</v>
      </c>
      <c r="U14" s="30">
        <f t="shared" si="12"/>
        <v>0</v>
      </c>
      <c r="V14" s="30">
        <f t="shared" si="13"/>
        <v>0.9051344700049381</v>
      </c>
      <c r="W14" s="30">
        <f t="shared" si="14"/>
        <v>0.4251253829270604</v>
      </c>
      <c r="X14" s="30">
        <f t="shared" si="15"/>
        <v>1</v>
      </c>
      <c r="Y14" s="30">
        <f t="shared" si="16"/>
        <v>0</v>
      </c>
      <c r="Z14" s="30">
        <f t="shared" si="17"/>
        <v>0</v>
      </c>
      <c r="AA14" s="30">
        <f t="shared" si="18"/>
        <v>0</v>
      </c>
      <c r="AB14" s="31">
        <f t="shared" si="19"/>
        <v>90</v>
      </c>
      <c r="AC14" s="30">
        <f t="shared" si="20"/>
        <v>0</v>
      </c>
      <c r="AD14" s="31">
        <f t="shared" si="21"/>
        <v>90</v>
      </c>
      <c r="AE14" s="30">
        <f t="shared" si="22"/>
        <v>0</v>
      </c>
      <c r="AF14" s="31">
        <f t="shared" si="8"/>
        <v>90</v>
      </c>
    </row>
    <row r="15" spans="1:32" ht="12.75">
      <c r="A15" s="19" t="s">
        <v>667</v>
      </c>
      <c r="B15" s="28">
        <v>45</v>
      </c>
      <c r="C15" s="18">
        <f ca="1" t="shared" si="0"/>
      </c>
      <c r="D15" s="19" t="str">
        <f ca="1" t="shared" si="0"/>
        <v>PM10</v>
      </c>
      <c r="E15" s="19" t="str">
        <f ca="1" t="shared" si="0"/>
        <v>Phot</v>
      </c>
      <c r="F15" s="19" t="str">
        <f ca="1" t="shared" si="1"/>
        <v>Mirror</v>
      </c>
      <c r="G15" s="20">
        <f ca="1" t="shared" si="2"/>
        <v>36</v>
      </c>
      <c r="H15" s="20">
        <f ca="1" t="shared" si="3"/>
        <v>276</v>
      </c>
      <c r="I15" s="20">
        <f ca="1" t="shared" si="4"/>
        <v>81</v>
      </c>
      <c r="J15" s="20" t="str">
        <f ca="1" t="shared" si="5"/>
        <v>AIR</v>
      </c>
      <c r="K15" s="20">
        <f ca="1" t="shared" si="6"/>
        <v>1</v>
      </c>
      <c r="L15" s="45">
        <f ca="1" t="shared" si="23"/>
        <v>1.82E-14</v>
      </c>
      <c r="M15" s="45">
        <f ca="1" t="shared" si="23"/>
        <v>-619.802728</v>
      </c>
      <c r="N15" s="45">
        <f ca="1" t="shared" si="23"/>
        <v>62.057673</v>
      </c>
      <c r="O15" s="45">
        <f ca="1" t="shared" si="23"/>
        <v>-43.1586</v>
      </c>
      <c r="P15" s="45">
        <f ca="1" t="shared" si="23"/>
        <v>-45</v>
      </c>
      <c r="Q15" s="46">
        <f ca="1" t="shared" si="23"/>
        <v>0</v>
      </c>
      <c r="R15" s="30">
        <f t="shared" si="9"/>
        <v>0.7071067811865475</v>
      </c>
      <c r="S15" s="30">
        <f t="shared" si="10"/>
        <v>-0.4836753212531301</v>
      </c>
      <c r="T15" s="30">
        <f t="shared" si="11"/>
        <v>0.5158082818360727</v>
      </c>
      <c r="U15" s="30">
        <f t="shared" si="12"/>
        <v>0</v>
      </c>
      <c r="V15" s="30">
        <f t="shared" si="13"/>
        <v>0.7294630677569378</v>
      </c>
      <c r="W15" s="30">
        <f t="shared" si="14"/>
        <v>0.6840201991013403</v>
      </c>
      <c r="X15" s="30">
        <f t="shared" si="15"/>
        <v>0.7071067811865476</v>
      </c>
      <c r="Y15" s="30">
        <f t="shared" si="16"/>
        <v>0.48367532125313006</v>
      </c>
      <c r="Z15" s="30">
        <f t="shared" si="17"/>
        <v>-0.5158082818360726</v>
      </c>
      <c r="AA15" s="30">
        <f t="shared" si="18"/>
        <v>0</v>
      </c>
      <c r="AB15" s="31">
        <f t="shared" si="19"/>
        <v>90</v>
      </c>
      <c r="AC15" s="30">
        <f t="shared" si="20"/>
        <v>0</v>
      </c>
      <c r="AD15" s="31">
        <f t="shared" si="21"/>
        <v>90</v>
      </c>
      <c r="AE15" s="30">
        <f t="shared" si="22"/>
        <v>0</v>
      </c>
      <c r="AF15" s="31">
        <f t="shared" si="8"/>
        <v>90</v>
      </c>
    </row>
    <row r="16" spans="1:32" ht="13.5" thickBot="1">
      <c r="A16" s="19" t="s">
        <v>668</v>
      </c>
      <c r="B16" s="28">
        <v>45</v>
      </c>
      <c r="C16" s="14">
        <f ca="1" t="shared" si="0"/>
      </c>
      <c r="D16" s="15" t="str">
        <f ca="1" t="shared" si="0"/>
        <v>PSW</v>
      </c>
      <c r="E16" s="15" t="str">
        <f ca="1" t="shared" si="0"/>
        <v>Phot</v>
      </c>
      <c r="F16" s="15" t="str">
        <f ca="1" t="shared" si="1"/>
        <v>Det</v>
      </c>
      <c r="G16" s="16">
        <f ca="1" t="shared" si="2"/>
        <v>38</v>
      </c>
      <c r="H16" s="16">
        <f ca="1" t="shared" si="3"/>
        <v>278</v>
      </c>
      <c r="I16" s="16">
        <f ca="1" t="shared" si="4"/>
        <v>83</v>
      </c>
      <c r="J16" s="16" t="e">
        <f ca="1" t="shared" si="5"/>
        <v>#NAME?</v>
      </c>
      <c r="K16" s="16">
        <f ca="1" t="shared" si="6"/>
        <v>-1</v>
      </c>
      <c r="L16" s="51">
        <f ca="1" t="shared" si="23"/>
        <v>-50</v>
      </c>
      <c r="M16" s="51">
        <f ca="1" t="shared" si="23"/>
        <v>-619.802728</v>
      </c>
      <c r="N16" s="51">
        <f ca="1" t="shared" si="23"/>
        <v>62.057673</v>
      </c>
      <c r="O16" s="51">
        <f ca="1" t="shared" si="23"/>
        <v>-43.1586</v>
      </c>
      <c r="P16" s="51">
        <f ca="1" t="shared" si="23"/>
        <v>-90</v>
      </c>
      <c r="Q16" s="52">
        <f ca="1" t="shared" si="23"/>
        <v>0</v>
      </c>
      <c r="R16" s="30">
        <f t="shared" si="9"/>
        <v>1</v>
      </c>
      <c r="S16" s="30">
        <f t="shared" si="10"/>
        <v>-4.190131450276468E-17</v>
      </c>
      <c r="T16" s="30">
        <f t="shared" si="11"/>
        <v>4.468502751876572E-17</v>
      </c>
      <c r="U16" s="30">
        <f t="shared" si="12"/>
        <v>0</v>
      </c>
      <c r="V16" s="30">
        <f t="shared" si="13"/>
        <v>0.7294630677569378</v>
      </c>
      <c r="W16" s="30">
        <f t="shared" si="14"/>
        <v>0.6840201991013403</v>
      </c>
      <c r="X16" s="30">
        <f t="shared" si="15"/>
        <v>6.1257422745431E-17</v>
      </c>
      <c r="Y16" s="30">
        <f t="shared" si="16"/>
        <v>0.6840201991013403</v>
      </c>
      <c r="Z16" s="30">
        <f t="shared" si="17"/>
        <v>-0.7294630677569378</v>
      </c>
      <c r="AA16" s="30">
        <f t="shared" si="18"/>
        <v>0</v>
      </c>
      <c r="AB16" s="31">
        <f t="shared" si="19"/>
        <v>90</v>
      </c>
      <c r="AC16" s="30">
        <f t="shared" si="20"/>
        <v>0</v>
      </c>
      <c r="AD16" s="31">
        <f t="shared" si="21"/>
        <v>90</v>
      </c>
      <c r="AE16" s="30">
        <f t="shared" si="22"/>
        <v>0</v>
      </c>
      <c r="AF16" s="31">
        <f t="shared" si="8"/>
        <v>90</v>
      </c>
    </row>
    <row r="17" spans="1:32" ht="13.5" thickBot="1">
      <c r="A17" s="19" t="s">
        <v>666</v>
      </c>
      <c r="B17" s="28" t="s">
        <v>95</v>
      </c>
      <c r="C17" s="19">
        <f ca="1" t="shared" si="0"/>
      </c>
      <c r="D17" s="19" t="str">
        <f ca="1" t="shared" si="0"/>
        <v>PDIC1</v>
      </c>
      <c r="E17" s="1" t="str">
        <f ca="1" t="shared" si="0"/>
        <v>Phot</v>
      </c>
      <c r="F17" s="1" t="str">
        <f ca="1" t="shared" si="1"/>
        <v>Ignore</v>
      </c>
      <c r="G17" s="8">
        <f ca="1" t="shared" si="2"/>
        <v>31</v>
      </c>
      <c r="H17" s="20">
        <f ca="1" t="shared" si="3"/>
        <v>271</v>
      </c>
      <c r="I17" s="20">
        <f ca="1" t="shared" si="4"/>
        <v>76</v>
      </c>
      <c r="J17" s="20" t="e">
        <f ca="1" t="shared" si="5"/>
        <v>#NAME?</v>
      </c>
      <c r="K17" s="20">
        <f ca="1" t="shared" si="6"/>
        <v>-1</v>
      </c>
      <c r="L17" s="45">
        <f ca="1" t="shared" si="23"/>
        <v>0</v>
      </c>
      <c r="M17" s="45">
        <f ca="1" t="shared" si="23"/>
        <v>-527.460001</v>
      </c>
      <c r="N17" s="45">
        <f ca="1" t="shared" si="23"/>
        <v>-36.419841</v>
      </c>
      <c r="O17" s="45">
        <f ca="1" t="shared" si="23"/>
        <v>-25.1586</v>
      </c>
      <c r="P17" s="45">
        <f ca="1" t="shared" si="23"/>
        <v>0</v>
      </c>
      <c r="Q17" s="45">
        <f ca="1" t="shared" si="23"/>
        <v>0</v>
      </c>
      <c r="R17" s="30">
        <f t="shared" si="9"/>
        <v>0</v>
      </c>
      <c r="S17" s="30">
        <f t="shared" si="10"/>
        <v>-0.4251253829270604</v>
      </c>
      <c r="T17" s="30">
        <f t="shared" si="11"/>
        <v>0.9051344700049381</v>
      </c>
      <c r="U17" s="30">
        <f t="shared" si="12"/>
        <v>0</v>
      </c>
      <c r="V17" s="30">
        <f t="shared" si="13"/>
        <v>0.9051344700049381</v>
      </c>
      <c r="W17" s="30">
        <f t="shared" si="14"/>
        <v>0.4251253829270604</v>
      </c>
      <c r="X17" s="30">
        <f t="shared" si="15"/>
        <v>1</v>
      </c>
      <c r="Y17" s="30">
        <f t="shared" si="16"/>
        <v>0</v>
      </c>
      <c r="Z17" s="30">
        <f t="shared" si="17"/>
        <v>0</v>
      </c>
      <c r="AA17" s="30">
        <f t="shared" si="18"/>
        <v>0</v>
      </c>
      <c r="AB17" s="31">
        <f t="shared" si="19"/>
        <v>90</v>
      </c>
      <c r="AC17" s="30">
        <f t="shared" si="20"/>
        <v>0</v>
      </c>
      <c r="AD17" s="31">
        <f t="shared" si="21"/>
        <v>90</v>
      </c>
      <c r="AE17" s="30">
        <f t="shared" si="22"/>
        <v>0</v>
      </c>
      <c r="AF17" s="31">
        <f t="shared" si="8"/>
        <v>90</v>
      </c>
    </row>
    <row r="18" spans="3:32" ht="12.75">
      <c r="C18" s="10" t="str">
        <f ca="1" t="shared" si="0"/>
        <v>Medium wave</v>
      </c>
      <c r="D18" s="11" t="str">
        <f ca="1" t="shared" si="0"/>
        <v>PDIC2</v>
      </c>
      <c r="E18" s="11" t="str">
        <f ca="1" t="shared" si="0"/>
        <v>Phot</v>
      </c>
      <c r="F18" s="11" t="str">
        <f ca="1" t="shared" si="1"/>
        <v>Hole</v>
      </c>
      <c r="G18" s="12">
        <f ca="1" t="shared" si="2"/>
        <v>46</v>
      </c>
      <c r="H18" s="12">
        <f ca="1" t="shared" si="3"/>
        <v>286</v>
      </c>
      <c r="I18" s="12">
        <f ca="1" t="shared" si="4"/>
        <v>91</v>
      </c>
      <c r="J18" s="12" t="e">
        <f ca="1" t="shared" si="5"/>
        <v>#NAME?</v>
      </c>
      <c r="K18" s="12">
        <f ca="1" t="shared" si="6"/>
        <v>-1</v>
      </c>
      <c r="L18" s="48">
        <f ca="1" t="shared" si="23"/>
        <v>7.15E-15</v>
      </c>
      <c r="M18" s="48">
        <f ca="1" t="shared" si="23"/>
        <v>-514.998367</v>
      </c>
      <c r="N18" s="48">
        <f ca="1" t="shared" si="23"/>
        <v>-135.640341</v>
      </c>
      <c r="O18" s="48">
        <f ca="1" t="shared" si="23"/>
        <v>-7.1586</v>
      </c>
      <c r="P18" s="48">
        <f ca="1" t="shared" si="23"/>
        <v>25</v>
      </c>
      <c r="Q18" s="49">
        <f ca="1" t="shared" si="23"/>
        <v>0</v>
      </c>
      <c r="R18" s="30">
        <f t="shared" si="9"/>
        <v>-0.42261826174069944</v>
      </c>
      <c r="S18" s="30">
        <f t="shared" si="10"/>
        <v>-0.1129407523093658</v>
      </c>
      <c r="T18" s="30">
        <f t="shared" si="11"/>
        <v>0.8992431213587703</v>
      </c>
      <c r="U18" s="30">
        <f t="shared" si="12"/>
        <v>0</v>
      </c>
      <c r="V18" s="30">
        <f t="shared" si="13"/>
        <v>0.9922050038861754</v>
      </c>
      <c r="W18" s="30">
        <f t="shared" si="14"/>
        <v>0.12461633224916628</v>
      </c>
      <c r="X18" s="30">
        <f t="shared" si="15"/>
        <v>0.9063077870366499</v>
      </c>
      <c r="Y18" s="30">
        <f t="shared" si="16"/>
        <v>-0.05266513771964412</v>
      </c>
      <c r="Z18" s="30">
        <f t="shared" si="17"/>
        <v>0.4193239540327994</v>
      </c>
      <c r="AA18" s="30">
        <f t="shared" si="18"/>
        <v>0</v>
      </c>
      <c r="AB18" s="31">
        <f t="shared" si="19"/>
        <v>90</v>
      </c>
      <c r="AC18" s="30">
        <f t="shared" si="20"/>
        <v>0</v>
      </c>
      <c r="AD18" s="31">
        <f t="shared" si="21"/>
        <v>90</v>
      </c>
      <c r="AE18" s="30">
        <f t="shared" si="22"/>
        <v>0</v>
      </c>
      <c r="AF18" s="31">
        <f t="shared" si="8"/>
        <v>90</v>
      </c>
    </row>
    <row r="19" spans="3:32" ht="13.5" thickBot="1">
      <c r="C19" s="14">
        <f ca="1" t="shared" si="0"/>
      </c>
      <c r="D19" s="15" t="str">
        <f ca="1" t="shared" si="0"/>
        <v>PMW</v>
      </c>
      <c r="E19" s="15" t="str">
        <f ca="1" t="shared" si="0"/>
        <v>Phot</v>
      </c>
      <c r="F19" s="15" t="str">
        <f ca="1" t="shared" si="1"/>
        <v>Det</v>
      </c>
      <c r="G19" s="16">
        <f ca="1" t="shared" si="2"/>
        <v>51</v>
      </c>
      <c r="H19" s="16">
        <f ca="1" t="shared" si="3"/>
        <v>291</v>
      </c>
      <c r="I19" s="16">
        <f ca="1" t="shared" si="4"/>
        <v>96</v>
      </c>
      <c r="J19" s="16" t="str">
        <f ca="1" t="shared" si="5"/>
        <v>AIR</v>
      </c>
      <c r="K19" s="16">
        <f ca="1" t="shared" si="6"/>
        <v>1</v>
      </c>
      <c r="L19" s="51">
        <f ca="1" t="shared" si="23"/>
        <v>-65.113778</v>
      </c>
      <c r="M19" s="51">
        <f ca="1" t="shared" si="23"/>
        <v>-521.807023</v>
      </c>
      <c r="N19" s="51">
        <f ca="1" t="shared" si="23"/>
        <v>-81.429289</v>
      </c>
      <c r="O19" s="51">
        <f ca="1" t="shared" si="23"/>
        <v>-7.1586</v>
      </c>
      <c r="P19" s="51">
        <f ca="1" t="shared" si="23"/>
        <v>50</v>
      </c>
      <c r="Q19" s="52">
        <f ca="1" t="shared" si="23"/>
        <v>0</v>
      </c>
      <c r="R19" s="30">
        <f t="shared" si="9"/>
        <v>-0.766044443118978</v>
      </c>
      <c r="S19" s="30">
        <f t="shared" si="10"/>
        <v>-0.0801018343343452</v>
      </c>
      <c r="T19" s="30">
        <f t="shared" si="11"/>
        <v>0.6377770827670182</v>
      </c>
      <c r="U19" s="30">
        <f t="shared" si="12"/>
        <v>0</v>
      </c>
      <c r="V19" s="30">
        <f t="shared" si="13"/>
        <v>0.9922050038861754</v>
      </c>
      <c r="W19" s="30">
        <f t="shared" si="14"/>
        <v>0.12461633224916628</v>
      </c>
      <c r="X19" s="30">
        <f t="shared" si="15"/>
        <v>0.6427876096865394</v>
      </c>
      <c r="Y19" s="30">
        <f t="shared" si="16"/>
        <v>-0.09546164884134213</v>
      </c>
      <c r="Z19" s="30">
        <f t="shared" si="17"/>
        <v>0.7600731296618486</v>
      </c>
      <c r="AA19" s="30">
        <f t="shared" si="18"/>
        <v>0</v>
      </c>
      <c r="AB19" s="31">
        <f t="shared" si="19"/>
        <v>90</v>
      </c>
      <c r="AC19" s="30">
        <f t="shared" si="20"/>
        <v>0</v>
      </c>
      <c r="AD19" s="31">
        <f t="shared" si="21"/>
        <v>90</v>
      </c>
      <c r="AE19" s="30">
        <f t="shared" si="22"/>
        <v>0</v>
      </c>
      <c r="AF19" s="31">
        <f t="shared" si="8"/>
        <v>90</v>
      </c>
    </row>
    <row r="20" spans="3:32" ht="13.5" thickBot="1">
      <c r="C20" s="19">
        <f ca="1" t="shared" si="0"/>
      </c>
      <c r="D20" s="19" t="str">
        <f ca="1" t="shared" si="0"/>
        <v>PDIC2</v>
      </c>
      <c r="E20" s="1" t="str">
        <f ca="1" t="shared" si="0"/>
        <v>Phot</v>
      </c>
      <c r="F20" s="1" t="str">
        <f ca="1" t="shared" si="1"/>
        <v>Ignore</v>
      </c>
      <c r="G20" s="8">
        <f ca="1" t="shared" si="2"/>
        <v>46</v>
      </c>
      <c r="H20" s="20">
        <f ca="1" t="shared" si="3"/>
        <v>286</v>
      </c>
      <c r="I20" s="20">
        <f ca="1" t="shared" si="4"/>
        <v>91</v>
      </c>
      <c r="J20" s="20" t="e">
        <f ca="1" t="shared" si="5"/>
        <v>#NAME?</v>
      </c>
      <c r="K20" s="20">
        <f ca="1" t="shared" si="6"/>
        <v>-1</v>
      </c>
      <c r="L20" s="45">
        <f ca="1" t="shared" si="23"/>
        <v>7.15E-15</v>
      </c>
      <c r="M20" s="45">
        <f ca="1" t="shared" si="23"/>
        <v>-514.998367</v>
      </c>
      <c r="N20" s="45">
        <f ca="1" t="shared" si="23"/>
        <v>-135.640341</v>
      </c>
      <c r="O20" s="45">
        <f ca="1" t="shared" si="23"/>
        <v>-7.1586</v>
      </c>
      <c r="P20" s="45">
        <f ca="1" t="shared" si="23"/>
        <v>25</v>
      </c>
      <c r="Q20" s="45">
        <f ca="1" t="shared" si="23"/>
        <v>0</v>
      </c>
      <c r="R20" s="30">
        <f t="shared" si="9"/>
        <v>-0.42261826174069944</v>
      </c>
      <c r="S20" s="30">
        <f t="shared" si="10"/>
        <v>-0.1129407523093658</v>
      </c>
      <c r="T20" s="30">
        <f t="shared" si="11"/>
        <v>0.8992431213587703</v>
      </c>
      <c r="U20" s="30">
        <f t="shared" si="12"/>
        <v>0</v>
      </c>
      <c r="V20" s="30">
        <f t="shared" si="13"/>
        <v>0.9922050038861754</v>
      </c>
      <c r="W20" s="30">
        <f t="shared" si="14"/>
        <v>0.12461633224916628</v>
      </c>
      <c r="X20" s="30">
        <f t="shared" si="15"/>
        <v>0.9063077870366499</v>
      </c>
      <c r="Y20" s="30">
        <f t="shared" si="16"/>
        <v>-0.05266513771964412</v>
      </c>
      <c r="Z20" s="30">
        <f t="shared" si="17"/>
        <v>0.4193239540327994</v>
      </c>
      <c r="AA20" s="30">
        <f t="shared" si="18"/>
        <v>0</v>
      </c>
      <c r="AB20" s="31">
        <f t="shared" si="19"/>
        <v>90</v>
      </c>
      <c r="AC20" s="30">
        <f t="shared" si="20"/>
        <v>0</v>
      </c>
      <c r="AD20" s="31">
        <f t="shared" si="21"/>
        <v>90</v>
      </c>
      <c r="AE20" s="30">
        <f t="shared" si="22"/>
        <v>0</v>
      </c>
      <c r="AF20" s="31">
        <f t="shared" si="8"/>
        <v>90</v>
      </c>
    </row>
    <row r="21" spans="3:32" ht="12.75">
      <c r="C21" s="10" t="str">
        <f ca="1" t="shared" si="0"/>
        <v>Long wave</v>
      </c>
      <c r="D21" s="11" t="str">
        <f ca="1" t="shared" si="0"/>
        <v>PM11</v>
      </c>
      <c r="E21" s="11" t="str">
        <f ca="1" t="shared" si="0"/>
        <v>Phot</v>
      </c>
      <c r="F21" s="11" t="str">
        <f ca="1" t="shared" si="1"/>
        <v>Mirror</v>
      </c>
      <c r="G21" s="12">
        <f ca="1" t="shared" si="2"/>
        <v>57</v>
      </c>
      <c r="H21" s="12">
        <f ca="1" t="shared" si="3"/>
        <v>297</v>
      </c>
      <c r="I21" s="12">
        <f ca="1" t="shared" si="4"/>
        <v>102</v>
      </c>
      <c r="J21" s="12" t="e">
        <f ca="1" t="shared" si="5"/>
        <v>#NAME?</v>
      </c>
      <c r="K21" s="12">
        <f ca="1" t="shared" si="6"/>
        <v>-1</v>
      </c>
      <c r="L21" s="48">
        <f ca="1" t="shared" si="23"/>
        <v>-1.28E-14</v>
      </c>
      <c r="M21" s="48">
        <f ca="1" t="shared" si="23"/>
        <v>-509.515249</v>
      </c>
      <c r="N21" s="48">
        <f ca="1" t="shared" si="23"/>
        <v>-179.297361</v>
      </c>
      <c r="O21" s="48">
        <f ca="1" t="shared" si="23"/>
        <v>41.4214</v>
      </c>
      <c r="P21" s="48">
        <f ca="1" t="shared" si="23"/>
        <v>0</v>
      </c>
      <c r="Q21" s="49">
        <f ca="1" t="shared" si="23"/>
        <v>0</v>
      </c>
      <c r="R21" s="30">
        <f t="shared" si="9"/>
        <v>0</v>
      </c>
      <c r="S21" s="30">
        <f t="shared" si="10"/>
        <v>0.6615919860192813</v>
      </c>
      <c r="T21" s="30">
        <f t="shared" si="11"/>
        <v>0.7498640170291299</v>
      </c>
      <c r="U21" s="30">
        <f t="shared" si="12"/>
        <v>0</v>
      </c>
      <c r="V21" s="30">
        <f t="shared" si="13"/>
        <v>0.7498640170291299</v>
      </c>
      <c r="W21" s="30">
        <f t="shared" si="14"/>
        <v>-0.6615919860192813</v>
      </c>
      <c r="X21" s="30">
        <f t="shared" si="15"/>
        <v>1</v>
      </c>
      <c r="Y21" s="30">
        <f t="shared" si="16"/>
        <v>0</v>
      </c>
      <c r="Z21" s="30">
        <f t="shared" si="17"/>
        <v>0</v>
      </c>
      <c r="AA21" s="30">
        <f t="shared" si="18"/>
        <v>0</v>
      </c>
      <c r="AB21" s="31">
        <f t="shared" si="19"/>
        <v>90</v>
      </c>
      <c r="AC21" s="30">
        <f t="shared" si="20"/>
        <v>0</v>
      </c>
      <c r="AD21" s="31">
        <f t="shared" si="21"/>
        <v>90</v>
      </c>
      <c r="AE21" s="30">
        <f t="shared" si="22"/>
        <v>0</v>
      </c>
      <c r="AF21" s="31">
        <f t="shared" si="8"/>
        <v>90</v>
      </c>
    </row>
    <row r="22" spans="3:32" ht="13.5" thickBot="1">
      <c r="C22" s="14">
        <f aca="true" ca="1" t="shared" si="24" ref="C22:E41">IF(INDIRECT("SurfaceList!"&amp;ThisCol)="","",INDIRECT("SurfaceList!"&amp;ThisCol))</f>
      </c>
      <c r="D22" s="15" t="str">
        <f ca="1" t="shared" si="24"/>
        <v>PLW</v>
      </c>
      <c r="E22" s="15" t="str">
        <f ca="1" t="shared" si="24"/>
        <v>Phot</v>
      </c>
      <c r="F22" s="15" t="str">
        <f ca="1" t="shared" si="1"/>
        <v>Det</v>
      </c>
      <c r="G22" s="16">
        <f ca="1" t="shared" si="2"/>
        <v>59</v>
      </c>
      <c r="H22" s="16">
        <f ca="1" t="shared" si="3"/>
        <v>299</v>
      </c>
      <c r="I22" s="16">
        <f ca="1" t="shared" si="4"/>
        <v>104</v>
      </c>
      <c r="J22" s="16" t="str">
        <f ca="1" t="shared" si="5"/>
        <v>AIR</v>
      </c>
      <c r="K22" s="16">
        <f ca="1" t="shared" si="6"/>
        <v>1</v>
      </c>
      <c r="L22" s="51">
        <f ca="1" t="shared" si="25" ref="L22:Q31">INDIRECT(System&amp;"Glob!"&amp;INDIRECT(Axe&amp;"col")&amp;FIXED(Line,0))</f>
        <v>-1.34E-14</v>
      </c>
      <c r="M22" s="51">
        <f ca="1" t="shared" si="25"/>
        <v>-468.515249</v>
      </c>
      <c r="N22" s="51">
        <f ca="1" t="shared" si="25"/>
        <v>-179.298363</v>
      </c>
      <c r="O22" s="51">
        <f ca="1" t="shared" si="25"/>
        <v>90.0014</v>
      </c>
      <c r="P22" s="51">
        <f ca="1" t="shared" si="25"/>
        <v>0</v>
      </c>
      <c r="Q22" s="52">
        <f ca="1" t="shared" si="25"/>
        <v>0</v>
      </c>
      <c r="R22" s="30">
        <f t="shared" si="9"/>
        <v>0</v>
      </c>
      <c r="S22" s="30">
        <f t="shared" si="10"/>
        <v>0.9999999997014749</v>
      </c>
      <c r="T22" s="30">
        <f t="shared" si="11"/>
        <v>-2.4434609525453033E-05</v>
      </c>
      <c r="U22" s="30">
        <f t="shared" si="12"/>
        <v>0</v>
      </c>
      <c r="V22" s="30">
        <f t="shared" si="13"/>
        <v>-2.4434609525453033E-05</v>
      </c>
      <c r="W22" s="30">
        <f t="shared" si="14"/>
        <v>-0.9999999997014749</v>
      </c>
      <c r="X22" s="30">
        <f t="shared" si="15"/>
        <v>1</v>
      </c>
      <c r="Y22" s="30">
        <f t="shared" si="16"/>
        <v>0</v>
      </c>
      <c r="Z22" s="30">
        <f t="shared" si="17"/>
        <v>0</v>
      </c>
      <c r="AA22" s="30">
        <f t="shared" si="18"/>
        <v>0</v>
      </c>
      <c r="AB22" s="31">
        <f t="shared" si="19"/>
        <v>90</v>
      </c>
      <c r="AC22" s="30">
        <f t="shared" si="20"/>
        <v>0</v>
      </c>
      <c r="AD22" s="31">
        <f t="shared" si="21"/>
        <v>90</v>
      </c>
      <c r="AE22" s="30">
        <f t="shared" si="22"/>
        <v>0</v>
      </c>
      <c r="AF22" s="31">
        <f t="shared" si="8"/>
        <v>90</v>
      </c>
    </row>
    <row r="23" spans="1:32" ht="13.5" thickBot="1">
      <c r="A23" s="28"/>
      <c r="B23" s="28"/>
      <c r="C23" s="19">
        <f ca="1" t="shared" si="24"/>
      </c>
      <c r="D23" s="19" t="str">
        <f ca="1" t="shared" si="24"/>
        <v>CM5</v>
      </c>
      <c r="E23" s="19" t="str">
        <f ca="1" t="shared" si="24"/>
        <v>Spec</v>
      </c>
      <c r="F23" s="19" t="str">
        <f ca="1" t="shared" si="1"/>
        <v>Ignore</v>
      </c>
      <c r="G23" s="20">
        <f ca="1" t="shared" si="2"/>
        <v>17</v>
      </c>
      <c r="H23" s="20">
        <f ca="1" t="shared" si="3"/>
        <v>437</v>
      </c>
      <c r="I23" s="20">
        <f ca="1" t="shared" si="4"/>
        <v>62</v>
      </c>
      <c r="J23" s="20" t="str">
        <f ca="1" t="shared" si="5"/>
        <v>AIR</v>
      </c>
      <c r="K23" s="20">
        <f ca="1" t="shared" si="6"/>
        <v>1</v>
      </c>
      <c r="L23" s="45">
        <f ca="1" t="shared" si="25"/>
        <v>0</v>
      </c>
      <c r="M23" s="45">
        <f ca="1" t="shared" si="25"/>
        <v>-179.687314</v>
      </c>
      <c r="N23" s="45">
        <f ca="1" t="shared" si="25"/>
        <v>82.217104</v>
      </c>
      <c r="O23" s="45">
        <f ca="1" t="shared" si="25"/>
        <v>15.1454</v>
      </c>
      <c r="P23" s="45">
        <f ca="1" t="shared" si="25"/>
        <v>0</v>
      </c>
      <c r="Q23" s="45">
        <f ca="1" t="shared" si="25"/>
        <v>0</v>
      </c>
      <c r="R23" s="30">
        <f t="shared" si="9"/>
        <v>0</v>
      </c>
      <c r="S23" s="30">
        <f t="shared" si="10"/>
        <v>0.26126944748333636</v>
      </c>
      <c r="T23" s="30">
        <f t="shared" si="11"/>
        <v>0.9652659093802869</v>
      </c>
      <c r="U23" s="30">
        <f t="shared" si="12"/>
        <v>0</v>
      </c>
      <c r="V23" s="30">
        <f t="shared" si="13"/>
        <v>0.9652659093802869</v>
      </c>
      <c r="W23" s="30">
        <f t="shared" si="14"/>
        <v>-0.26126944748333636</v>
      </c>
      <c r="X23" s="30">
        <f t="shared" si="15"/>
        <v>1</v>
      </c>
      <c r="Y23" s="30">
        <f t="shared" si="16"/>
        <v>0</v>
      </c>
      <c r="Z23" s="30">
        <f t="shared" si="17"/>
        <v>0</v>
      </c>
      <c r="AA23" s="30">
        <f t="shared" si="18"/>
        <v>0</v>
      </c>
      <c r="AB23" s="31">
        <f t="shared" si="19"/>
        <v>90</v>
      </c>
      <c r="AC23" s="30">
        <f t="shared" si="20"/>
        <v>0</v>
      </c>
      <c r="AD23" s="31">
        <f t="shared" si="21"/>
        <v>90</v>
      </c>
      <c r="AE23" s="30">
        <f t="shared" si="22"/>
        <v>0</v>
      </c>
      <c r="AF23" s="31">
        <f t="shared" si="8"/>
        <v>90</v>
      </c>
    </row>
    <row r="24" spans="1:32" ht="12.75">
      <c r="A24" s="28"/>
      <c r="B24" s="28"/>
      <c r="C24" s="10" t="str">
        <f ca="1" t="shared" si="24"/>
        <v>Spectrometer optics</v>
      </c>
      <c r="D24" s="11" t="str">
        <f ca="1" t="shared" si="24"/>
        <v>SM6</v>
      </c>
      <c r="E24" s="11" t="str">
        <f ca="1" t="shared" si="24"/>
        <v>Spec</v>
      </c>
      <c r="F24" s="11" t="str">
        <f ca="1" t="shared" si="1"/>
        <v>Mirror</v>
      </c>
      <c r="G24" s="12">
        <f ca="1" t="shared" si="2"/>
        <v>22</v>
      </c>
      <c r="H24" s="12">
        <f ca="1" t="shared" si="3"/>
        <v>442</v>
      </c>
      <c r="I24" s="12">
        <f ca="1" t="shared" si="4"/>
        <v>67</v>
      </c>
      <c r="J24" s="12" t="e">
        <f ca="1" t="shared" si="5"/>
        <v>#NAME?</v>
      </c>
      <c r="K24" s="12">
        <f ca="1" t="shared" si="6"/>
        <v>-1</v>
      </c>
      <c r="L24" s="48">
        <f ca="1" t="shared" si="25"/>
        <v>33.82</v>
      </c>
      <c r="M24" s="48">
        <f ca="1" t="shared" si="25"/>
        <v>-263.975222</v>
      </c>
      <c r="N24" s="48">
        <f ca="1" t="shared" si="25"/>
        <v>-104.150668</v>
      </c>
      <c r="O24" s="48">
        <f ca="1" t="shared" si="25"/>
        <v>39.32223</v>
      </c>
      <c r="P24" s="48">
        <f ca="1" t="shared" si="25"/>
        <v>-45.23104</v>
      </c>
      <c r="Q24" s="49">
        <f ca="1" t="shared" si="25"/>
        <v>-14.16719</v>
      </c>
      <c r="R24" s="30">
        <f t="shared" si="9"/>
        <v>0.7099523681147767</v>
      </c>
      <c r="S24" s="30">
        <f t="shared" si="10"/>
        <v>0.4462696974528858</v>
      </c>
      <c r="T24" s="30">
        <f t="shared" si="11"/>
        <v>0.5448036271387428</v>
      </c>
      <c r="U24" s="30">
        <f t="shared" si="12"/>
        <v>-0.17236666260299444</v>
      </c>
      <c r="V24" s="30">
        <f t="shared" si="13"/>
        <v>0.8601759933559147</v>
      </c>
      <c r="W24" s="30">
        <f t="shared" si="14"/>
        <v>-0.4799864519726267</v>
      </c>
      <c r="X24" s="30">
        <f t="shared" si="15"/>
        <v>0.6828304098612817</v>
      </c>
      <c r="Y24" s="30">
        <f t="shared" si="16"/>
        <v>-0.24686153525706456</v>
      </c>
      <c r="Z24" s="30">
        <f t="shared" si="17"/>
        <v>-0.6876060018493141</v>
      </c>
      <c r="AA24" s="30">
        <f t="shared" si="18"/>
        <v>0</v>
      </c>
      <c r="AB24" s="31">
        <f t="shared" si="19"/>
        <v>90</v>
      </c>
      <c r="AC24" s="30">
        <f t="shared" si="20"/>
        <v>0</v>
      </c>
      <c r="AD24" s="31">
        <f t="shared" si="21"/>
        <v>90</v>
      </c>
      <c r="AE24" s="30">
        <f t="shared" si="22"/>
        <v>0</v>
      </c>
      <c r="AF24" s="31">
        <f t="shared" si="8"/>
        <v>90</v>
      </c>
    </row>
    <row r="25" spans="1:32" ht="12.75">
      <c r="A25" s="28"/>
      <c r="B25" s="28"/>
      <c r="C25" s="18">
        <f ca="1" t="shared" si="24"/>
      </c>
      <c r="D25" s="19" t="str">
        <f ca="1" t="shared" si="24"/>
        <v>SCS</v>
      </c>
      <c r="E25" s="19" t="str">
        <f ca="1" t="shared" si="24"/>
        <v>Spec</v>
      </c>
      <c r="F25" s="19" t="str">
        <f ca="1" t="shared" si="1"/>
        <v>Hole</v>
      </c>
      <c r="G25" s="20">
        <f ca="1" t="shared" si="2"/>
        <v>26</v>
      </c>
      <c r="H25" s="20">
        <f ca="1" t="shared" si="3"/>
        <v>446</v>
      </c>
      <c r="I25" s="20">
        <f ca="1" t="shared" si="4"/>
        <v>71</v>
      </c>
      <c r="J25" s="20" t="str">
        <f ca="1" t="shared" si="5"/>
        <v>AIR</v>
      </c>
      <c r="K25" s="20">
        <f ca="1" t="shared" si="6"/>
        <v>1</v>
      </c>
      <c r="L25" s="45">
        <f ca="1" t="shared" si="25"/>
        <v>141.695656</v>
      </c>
      <c r="M25" s="45">
        <f ca="1" t="shared" si="25"/>
        <v>-233.042376</v>
      </c>
      <c r="N25" s="45">
        <f ca="1" t="shared" si="25"/>
        <v>-112.982809</v>
      </c>
      <c r="O25" s="45">
        <f ca="1" t="shared" si="25"/>
        <v>138.95995</v>
      </c>
      <c r="P25" s="45">
        <f ca="1" t="shared" si="25"/>
        <v>-48.8373</v>
      </c>
      <c r="Q25" s="46">
        <f ca="1" t="shared" si="25"/>
        <v>-47.8363</v>
      </c>
      <c r="R25" s="30">
        <f t="shared" si="9"/>
        <v>0.7528435614080758</v>
      </c>
      <c r="S25" s="30">
        <f t="shared" si="10"/>
        <v>0.4321648445110881</v>
      </c>
      <c r="T25" s="30">
        <f t="shared" si="11"/>
        <v>-0.49644749895141155</v>
      </c>
      <c r="U25" s="30">
        <f t="shared" si="12"/>
        <v>-0.4878772225280114</v>
      </c>
      <c r="V25" s="30">
        <f t="shared" si="13"/>
        <v>-0.1398966162055521</v>
      </c>
      <c r="W25" s="30">
        <f t="shared" si="14"/>
        <v>-0.8616291270103338</v>
      </c>
      <c r="X25" s="30">
        <f t="shared" si="15"/>
        <v>0.4418171429276573</v>
      </c>
      <c r="Y25" s="30">
        <f t="shared" si="16"/>
        <v>-0.8908773675107835</v>
      </c>
      <c r="Z25" s="30">
        <f t="shared" si="17"/>
        <v>-0.10552311724119295</v>
      </c>
      <c r="AA25" s="30">
        <f t="shared" si="18"/>
        <v>0</v>
      </c>
      <c r="AB25" s="31">
        <f t="shared" si="19"/>
        <v>90</v>
      </c>
      <c r="AC25" s="30">
        <f t="shared" si="20"/>
        <v>0</v>
      </c>
      <c r="AD25" s="31">
        <f t="shared" si="21"/>
        <v>90</v>
      </c>
      <c r="AE25" s="30">
        <f t="shared" si="22"/>
        <v>0</v>
      </c>
      <c r="AF25" s="31">
        <f t="shared" si="8"/>
        <v>90</v>
      </c>
    </row>
    <row r="26" spans="1:32" ht="12.75">
      <c r="A26" s="28"/>
      <c r="B26" s="28"/>
      <c r="C26" s="18">
        <f ca="1" t="shared" si="24"/>
      </c>
      <c r="D26" s="19" t="str">
        <f ca="1" t="shared" si="24"/>
        <v>SM7</v>
      </c>
      <c r="E26" s="19" t="str">
        <f ca="1" t="shared" si="24"/>
        <v>Spec</v>
      </c>
      <c r="F26" s="19" t="str">
        <f ca="1" t="shared" si="1"/>
        <v>Mirror</v>
      </c>
      <c r="G26" s="20">
        <f ca="1" t="shared" si="2"/>
        <v>30</v>
      </c>
      <c r="H26" s="20">
        <f ca="1" t="shared" si="3"/>
        <v>450</v>
      </c>
      <c r="I26" s="20">
        <f ca="1" t="shared" si="4"/>
        <v>75</v>
      </c>
      <c r="J26" s="20" t="str">
        <f ca="1" t="shared" si="5"/>
        <v>AIR</v>
      </c>
      <c r="K26" s="20">
        <f ca="1" t="shared" si="6"/>
        <v>1</v>
      </c>
      <c r="L26" s="45">
        <f ca="1" t="shared" si="25"/>
        <v>170.856678</v>
      </c>
      <c r="M26" s="45">
        <f ca="1" t="shared" si="25"/>
        <v>-224.680587</v>
      </c>
      <c r="N26" s="45">
        <f ca="1" t="shared" si="25"/>
        <v>-115.370319</v>
      </c>
      <c r="O26" s="45">
        <f ca="1" t="shared" si="25"/>
        <v>-153.67393</v>
      </c>
      <c r="P26" s="45">
        <f ca="1" t="shared" si="25"/>
        <v>43.46114</v>
      </c>
      <c r="Q26" s="46">
        <f ca="1" t="shared" si="25"/>
        <v>29.79408</v>
      </c>
      <c r="R26" s="30">
        <f t="shared" si="9"/>
        <v>-0.6878624431607016</v>
      </c>
      <c r="S26" s="30">
        <f t="shared" si="10"/>
        <v>-0.32189531036075236</v>
      </c>
      <c r="T26" s="30">
        <f t="shared" si="11"/>
        <v>-0.6505602727317011</v>
      </c>
      <c r="U26" s="30">
        <f t="shared" si="12"/>
        <v>0.36065903052820547</v>
      </c>
      <c r="V26" s="30">
        <f t="shared" si="13"/>
        <v>-0.9293867897416939</v>
      </c>
      <c r="W26" s="30">
        <f t="shared" si="14"/>
        <v>0.07851916168734602</v>
      </c>
      <c r="X26" s="30">
        <f t="shared" si="15"/>
        <v>0.6298970733282109</v>
      </c>
      <c r="Y26" s="30">
        <f t="shared" si="16"/>
        <v>0.18062005487039234</v>
      </c>
      <c r="Z26" s="30">
        <f t="shared" si="17"/>
        <v>-0.7553847183992874</v>
      </c>
      <c r="AA26" s="30">
        <f t="shared" si="18"/>
        <v>0</v>
      </c>
      <c r="AB26" s="31">
        <f t="shared" si="19"/>
        <v>90</v>
      </c>
      <c r="AC26" s="30">
        <f t="shared" si="20"/>
        <v>0</v>
      </c>
      <c r="AD26" s="31">
        <f t="shared" si="21"/>
        <v>90</v>
      </c>
      <c r="AE26" s="30">
        <f t="shared" si="22"/>
        <v>0</v>
      </c>
      <c r="AF26" s="31">
        <f t="shared" si="8"/>
        <v>90</v>
      </c>
    </row>
    <row r="27" spans="1:32" ht="13.5" thickBot="1">
      <c r="A27" s="28"/>
      <c r="B27" s="28"/>
      <c r="C27" s="14">
        <f ca="1" t="shared" si="24"/>
      </c>
      <c r="D27" s="15" t="str">
        <f ca="1" t="shared" si="24"/>
        <v>SM8A</v>
      </c>
      <c r="E27" s="15" t="str">
        <f ca="1" t="shared" si="24"/>
        <v>Spec</v>
      </c>
      <c r="F27" s="15" t="str">
        <f ca="1" t="shared" si="1"/>
        <v>Mirror</v>
      </c>
      <c r="G27" s="20">
        <f ca="1" t="shared" si="2"/>
        <v>36</v>
      </c>
      <c r="H27" s="16">
        <f ca="1" t="shared" si="3"/>
        <v>456</v>
      </c>
      <c r="I27" s="16">
        <f ca="1" t="shared" si="4"/>
        <v>81</v>
      </c>
      <c r="J27" s="16" t="e">
        <f ca="1" t="shared" si="5"/>
        <v>#NAME?</v>
      </c>
      <c r="K27" s="16">
        <f ca="1" t="shared" si="6"/>
        <v>-1</v>
      </c>
      <c r="L27" s="51">
        <f ca="1" t="shared" si="25"/>
        <v>170.856678</v>
      </c>
      <c r="M27" s="51">
        <f ca="1" t="shared" si="25"/>
        <v>-234.578533</v>
      </c>
      <c r="N27" s="51">
        <f ca="1" t="shared" si="25"/>
        <v>-171.504361</v>
      </c>
      <c r="O27" s="51">
        <f ca="1" t="shared" si="25"/>
        <v>-10</v>
      </c>
      <c r="P27" s="51">
        <f ca="1" t="shared" si="25"/>
        <v>0</v>
      </c>
      <c r="Q27" s="52">
        <f ca="1" t="shared" si="25"/>
        <v>-6.22</v>
      </c>
      <c r="R27" s="30">
        <f t="shared" si="9"/>
        <v>0</v>
      </c>
      <c r="S27" s="30">
        <f t="shared" si="10"/>
        <v>-0.17364817766693033</v>
      </c>
      <c r="T27" s="30">
        <f t="shared" si="11"/>
        <v>0.984807753012208</v>
      </c>
      <c r="U27" s="30">
        <f t="shared" si="12"/>
        <v>-0.10834637327094243</v>
      </c>
      <c r="V27" s="30">
        <f t="shared" si="13"/>
        <v>0.9790103911821212</v>
      </c>
      <c r="W27" s="30">
        <f t="shared" si="14"/>
        <v>0.17262594635935663</v>
      </c>
      <c r="X27" s="30">
        <f t="shared" si="15"/>
        <v>0.9941132045189992</v>
      </c>
      <c r="Y27" s="30">
        <f t="shared" si="16"/>
        <v>0.10670034840797878</v>
      </c>
      <c r="Z27" s="30">
        <f t="shared" si="17"/>
        <v>0.018814150275320164</v>
      </c>
      <c r="AA27" s="30">
        <f t="shared" si="18"/>
        <v>0</v>
      </c>
      <c r="AB27" s="31">
        <f t="shared" si="19"/>
        <v>90</v>
      </c>
      <c r="AC27" s="30">
        <f t="shared" si="20"/>
        <v>0</v>
      </c>
      <c r="AD27" s="31">
        <f t="shared" si="21"/>
        <v>90</v>
      </c>
      <c r="AE27" s="30">
        <f t="shared" si="22"/>
        <v>-8.239936510889834E-18</v>
      </c>
      <c r="AF27" s="31">
        <f t="shared" si="8"/>
        <v>90</v>
      </c>
    </row>
    <row r="28" spans="1:32" ht="12.75">
      <c r="A28" s="28"/>
      <c r="B28" s="28"/>
      <c r="C28" s="10" t="str">
        <f ca="1" t="shared" si="24"/>
        <v>Upper arm</v>
      </c>
      <c r="D28" s="11" t="str">
        <f ca="1" t="shared" si="24"/>
        <v>SBS1</v>
      </c>
      <c r="E28" s="11" t="str">
        <f ca="1" t="shared" si="24"/>
        <v>Spec</v>
      </c>
      <c r="F28" s="11" t="str">
        <f ca="1" t="shared" si="1"/>
        <v>Hole</v>
      </c>
      <c r="G28" s="12">
        <f ca="1" t="shared" si="2"/>
        <v>39</v>
      </c>
      <c r="H28" s="12">
        <f ca="1" t="shared" si="3"/>
        <v>459</v>
      </c>
      <c r="I28" s="12">
        <f ca="1" t="shared" si="4"/>
        <v>84</v>
      </c>
      <c r="J28" s="12" t="str">
        <f ca="1" t="shared" si="5"/>
        <v>AIR</v>
      </c>
      <c r="K28" s="12">
        <f ca="1" t="shared" si="6"/>
        <v>1</v>
      </c>
      <c r="L28" s="48">
        <f ca="1" t="shared" si="25"/>
        <v>170.856678</v>
      </c>
      <c r="M28" s="48">
        <f ca="1" t="shared" si="25"/>
        <v>-321.398533</v>
      </c>
      <c r="N28" s="48">
        <f ca="1" t="shared" si="25"/>
        <v>-21.12771</v>
      </c>
      <c r="O28" s="48">
        <f ca="1" t="shared" si="25"/>
        <v>1.05E-06</v>
      </c>
      <c r="P28" s="48">
        <f ca="1" t="shared" si="25"/>
        <v>0</v>
      </c>
      <c r="Q28" s="49">
        <f ca="1" t="shared" si="25"/>
        <v>1.05E-06</v>
      </c>
      <c r="R28" s="30">
        <f t="shared" si="9"/>
        <v>0</v>
      </c>
      <c r="S28" s="30">
        <f t="shared" si="10"/>
        <v>1.8325957145940456E-08</v>
      </c>
      <c r="T28" s="30">
        <f t="shared" si="11"/>
        <v>0.9999999999999998</v>
      </c>
      <c r="U28" s="30">
        <f t="shared" si="12"/>
        <v>1.8325957145940456E-08</v>
      </c>
      <c r="V28" s="30">
        <f t="shared" si="13"/>
        <v>0.9999999999999996</v>
      </c>
      <c r="W28" s="30">
        <f t="shared" si="14"/>
        <v>-1.8325957145940453E-08</v>
      </c>
      <c r="X28" s="30">
        <f t="shared" si="15"/>
        <v>0.9999999999999998</v>
      </c>
      <c r="Y28" s="30">
        <f t="shared" si="16"/>
        <v>-1.8325957145940453E-08</v>
      </c>
      <c r="Z28" s="30">
        <f t="shared" si="17"/>
        <v>3.3584070531484604E-16</v>
      </c>
      <c r="AA28" s="30">
        <f t="shared" si="18"/>
        <v>0</v>
      </c>
      <c r="AB28" s="31">
        <f t="shared" si="19"/>
        <v>90</v>
      </c>
      <c r="AC28" s="30">
        <f t="shared" si="20"/>
        <v>0</v>
      </c>
      <c r="AD28" s="31">
        <f t="shared" si="21"/>
        <v>90</v>
      </c>
      <c r="AE28" s="30">
        <f t="shared" si="22"/>
        <v>4.6284252696193715E-25</v>
      </c>
      <c r="AF28" s="31">
        <f t="shared" si="8"/>
        <v>90</v>
      </c>
    </row>
    <row r="29" spans="1:32" ht="12.75">
      <c r="A29" s="28"/>
      <c r="B29" s="28"/>
      <c r="C29" s="18">
        <f ca="1" t="shared" si="24"/>
      </c>
      <c r="D29" s="19" t="str">
        <f ca="1" t="shared" si="24"/>
        <v>SM9A</v>
      </c>
      <c r="E29" s="19" t="str">
        <f ca="1" t="shared" si="24"/>
        <v>Spec</v>
      </c>
      <c r="F29" s="19" t="str">
        <f ca="1" t="shared" si="1"/>
        <v>Mirror</v>
      </c>
      <c r="G29" s="20">
        <f ca="1" t="shared" si="2"/>
        <v>43</v>
      </c>
      <c r="H29" s="20">
        <f ca="1" t="shared" si="3"/>
        <v>463</v>
      </c>
      <c r="I29" s="20">
        <f ca="1" t="shared" si="4"/>
        <v>88</v>
      </c>
      <c r="J29" s="20" t="e">
        <f ca="1" t="shared" si="5"/>
        <v>#NAME?</v>
      </c>
      <c r="K29" s="20">
        <f ca="1" t="shared" si="6"/>
        <v>-1</v>
      </c>
      <c r="L29" s="45">
        <f ca="1" t="shared" si="25"/>
        <v>170.856678</v>
      </c>
      <c r="M29" s="45">
        <f ca="1" t="shared" si="25"/>
        <v>-407.998533</v>
      </c>
      <c r="N29" s="45">
        <f ca="1" t="shared" si="25"/>
        <v>-171.12331</v>
      </c>
      <c r="O29" s="45">
        <f ca="1" t="shared" si="25"/>
        <v>15</v>
      </c>
      <c r="P29" s="45">
        <f ca="1" t="shared" si="25"/>
        <v>0</v>
      </c>
      <c r="Q29" s="46">
        <f ca="1" t="shared" si="25"/>
        <v>0</v>
      </c>
      <c r="R29" s="30">
        <f t="shared" si="9"/>
        <v>0</v>
      </c>
      <c r="S29" s="30">
        <f t="shared" si="10"/>
        <v>0.25881904510252074</v>
      </c>
      <c r="T29" s="30">
        <f t="shared" si="11"/>
        <v>0.9659258262890683</v>
      </c>
      <c r="U29" s="30">
        <f t="shared" si="12"/>
        <v>0</v>
      </c>
      <c r="V29" s="30">
        <f t="shared" si="13"/>
        <v>0.9659258262890683</v>
      </c>
      <c r="W29" s="30">
        <f t="shared" si="14"/>
        <v>-0.25881904510252074</v>
      </c>
      <c r="X29" s="30">
        <f t="shared" si="15"/>
        <v>1</v>
      </c>
      <c r="Y29" s="30">
        <f t="shared" si="16"/>
        <v>0</v>
      </c>
      <c r="Z29" s="30">
        <f t="shared" si="17"/>
        <v>0</v>
      </c>
      <c r="AA29" s="30">
        <f t="shared" si="18"/>
        <v>0</v>
      </c>
      <c r="AB29" s="31">
        <f t="shared" si="19"/>
        <v>90</v>
      </c>
      <c r="AC29" s="30">
        <f t="shared" si="20"/>
        <v>0</v>
      </c>
      <c r="AD29" s="31">
        <f t="shared" si="21"/>
        <v>90</v>
      </c>
      <c r="AE29" s="30">
        <f t="shared" si="22"/>
        <v>0</v>
      </c>
      <c r="AF29" s="31">
        <f t="shared" si="8"/>
        <v>90</v>
      </c>
    </row>
    <row r="30" spans="3:32" ht="12.75">
      <c r="C30" s="18">
        <f ca="1" t="shared" si="24"/>
      </c>
      <c r="D30" s="19" t="str">
        <f ca="1" t="shared" si="24"/>
        <v>SRTA1</v>
      </c>
      <c r="E30" s="19" t="str">
        <f ca="1" t="shared" si="24"/>
        <v>Spec</v>
      </c>
      <c r="F30" s="19" t="str">
        <f ca="1" t="shared" si="1"/>
        <v>Mirror</v>
      </c>
      <c r="G30" s="20">
        <f ca="1" t="shared" si="2"/>
        <v>46</v>
      </c>
      <c r="H30" s="20">
        <f ca="1" t="shared" si="3"/>
        <v>466</v>
      </c>
      <c r="I30" s="20">
        <f ca="1" t="shared" si="4"/>
        <v>91</v>
      </c>
      <c r="J30" s="20" t="str">
        <f ca="1" t="shared" si="5"/>
        <v>AIR</v>
      </c>
      <c r="K30" s="20">
        <f ca="1" t="shared" si="6"/>
        <v>1</v>
      </c>
      <c r="L30" s="45">
        <f ca="1" t="shared" si="25"/>
        <v>170.856678</v>
      </c>
      <c r="M30" s="45">
        <f ca="1" t="shared" si="25"/>
        <v>-407.998533</v>
      </c>
      <c r="N30" s="45">
        <f ca="1" t="shared" si="25"/>
        <v>-46.12331</v>
      </c>
      <c r="O30" s="45">
        <f ca="1" t="shared" si="25"/>
        <v>45</v>
      </c>
      <c r="P30" s="45">
        <f ca="1" t="shared" si="25"/>
        <v>0</v>
      </c>
      <c r="Q30" s="46">
        <f ca="1" t="shared" si="25"/>
        <v>0</v>
      </c>
      <c r="R30" s="30">
        <f t="shared" si="9"/>
        <v>0</v>
      </c>
      <c r="S30" s="30">
        <f t="shared" si="10"/>
        <v>0.7071067811865475</v>
      </c>
      <c r="T30" s="30">
        <f t="shared" si="11"/>
        <v>0.7071067811865476</v>
      </c>
      <c r="U30" s="30">
        <f t="shared" si="12"/>
        <v>0</v>
      </c>
      <c r="V30" s="30">
        <f t="shared" si="13"/>
        <v>0.7071067811865476</v>
      </c>
      <c r="W30" s="30">
        <f t="shared" si="14"/>
        <v>-0.7071067811865475</v>
      </c>
      <c r="X30" s="30">
        <f t="shared" si="15"/>
        <v>1</v>
      </c>
      <c r="Y30" s="30">
        <f t="shared" si="16"/>
        <v>0</v>
      </c>
      <c r="Z30" s="30">
        <f t="shared" si="17"/>
        <v>0</v>
      </c>
      <c r="AA30" s="30">
        <f t="shared" si="18"/>
        <v>0</v>
      </c>
      <c r="AB30" s="31">
        <f t="shared" si="19"/>
        <v>90</v>
      </c>
      <c r="AC30" s="30">
        <f t="shared" si="20"/>
        <v>0</v>
      </c>
      <c r="AD30" s="31">
        <f t="shared" si="21"/>
        <v>90</v>
      </c>
      <c r="AE30" s="30">
        <f t="shared" si="22"/>
        <v>0</v>
      </c>
      <c r="AF30" s="31">
        <f t="shared" si="8"/>
        <v>90</v>
      </c>
    </row>
    <row r="31" spans="3:32" ht="12.75">
      <c r="C31" s="18">
        <f ca="1" t="shared" si="24"/>
      </c>
      <c r="D31" s="19" t="str">
        <f ca="1" t="shared" si="24"/>
        <v>SRTA2</v>
      </c>
      <c r="E31" s="19" t="str">
        <f ca="1" t="shared" si="24"/>
        <v>Spec</v>
      </c>
      <c r="F31" s="19" t="str">
        <f ca="1" t="shared" si="1"/>
        <v>Mirror</v>
      </c>
      <c r="G31" s="20">
        <f ca="1" t="shared" si="2"/>
        <v>51</v>
      </c>
      <c r="H31" s="20">
        <f ca="1" t="shared" si="3"/>
        <v>471</v>
      </c>
      <c r="I31" s="20">
        <f ca="1" t="shared" si="4"/>
        <v>96</v>
      </c>
      <c r="J31" s="20" t="e">
        <f ca="1" t="shared" si="5"/>
        <v>#NAME?</v>
      </c>
      <c r="K31" s="20">
        <f ca="1" t="shared" si="6"/>
        <v>-1</v>
      </c>
      <c r="L31" s="45">
        <f ca="1" t="shared" si="25"/>
        <v>170.856678</v>
      </c>
      <c r="M31" s="45">
        <f ca="1" t="shared" si="25"/>
        <v>-457.998533</v>
      </c>
      <c r="N31" s="45">
        <f ca="1" t="shared" si="25"/>
        <v>-46.12331</v>
      </c>
      <c r="O31" s="45">
        <f ca="1" t="shared" si="25"/>
        <v>135</v>
      </c>
      <c r="P31" s="45">
        <f ca="1" t="shared" si="25"/>
        <v>0</v>
      </c>
      <c r="Q31" s="46">
        <f ca="1" t="shared" si="25"/>
        <v>0</v>
      </c>
      <c r="R31" s="30">
        <f t="shared" si="9"/>
        <v>0</v>
      </c>
      <c r="S31" s="30">
        <f t="shared" si="10"/>
        <v>0.7071067811865476</v>
      </c>
      <c r="T31" s="30">
        <f t="shared" si="11"/>
        <v>-0.7071067811865475</v>
      </c>
      <c r="U31" s="30">
        <f t="shared" si="12"/>
        <v>0</v>
      </c>
      <c r="V31" s="30">
        <f t="shared" si="13"/>
        <v>-0.7071067811865475</v>
      </c>
      <c r="W31" s="30">
        <f t="shared" si="14"/>
        <v>-0.7071067811865476</v>
      </c>
      <c r="X31" s="30">
        <f t="shared" si="15"/>
        <v>1</v>
      </c>
      <c r="Y31" s="30">
        <f t="shared" si="16"/>
        <v>0</v>
      </c>
      <c r="Z31" s="30">
        <f t="shared" si="17"/>
        <v>0</v>
      </c>
      <c r="AA31" s="30">
        <f t="shared" si="18"/>
        <v>0</v>
      </c>
      <c r="AB31" s="31">
        <f t="shared" si="19"/>
        <v>90</v>
      </c>
      <c r="AC31" s="30">
        <f t="shared" si="20"/>
        <v>0</v>
      </c>
      <c r="AD31" s="31">
        <f t="shared" si="21"/>
        <v>90</v>
      </c>
      <c r="AE31" s="30">
        <f t="shared" si="22"/>
        <v>0</v>
      </c>
      <c r="AF31" s="31">
        <f t="shared" si="8"/>
        <v>90</v>
      </c>
    </row>
    <row r="32" spans="3:32" ht="12.75">
      <c r="C32" s="18">
        <f ca="1" t="shared" si="24"/>
      </c>
      <c r="D32" s="19" t="str">
        <f ca="1" t="shared" si="24"/>
        <v>SM10A</v>
      </c>
      <c r="E32" s="19" t="str">
        <f ca="1" t="shared" si="24"/>
        <v>Spec</v>
      </c>
      <c r="F32" s="19" t="str">
        <f ca="1" t="shared" si="1"/>
        <v>Mirror</v>
      </c>
      <c r="G32" s="20">
        <f ca="1" t="shared" si="2"/>
        <v>56</v>
      </c>
      <c r="H32" s="20">
        <f ca="1" t="shared" si="3"/>
        <v>476</v>
      </c>
      <c r="I32" s="20">
        <f ca="1" t="shared" si="4"/>
        <v>101</v>
      </c>
      <c r="J32" s="20" t="str">
        <f ca="1" t="shared" si="5"/>
        <v>AIR</v>
      </c>
      <c r="K32" s="20">
        <f ca="1" t="shared" si="6"/>
        <v>1</v>
      </c>
      <c r="L32" s="45">
        <f ca="1" t="shared" si="26" ref="L32:Q40">INDIRECT(System&amp;"Glob!"&amp;INDIRECT(Axe&amp;"col")&amp;FIXED(Line,0))</f>
        <v>170.856678</v>
      </c>
      <c r="M32" s="45">
        <f ca="1" t="shared" si="26"/>
        <v>-457.998533</v>
      </c>
      <c r="N32" s="45">
        <f ca="1" t="shared" si="26"/>
        <v>-171.12331</v>
      </c>
      <c r="O32" s="45">
        <f ca="1" t="shared" si="26"/>
        <v>165</v>
      </c>
      <c r="P32" s="45">
        <f ca="1" t="shared" si="26"/>
        <v>0</v>
      </c>
      <c r="Q32" s="46">
        <f ca="1" t="shared" si="26"/>
        <v>0</v>
      </c>
      <c r="R32" s="30">
        <f t="shared" si="9"/>
        <v>0</v>
      </c>
      <c r="S32" s="30">
        <f t="shared" si="10"/>
        <v>0.258819045102521</v>
      </c>
      <c r="T32" s="30">
        <f t="shared" si="11"/>
        <v>-0.9659258262890682</v>
      </c>
      <c r="U32" s="30">
        <f t="shared" si="12"/>
        <v>0</v>
      </c>
      <c r="V32" s="30">
        <f t="shared" si="13"/>
        <v>-0.9659258262890682</v>
      </c>
      <c r="W32" s="30">
        <f t="shared" si="14"/>
        <v>-0.258819045102521</v>
      </c>
      <c r="X32" s="30">
        <f t="shared" si="15"/>
        <v>1</v>
      </c>
      <c r="Y32" s="30">
        <f t="shared" si="16"/>
        <v>0</v>
      </c>
      <c r="Z32" s="30">
        <f t="shared" si="17"/>
        <v>0</v>
      </c>
      <c r="AA32" s="30">
        <f t="shared" si="18"/>
        <v>0</v>
      </c>
      <c r="AB32" s="31">
        <f t="shared" si="19"/>
        <v>90</v>
      </c>
      <c r="AC32" s="30">
        <f t="shared" si="20"/>
        <v>0</v>
      </c>
      <c r="AD32" s="31">
        <f t="shared" si="21"/>
        <v>90</v>
      </c>
      <c r="AE32" s="30">
        <f t="shared" si="22"/>
        <v>0</v>
      </c>
      <c r="AF32" s="31">
        <f t="shared" si="8"/>
        <v>90</v>
      </c>
    </row>
    <row r="33" spans="3:32" ht="12.75">
      <c r="C33" s="18">
        <f ca="1" t="shared" si="24"/>
      </c>
      <c r="D33" s="19" t="str">
        <f ca="1" t="shared" si="24"/>
        <v>SBS2</v>
      </c>
      <c r="E33" s="19" t="str">
        <f ca="1" t="shared" si="24"/>
        <v>Spec</v>
      </c>
      <c r="F33" s="19" t="str">
        <f ca="1" t="shared" si="1"/>
        <v>Hole</v>
      </c>
      <c r="G33" s="20">
        <f ca="1" t="shared" si="2"/>
        <v>60</v>
      </c>
      <c r="H33" s="20">
        <f ca="1" t="shared" si="3"/>
        <v>480</v>
      </c>
      <c r="I33" s="20">
        <f ca="1" t="shared" si="4"/>
        <v>105</v>
      </c>
      <c r="J33" s="20" t="e">
        <f ca="1" t="shared" si="5"/>
        <v>#NAME?</v>
      </c>
      <c r="K33" s="20">
        <f ca="1" t="shared" si="6"/>
        <v>-1</v>
      </c>
      <c r="L33" s="45">
        <f ca="1" t="shared" si="26"/>
        <v>170.856678</v>
      </c>
      <c r="M33" s="45">
        <f ca="1" t="shared" si="26"/>
        <v>-544.598533</v>
      </c>
      <c r="N33" s="45">
        <f ca="1" t="shared" si="26"/>
        <v>-21.12771</v>
      </c>
      <c r="O33" s="45">
        <f ca="1" t="shared" si="26"/>
        <v>180</v>
      </c>
      <c r="P33" s="45">
        <f ca="1" t="shared" si="26"/>
        <v>0</v>
      </c>
      <c r="Q33" s="46">
        <f ca="1" t="shared" si="26"/>
        <v>1.21E-06</v>
      </c>
      <c r="R33" s="30">
        <f t="shared" si="9"/>
        <v>0</v>
      </c>
      <c r="S33" s="30">
        <f t="shared" si="10"/>
        <v>1.22514845490862E-16</v>
      </c>
      <c r="T33" s="30">
        <f t="shared" si="11"/>
        <v>-1</v>
      </c>
      <c r="U33" s="30">
        <f t="shared" si="12"/>
        <v>2.1118483949131386E-08</v>
      </c>
      <c r="V33" s="30">
        <f t="shared" si="13"/>
        <v>-0.9999999999999998</v>
      </c>
      <c r="W33" s="30">
        <f t="shared" si="14"/>
        <v>-1.2251484549086198E-16</v>
      </c>
      <c r="X33" s="30">
        <f t="shared" si="15"/>
        <v>0.9999999999999998</v>
      </c>
      <c r="Y33" s="30">
        <f t="shared" si="16"/>
        <v>2.1118483949131386E-08</v>
      </c>
      <c r="Z33" s="30">
        <f t="shared" si="17"/>
        <v>2.587327798029081E-24</v>
      </c>
      <c r="AA33" s="30">
        <f t="shared" si="18"/>
        <v>0</v>
      </c>
      <c r="AB33" s="31">
        <f t="shared" si="19"/>
        <v>90</v>
      </c>
      <c r="AC33" s="30">
        <f t="shared" si="20"/>
        <v>0</v>
      </c>
      <c r="AD33" s="31">
        <f t="shared" si="21"/>
        <v>90</v>
      </c>
      <c r="AE33" s="30">
        <f t="shared" si="22"/>
        <v>-3.16986065409745E-40</v>
      </c>
      <c r="AF33" s="31">
        <f t="shared" si="8"/>
        <v>90</v>
      </c>
    </row>
    <row r="34" spans="3:32" ht="12.75">
      <c r="C34" s="18">
        <f ca="1" t="shared" si="24"/>
      </c>
      <c r="D34" s="19" t="str">
        <f ca="1" t="shared" si="24"/>
        <v>SM11A</v>
      </c>
      <c r="E34" s="19" t="str">
        <f ca="1" t="shared" si="24"/>
        <v>Spec</v>
      </c>
      <c r="F34" s="19" t="str">
        <f ca="1" t="shared" si="1"/>
        <v>Mirror</v>
      </c>
      <c r="G34" s="20">
        <f ca="1" t="shared" si="2"/>
        <v>63</v>
      </c>
      <c r="H34" s="20">
        <f ca="1" t="shared" si="3"/>
        <v>483</v>
      </c>
      <c r="I34" s="20">
        <f ca="1" t="shared" si="4"/>
        <v>108</v>
      </c>
      <c r="J34" s="20" t="str">
        <f ca="1" t="shared" si="5"/>
        <v>AIR</v>
      </c>
      <c r="K34" s="20">
        <f ca="1" t="shared" si="6"/>
        <v>1</v>
      </c>
      <c r="L34" s="45">
        <f ca="1" t="shared" si="26"/>
        <v>170.856678</v>
      </c>
      <c r="M34" s="45">
        <f ca="1" t="shared" si="26"/>
        <v>-620.588533</v>
      </c>
      <c r="N34" s="45">
        <f ca="1" t="shared" si="26"/>
        <v>-152.74625</v>
      </c>
      <c r="O34" s="45">
        <f ca="1" t="shared" si="26"/>
        <v>-170</v>
      </c>
      <c r="P34" s="45">
        <f ca="1" t="shared" si="26"/>
        <v>0</v>
      </c>
      <c r="Q34" s="46">
        <f ca="1" t="shared" si="26"/>
        <v>0</v>
      </c>
      <c r="R34" s="30">
        <f t="shared" si="9"/>
        <v>0</v>
      </c>
      <c r="S34" s="30">
        <f t="shared" si="10"/>
        <v>-0.17364817766693028</v>
      </c>
      <c r="T34" s="30">
        <f t="shared" si="11"/>
        <v>-0.984807753012208</v>
      </c>
      <c r="U34" s="30">
        <f t="shared" si="12"/>
        <v>0</v>
      </c>
      <c r="V34" s="30">
        <f t="shared" si="13"/>
        <v>-0.984807753012208</v>
      </c>
      <c r="W34" s="30">
        <f t="shared" si="14"/>
        <v>0.17364817766693028</v>
      </c>
      <c r="X34" s="30">
        <f t="shared" si="15"/>
        <v>1</v>
      </c>
      <c r="Y34" s="30">
        <f t="shared" si="16"/>
        <v>0</v>
      </c>
      <c r="Z34" s="30">
        <f t="shared" si="17"/>
        <v>0</v>
      </c>
      <c r="AA34" s="30">
        <f t="shared" si="18"/>
        <v>0</v>
      </c>
      <c r="AB34" s="31">
        <f t="shared" si="19"/>
        <v>90</v>
      </c>
      <c r="AC34" s="30">
        <f t="shared" si="20"/>
        <v>0</v>
      </c>
      <c r="AD34" s="31">
        <f t="shared" si="21"/>
        <v>90</v>
      </c>
      <c r="AE34" s="30">
        <f t="shared" si="22"/>
        <v>0</v>
      </c>
      <c r="AF34" s="31">
        <f t="shared" si="8"/>
        <v>90</v>
      </c>
    </row>
    <row r="35" spans="3:32" ht="12.75">
      <c r="C35" s="18">
        <f ca="1" t="shared" si="24"/>
      </c>
      <c r="D35" s="19" t="str">
        <f ca="1" t="shared" si="24"/>
        <v>SM12A</v>
      </c>
      <c r="E35" s="19" t="str">
        <f ca="1" t="shared" si="24"/>
        <v>Spec</v>
      </c>
      <c r="F35" s="19" t="str">
        <f ca="1" t="shared" si="1"/>
        <v>Mirror</v>
      </c>
      <c r="G35" s="20">
        <f ca="1" t="shared" si="2"/>
        <v>67</v>
      </c>
      <c r="H35" s="20">
        <f ca="1" t="shared" si="3"/>
        <v>487</v>
      </c>
      <c r="I35" s="20">
        <f ca="1" t="shared" si="4"/>
        <v>112</v>
      </c>
      <c r="J35" s="20" t="e">
        <f ca="1" t="shared" si="5"/>
        <v>#NAME?</v>
      </c>
      <c r="K35" s="20">
        <f ca="1" t="shared" si="6"/>
        <v>-1</v>
      </c>
      <c r="L35" s="45">
        <f ca="1" t="shared" si="26"/>
        <v>170.856678</v>
      </c>
      <c r="M35" s="45">
        <f ca="1" t="shared" si="26"/>
        <v>-636.663145</v>
      </c>
      <c r="N35" s="45">
        <f ca="1" t="shared" si="26"/>
        <v>-61.582597</v>
      </c>
      <c r="O35" s="45">
        <f ca="1" t="shared" si="26"/>
        <v>170</v>
      </c>
      <c r="P35" s="45">
        <f ca="1" t="shared" si="26"/>
        <v>-45</v>
      </c>
      <c r="Q35" s="46">
        <f ca="1" t="shared" si="26"/>
        <v>0</v>
      </c>
      <c r="R35" s="30">
        <f t="shared" si="9"/>
        <v>0.7071067811865475</v>
      </c>
      <c r="S35" s="30">
        <f t="shared" si="10"/>
        <v>0.1227878039689728</v>
      </c>
      <c r="T35" s="30">
        <f t="shared" si="11"/>
        <v>-0.696364240320019</v>
      </c>
      <c r="U35" s="30">
        <f t="shared" si="12"/>
        <v>0</v>
      </c>
      <c r="V35" s="30">
        <f t="shared" si="13"/>
        <v>-0.984807753012208</v>
      </c>
      <c r="W35" s="30">
        <f t="shared" si="14"/>
        <v>-0.17364817766693028</v>
      </c>
      <c r="X35" s="30">
        <f t="shared" si="15"/>
        <v>0.7071067811865476</v>
      </c>
      <c r="Y35" s="30">
        <f t="shared" si="16"/>
        <v>-0.12278780396897278</v>
      </c>
      <c r="Z35" s="30">
        <f t="shared" si="17"/>
        <v>0.6963642403200189</v>
      </c>
      <c r="AA35" s="30">
        <f t="shared" si="18"/>
        <v>0</v>
      </c>
      <c r="AB35" s="31">
        <f t="shared" si="19"/>
        <v>90</v>
      </c>
      <c r="AC35" s="30">
        <f t="shared" si="20"/>
        <v>0</v>
      </c>
      <c r="AD35" s="31">
        <f t="shared" si="21"/>
        <v>90</v>
      </c>
      <c r="AE35" s="30">
        <f t="shared" si="22"/>
        <v>0</v>
      </c>
      <c r="AF35" s="31">
        <f t="shared" si="8"/>
        <v>90</v>
      </c>
    </row>
    <row r="36" spans="3:32" ht="12.75">
      <c r="C36" s="18">
        <f ca="1" t="shared" si="24"/>
      </c>
      <c r="D36" s="19" t="str">
        <f ca="1" t="shared" si="24"/>
        <v>SFLA</v>
      </c>
      <c r="E36" s="19" t="str">
        <f ca="1" t="shared" si="24"/>
        <v>Spec</v>
      </c>
      <c r="F36" s="19" t="str">
        <f ca="1" t="shared" si="1"/>
        <v>Hole</v>
      </c>
      <c r="G36" s="20">
        <f ca="1" t="shared" si="2"/>
        <v>69</v>
      </c>
      <c r="H36" s="20">
        <f ca="1" t="shared" si="3"/>
        <v>489</v>
      </c>
      <c r="I36" s="20">
        <f ca="1" t="shared" si="4"/>
        <v>114</v>
      </c>
      <c r="J36" s="20" t="str">
        <f ca="1" t="shared" si="5"/>
        <v>AIR</v>
      </c>
      <c r="K36" s="20">
        <f ca="1" t="shared" si="6"/>
        <v>1</v>
      </c>
      <c r="L36" s="45">
        <f ca="1" t="shared" si="26"/>
        <v>236.756678</v>
      </c>
      <c r="M36" s="45">
        <f ca="1" t="shared" si="26"/>
        <v>-636.663145</v>
      </c>
      <c r="N36" s="45">
        <f ca="1" t="shared" si="26"/>
        <v>-61.582597</v>
      </c>
      <c r="O36" s="45">
        <f ca="1" t="shared" si="26"/>
        <v>170</v>
      </c>
      <c r="P36" s="45">
        <f ca="1" t="shared" si="26"/>
        <v>-90</v>
      </c>
      <c r="Q36" s="46">
        <f ca="1" t="shared" si="26"/>
        <v>0</v>
      </c>
      <c r="R36" s="30">
        <f t="shared" si="9"/>
        <v>1</v>
      </c>
      <c r="S36" s="30">
        <f t="shared" si="10"/>
        <v>1.0637239828316857E-17</v>
      </c>
      <c r="T36" s="30">
        <f t="shared" si="11"/>
        <v>-6.032678484924683E-17</v>
      </c>
      <c r="U36" s="30">
        <f t="shared" si="12"/>
        <v>0</v>
      </c>
      <c r="V36" s="30">
        <f t="shared" si="13"/>
        <v>-0.984807753012208</v>
      </c>
      <c r="W36" s="30">
        <f t="shared" si="14"/>
        <v>-0.17364817766693028</v>
      </c>
      <c r="X36" s="30">
        <f t="shared" si="15"/>
        <v>6.1257422745431E-17</v>
      </c>
      <c r="Y36" s="30">
        <f t="shared" si="16"/>
        <v>-0.17364817766693028</v>
      </c>
      <c r="Z36" s="30">
        <f t="shared" si="17"/>
        <v>0.984807753012208</v>
      </c>
      <c r="AA36" s="30">
        <f t="shared" si="18"/>
        <v>0</v>
      </c>
      <c r="AB36" s="31">
        <f t="shared" si="19"/>
        <v>90</v>
      </c>
      <c r="AC36" s="30">
        <f t="shared" si="20"/>
        <v>0</v>
      </c>
      <c r="AD36" s="31">
        <f t="shared" si="21"/>
        <v>90</v>
      </c>
      <c r="AE36" s="30">
        <f t="shared" si="22"/>
        <v>0</v>
      </c>
      <c r="AF36" s="31">
        <f t="shared" si="8"/>
        <v>90</v>
      </c>
    </row>
    <row r="37" spans="3:32" ht="13.5" thickBot="1">
      <c r="C37" s="14">
        <f ca="1" t="shared" si="24"/>
      </c>
      <c r="D37" s="15" t="str">
        <f ca="1" t="shared" si="24"/>
        <v>SSW</v>
      </c>
      <c r="E37" s="15" t="str">
        <f ca="1" t="shared" si="24"/>
        <v>Spec</v>
      </c>
      <c r="F37" s="15" t="str">
        <f ca="1" t="shared" si="1"/>
        <v>Det</v>
      </c>
      <c r="G37" s="16">
        <f ca="1" t="shared" si="2"/>
        <v>71</v>
      </c>
      <c r="H37" s="16">
        <f ca="1" t="shared" si="3"/>
        <v>491</v>
      </c>
      <c r="I37" s="16">
        <f ca="1" t="shared" si="4"/>
        <v>116</v>
      </c>
      <c r="J37" s="16" t="str">
        <f ca="1" t="shared" si="5"/>
        <v>AIR</v>
      </c>
      <c r="K37" s="16">
        <f ca="1" t="shared" si="6"/>
        <v>1</v>
      </c>
      <c r="L37" s="51">
        <f ca="1" t="shared" si="26"/>
        <v>250.856678</v>
      </c>
      <c r="M37" s="51">
        <f ca="1" t="shared" si="26"/>
        <v>-636.663145</v>
      </c>
      <c r="N37" s="51">
        <f ca="1" t="shared" si="26"/>
        <v>-61.582597</v>
      </c>
      <c r="O37" s="51">
        <f ca="1" t="shared" si="26"/>
        <v>-180</v>
      </c>
      <c r="P37" s="51">
        <f ca="1" t="shared" si="26"/>
        <v>-90</v>
      </c>
      <c r="Q37" s="52">
        <f ca="1" t="shared" si="26"/>
        <v>0</v>
      </c>
      <c r="R37" s="30">
        <f t="shared" si="9"/>
        <v>1</v>
      </c>
      <c r="S37" s="30">
        <f t="shared" si="10"/>
        <v>-7.504943682824895E-33</v>
      </c>
      <c r="T37" s="30">
        <f t="shared" si="11"/>
        <v>-6.1257422745431E-17</v>
      </c>
      <c r="U37" s="30">
        <f t="shared" si="12"/>
        <v>0</v>
      </c>
      <c r="V37" s="30">
        <f t="shared" si="13"/>
        <v>-1</v>
      </c>
      <c r="W37" s="30">
        <f t="shared" si="14"/>
        <v>1.22514845490862E-16</v>
      </c>
      <c r="X37" s="30">
        <f t="shared" si="15"/>
        <v>6.1257422745431E-17</v>
      </c>
      <c r="Y37" s="30">
        <f t="shared" si="16"/>
        <v>1.22514845490862E-16</v>
      </c>
      <c r="Z37" s="30">
        <f t="shared" si="17"/>
        <v>1</v>
      </c>
      <c r="AA37" s="30">
        <f t="shared" si="18"/>
        <v>0</v>
      </c>
      <c r="AB37" s="31">
        <f t="shared" si="19"/>
        <v>90</v>
      </c>
      <c r="AC37" s="30">
        <f t="shared" si="20"/>
        <v>0</v>
      </c>
      <c r="AD37" s="31">
        <f t="shared" si="21"/>
        <v>90</v>
      </c>
      <c r="AE37" s="30">
        <f t="shared" si="22"/>
        <v>0</v>
      </c>
      <c r="AF37" s="31">
        <f t="shared" si="8"/>
        <v>90</v>
      </c>
    </row>
    <row r="38" spans="3:32" ht="12.75">
      <c r="C38" s="10" t="str">
        <f ca="1" t="shared" si="24"/>
        <v>Lower arm</v>
      </c>
      <c r="D38" s="11" t="str">
        <f ca="1" t="shared" si="24"/>
        <v>SCAL</v>
      </c>
      <c r="E38" s="11" t="str">
        <f ca="1" t="shared" si="24"/>
        <v>Spec</v>
      </c>
      <c r="F38" s="11" t="str">
        <f ca="1" t="shared" si="1"/>
        <v>Hole</v>
      </c>
      <c r="G38" s="12">
        <f ca="1" t="shared" si="2"/>
        <v>102</v>
      </c>
      <c r="H38" s="12">
        <f ca="1" t="shared" si="3"/>
        <v>522</v>
      </c>
      <c r="I38" s="12">
        <f ca="1" t="shared" si="4"/>
        <v>147</v>
      </c>
      <c r="J38" s="12" t="str">
        <f ca="1" t="shared" si="5"/>
        <v>AIR</v>
      </c>
      <c r="K38" s="12">
        <f ca="1" t="shared" si="6"/>
        <v>1</v>
      </c>
      <c r="L38" s="48">
        <f ca="1" t="shared" si="26"/>
        <v>170.856678</v>
      </c>
      <c r="M38" s="48">
        <f ca="1" t="shared" si="26"/>
        <v>-219.396473</v>
      </c>
      <c r="N38" s="48">
        <f ca="1" t="shared" si="26"/>
        <v>43.1472</v>
      </c>
      <c r="O38" s="48">
        <f ca="1" t="shared" si="26"/>
        <v>-10</v>
      </c>
      <c r="P38" s="48">
        <f ca="1" t="shared" si="26"/>
        <v>0</v>
      </c>
      <c r="Q38" s="49">
        <f ca="1" t="shared" si="26"/>
        <v>0</v>
      </c>
      <c r="R38" s="30">
        <f t="shared" si="9"/>
        <v>0</v>
      </c>
      <c r="S38" s="30">
        <f t="shared" si="10"/>
        <v>-0.17364817766693033</v>
      </c>
      <c r="T38" s="30">
        <f t="shared" si="11"/>
        <v>0.984807753012208</v>
      </c>
      <c r="U38" s="30">
        <f t="shared" si="12"/>
        <v>0</v>
      </c>
      <c r="V38" s="30">
        <f t="shared" si="13"/>
        <v>0.984807753012208</v>
      </c>
      <c r="W38" s="30">
        <f t="shared" si="14"/>
        <v>0.17364817766693033</v>
      </c>
      <c r="X38" s="30">
        <f t="shared" si="15"/>
        <v>1</v>
      </c>
      <c r="Y38" s="30">
        <f t="shared" si="16"/>
        <v>0</v>
      </c>
      <c r="Z38" s="30">
        <f t="shared" si="17"/>
        <v>0</v>
      </c>
      <c r="AA38" s="45">
        <f t="shared" si="18"/>
        <v>0</v>
      </c>
      <c r="AB38" s="68">
        <f t="shared" si="19"/>
        <v>90</v>
      </c>
      <c r="AC38" s="45">
        <f t="shared" si="20"/>
        <v>0</v>
      </c>
      <c r="AD38" s="68">
        <f t="shared" si="21"/>
        <v>90</v>
      </c>
      <c r="AE38" s="45">
        <f t="shared" si="22"/>
        <v>0</v>
      </c>
      <c r="AF38" s="68">
        <f t="shared" si="8"/>
        <v>90</v>
      </c>
    </row>
    <row r="39" spans="3:32" ht="12.75">
      <c r="C39" s="18">
        <f ca="1" t="shared" si="24"/>
      </c>
      <c r="D39" s="19" t="str">
        <f ca="1" t="shared" si="24"/>
        <v>SM8B</v>
      </c>
      <c r="E39" s="19" t="str">
        <f ca="1" t="shared" si="24"/>
        <v>Spec</v>
      </c>
      <c r="F39" s="19" t="str">
        <f ca="1" t="shared" si="1"/>
        <v>Mirror</v>
      </c>
      <c r="G39" s="20">
        <f ca="1" t="shared" si="2"/>
        <v>98</v>
      </c>
      <c r="H39" s="20">
        <f ca="1" t="shared" si="3"/>
        <v>518</v>
      </c>
      <c r="I39" s="20">
        <f ca="1" t="shared" si="4"/>
        <v>143</v>
      </c>
      <c r="J39" s="20" t="e">
        <f ca="1" t="shared" si="5"/>
        <v>#NAME?</v>
      </c>
      <c r="K39" s="20">
        <f ca="1" t="shared" si="6"/>
        <v>-1</v>
      </c>
      <c r="L39" s="45">
        <f ca="1" t="shared" si="26"/>
        <v>170.856678</v>
      </c>
      <c r="M39" s="45">
        <f ca="1" t="shared" si="26"/>
        <v>-234.578533</v>
      </c>
      <c r="N39" s="45">
        <f ca="1" t="shared" si="26"/>
        <v>129.248941</v>
      </c>
      <c r="O39" s="45">
        <f ca="1" t="shared" si="26"/>
        <v>10</v>
      </c>
      <c r="P39" s="45">
        <f ca="1" t="shared" si="26"/>
        <v>0</v>
      </c>
      <c r="Q39" s="46">
        <f ca="1" t="shared" si="26"/>
        <v>-6.22</v>
      </c>
      <c r="R39" s="30">
        <f t="shared" si="9"/>
        <v>0</v>
      </c>
      <c r="S39" s="30">
        <f t="shared" si="10"/>
        <v>0.17364817766693033</v>
      </c>
      <c r="T39" s="30">
        <f t="shared" si="11"/>
        <v>0.984807753012208</v>
      </c>
      <c r="U39" s="30">
        <f t="shared" si="12"/>
        <v>-0.10834637327094243</v>
      </c>
      <c r="V39" s="30">
        <f t="shared" si="13"/>
        <v>0.9790103911821212</v>
      </c>
      <c r="W39" s="30">
        <f t="shared" si="14"/>
        <v>-0.17262594635935663</v>
      </c>
      <c r="X39" s="30">
        <f t="shared" si="15"/>
        <v>0.9941132045189992</v>
      </c>
      <c r="Y39" s="30">
        <f t="shared" si="16"/>
        <v>0.10670034840797878</v>
      </c>
      <c r="Z39" s="30">
        <f t="shared" si="17"/>
        <v>-0.018814150275320164</v>
      </c>
      <c r="AA39" s="45">
        <f t="shared" si="18"/>
        <v>0</v>
      </c>
      <c r="AB39" s="68">
        <f t="shared" si="19"/>
        <v>90</v>
      </c>
      <c r="AC39" s="45">
        <f t="shared" si="20"/>
        <v>0</v>
      </c>
      <c r="AD39" s="68">
        <f t="shared" si="21"/>
        <v>90</v>
      </c>
      <c r="AE39" s="45">
        <f t="shared" si="22"/>
        <v>-8.239936510889834E-18</v>
      </c>
      <c r="AF39" s="68">
        <f t="shared" si="8"/>
        <v>90</v>
      </c>
    </row>
    <row r="40" spans="3:32" ht="12.75">
      <c r="C40" s="18">
        <f ca="1" t="shared" si="24"/>
      </c>
      <c r="D40" s="19" t="str">
        <f ca="1" t="shared" si="24"/>
        <v>SBS1</v>
      </c>
      <c r="E40" s="19" t="str">
        <f ca="1" t="shared" si="24"/>
        <v>Spec</v>
      </c>
      <c r="F40" s="19" t="str">
        <f ca="1" t="shared" si="1"/>
        <v>Hole</v>
      </c>
      <c r="G40" s="20">
        <f ca="1" t="shared" si="2"/>
        <v>39</v>
      </c>
      <c r="H40" s="20">
        <f ca="1" t="shared" si="3"/>
        <v>459</v>
      </c>
      <c r="I40" s="20">
        <f ca="1" t="shared" si="4"/>
        <v>84</v>
      </c>
      <c r="J40" s="20" t="str">
        <f ca="1" t="shared" si="5"/>
        <v>AIR</v>
      </c>
      <c r="K40" s="20">
        <f ca="1" t="shared" si="6"/>
        <v>1</v>
      </c>
      <c r="L40" s="45">
        <f ca="1" t="shared" si="26"/>
        <v>170.856678</v>
      </c>
      <c r="M40" s="45">
        <f ca="1" t="shared" si="26"/>
        <v>-321.398533</v>
      </c>
      <c r="N40" s="45">
        <f ca="1" t="shared" si="26"/>
        <v>-21.12771</v>
      </c>
      <c r="O40" s="45">
        <f ca="1" t="shared" si="26"/>
        <v>1.05E-06</v>
      </c>
      <c r="P40" s="45">
        <f ca="1" t="shared" si="26"/>
        <v>0</v>
      </c>
      <c r="Q40" s="46">
        <f ca="1" t="shared" si="26"/>
        <v>1.05E-06</v>
      </c>
      <c r="R40" s="30">
        <f t="shared" si="9"/>
        <v>0</v>
      </c>
      <c r="S40" s="30">
        <f t="shared" si="10"/>
        <v>1.8325957145940456E-08</v>
      </c>
      <c r="T40" s="30">
        <f t="shared" si="11"/>
        <v>0.9999999999999998</v>
      </c>
      <c r="U40" s="30">
        <f t="shared" si="12"/>
        <v>1.8325957145940456E-08</v>
      </c>
      <c r="V40" s="30">
        <f t="shared" si="13"/>
        <v>0.9999999999999996</v>
      </c>
      <c r="W40" s="30">
        <f t="shared" si="14"/>
        <v>-1.8325957145940453E-08</v>
      </c>
      <c r="X40" s="30">
        <f t="shared" si="15"/>
        <v>0.9999999999999998</v>
      </c>
      <c r="Y40" s="30">
        <f t="shared" si="16"/>
        <v>-1.8325957145940453E-08</v>
      </c>
      <c r="Z40" s="30">
        <f t="shared" si="17"/>
        <v>3.3584070531484604E-16</v>
      </c>
      <c r="AA40" s="45">
        <f t="shared" si="18"/>
        <v>0</v>
      </c>
      <c r="AB40" s="68">
        <f t="shared" si="19"/>
        <v>90</v>
      </c>
      <c r="AC40" s="45">
        <f t="shared" si="20"/>
        <v>0</v>
      </c>
      <c r="AD40" s="68">
        <f t="shared" si="21"/>
        <v>90</v>
      </c>
      <c r="AE40" s="45">
        <f t="shared" si="22"/>
        <v>4.6284252696193715E-25</v>
      </c>
      <c r="AF40" s="68">
        <f t="shared" si="8"/>
        <v>90</v>
      </c>
    </row>
    <row r="41" spans="3:32" ht="12.75">
      <c r="C41" s="18">
        <f ca="1" t="shared" si="24"/>
      </c>
      <c r="D41" s="19" t="str">
        <f ca="1" t="shared" si="24"/>
        <v>SM9B</v>
      </c>
      <c r="E41" s="19" t="str">
        <f ca="1" t="shared" si="24"/>
        <v>Spec</v>
      </c>
      <c r="F41" s="19" t="str">
        <f ca="1" t="shared" si="1"/>
        <v>Mirror</v>
      </c>
      <c r="G41" s="20">
        <f ca="1" t="shared" si="2"/>
        <v>111</v>
      </c>
      <c r="H41" s="20">
        <f ca="1" t="shared" si="3"/>
        <v>531</v>
      </c>
      <c r="I41" s="20">
        <f ca="1" t="shared" si="4"/>
        <v>156</v>
      </c>
      <c r="J41" s="20" t="str">
        <f ca="1" t="shared" si="5"/>
        <v>AIR</v>
      </c>
      <c r="K41" s="20">
        <f ca="1" t="shared" si="6"/>
        <v>1</v>
      </c>
      <c r="L41" s="45">
        <f ca="1" t="shared" si="27" ref="L41:Q49">INDIRECT(System&amp;"Glob!"&amp;INDIRECT(Axe&amp;"col")&amp;FIXED(Line,0))</f>
        <v>170.856678</v>
      </c>
      <c r="M41" s="45">
        <f ca="1" t="shared" si="27"/>
        <v>-407.998533</v>
      </c>
      <c r="N41" s="45">
        <f ca="1" t="shared" si="27"/>
        <v>128.86789</v>
      </c>
      <c r="O41" s="45">
        <f ca="1" t="shared" si="27"/>
        <v>-15</v>
      </c>
      <c r="P41" s="45">
        <f ca="1" t="shared" si="27"/>
        <v>0</v>
      </c>
      <c r="Q41" s="46">
        <f ca="1" t="shared" si="27"/>
        <v>0</v>
      </c>
      <c r="R41" s="30">
        <f t="shared" si="9"/>
        <v>0</v>
      </c>
      <c r="S41" s="30">
        <f t="shared" si="10"/>
        <v>-0.25881904510252074</v>
      </c>
      <c r="T41" s="30">
        <f t="shared" si="11"/>
        <v>0.9659258262890683</v>
      </c>
      <c r="U41" s="30">
        <f t="shared" si="12"/>
        <v>0</v>
      </c>
      <c r="V41" s="30">
        <f t="shared" si="13"/>
        <v>0.9659258262890683</v>
      </c>
      <c r="W41" s="30">
        <f t="shared" si="14"/>
        <v>0.25881904510252074</v>
      </c>
      <c r="X41" s="30">
        <f t="shared" si="15"/>
        <v>1</v>
      </c>
      <c r="Y41" s="30">
        <f t="shared" si="16"/>
        <v>0</v>
      </c>
      <c r="Z41" s="30">
        <f t="shared" si="17"/>
        <v>0</v>
      </c>
      <c r="AA41" s="45">
        <f t="shared" si="18"/>
        <v>0</v>
      </c>
      <c r="AB41" s="68">
        <f t="shared" si="19"/>
        <v>90</v>
      </c>
      <c r="AC41" s="45">
        <f t="shared" si="20"/>
        <v>0</v>
      </c>
      <c r="AD41" s="68">
        <f t="shared" si="21"/>
        <v>90</v>
      </c>
      <c r="AE41" s="45">
        <f t="shared" si="22"/>
        <v>0</v>
      </c>
      <c r="AF41" s="68">
        <f t="shared" si="8"/>
        <v>90</v>
      </c>
    </row>
    <row r="42" spans="3:32" ht="12.75">
      <c r="C42" s="18">
        <f aca="true" ca="1" t="shared" si="28" ref="C42:E49">IF(INDIRECT("SurfaceList!"&amp;ThisCol)="","",INDIRECT("SurfaceList!"&amp;ThisCol))</f>
      </c>
      <c r="D42" s="19" t="str">
        <f ca="1" t="shared" si="28"/>
        <v>SRTB1</v>
      </c>
      <c r="E42" s="19" t="str">
        <f ca="1" t="shared" si="28"/>
        <v>Spec</v>
      </c>
      <c r="F42" s="19" t="str">
        <f ca="1" t="shared" si="1"/>
        <v>Mirror</v>
      </c>
      <c r="G42" s="20">
        <f ca="1" t="shared" si="2"/>
        <v>114</v>
      </c>
      <c r="H42" s="20">
        <f ca="1" t="shared" si="3"/>
        <v>534</v>
      </c>
      <c r="I42" s="20">
        <f ca="1" t="shared" si="4"/>
        <v>159</v>
      </c>
      <c r="J42" s="20" t="e">
        <f ca="1" t="shared" si="5"/>
        <v>#NAME?</v>
      </c>
      <c r="K42" s="20">
        <f ca="1" t="shared" si="6"/>
        <v>-1</v>
      </c>
      <c r="L42" s="45">
        <f ca="1" t="shared" si="27"/>
        <v>170.856678</v>
      </c>
      <c r="M42" s="45">
        <f ca="1" t="shared" si="27"/>
        <v>-407.998533</v>
      </c>
      <c r="N42" s="45">
        <f ca="1" t="shared" si="27"/>
        <v>3.86789</v>
      </c>
      <c r="O42" s="45">
        <f ca="1" t="shared" si="27"/>
        <v>-45</v>
      </c>
      <c r="P42" s="45">
        <f ca="1" t="shared" si="27"/>
        <v>0</v>
      </c>
      <c r="Q42" s="46">
        <f ca="1" t="shared" si="27"/>
        <v>0</v>
      </c>
      <c r="R42" s="30">
        <f t="shared" si="9"/>
        <v>0</v>
      </c>
      <c r="S42" s="30">
        <f t="shared" si="10"/>
        <v>-0.7071067811865475</v>
      </c>
      <c r="T42" s="30">
        <f t="shared" si="11"/>
        <v>0.7071067811865476</v>
      </c>
      <c r="U42" s="30">
        <f t="shared" si="12"/>
        <v>0</v>
      </c>
      <c r="V42" s="30">
        <f t="shared" si="13"/>
        <v>0.7071067811865476</v>
      </c>
      <c r="W42" s="30">
        <f t="shared" si="14"/>
        <v>0.7071067811865475</v>
      </c>
      <c r="X42" s="30">
        <f t="shared" si="15"/>
        <v>1</v>
      </c>
      <c r="Y42" s="30">
        <f t="shared" si="16"/>
        <v>0</v>
      </c>
      <c r="Z42" s="30">
        <f t="shared" si="17"/>
        <v>0</v>
      </c>
      <c r="AA42" s="45">
        <f t="shared" si="18"/>
        <v>0</v>
      </c>
      <c r="AB42" s="68">
        <f t="shared" si="19"/>
        <v>90</v>
      </c>
      <c r="AC42" s="45">
        <f t="shared" si="20"/>
        <v>0</v>
      </c>
      <c r="AD42" s="68">
        <f t="shared" si="21"/>
        <v>90</v>
      </c>
      <c r="AE42" s="45">
        <f t="shared" si="22"/>
        <v>0</v>
      </c>
      <c r="AF42" s="68">
        <f t="shared" si="8"/>
        <v>90</v>
      </c>
    </row>
    <row r="43" spans="3:32" ht="12.75">
      <c r="C43" s="18">
        <f ca="1" t="shared" si="28"/>
      </c>
      <c r="D43" s="19" t="str">
        <f ca="1" t="shared" si="28"/>
        <v>SRTB2</v>
      </c>
      <c r="E43" s="19" t="str">
        <f ca="1" t="shared" si="28"/>
        <v>Spec</v>
      </c>
      <c r="F43" s="19" t="str">
        <f ca="1" t="shared" si="1"/>
        <v>Mirror</v>
      </c>
      <c r="G43" s="20">
        <f ca="1" t="shared" si="2"/>
        <v>119</v>
      </c>
      <c r="H43" s="20">
        <f ca="1" t="shared" si="3"/>
        <v>539</v>
      </c>
      <c r="I43" s="20">
        <f ca="1" t="shared" si="4"/>
        <v>164</v>
      </c>
      <c r="J43" s="20" t="str">
        <f ca="1" t="shared" si="5"/>
        <v>AIR</v>
      </c>
      <c r="K43" s="20">
        <f ca="1" t="shared" si="6"/>
        <v>1</v>
      </c>
      <c r="L43" s="45">
        <f ca="1" t="shared" si="27"/>
        <v>170.856678</v>
      </c>
      <c r="M43" s="45">
        <f ca="1" t="shared" si="27"/>
        <v>-457.998533</v>
      </c>
      <c r="N43" s="45">
        <f ca="1" t="shared" si="27"/>
        <v>3.86789</v>
      </c>
      <c r="O43" s="45">
        <f ca="1" t="shared" si="27"/>
        <v>-135</v>
      </c>
      <c r="P43" s="45">
        <f ca="1" t="shared" si="27"/>
        <v>0</v>
      </c>
      <c r="Q43" s="46">
        <f ca="1" t="shared" si="27"/>
        <v>0</v>
      </c>
      <c r="R43" s="30">
        <f t="shared" si="9"/>
        <v>0</v>
      </c>
      <c r="S43" s="30">
        <f t="shared" si="10"/>
        <v>-0.7071067811865476</v>
      </c>
      <c r="T43" s="30">
        <f t="shared" si="11"/>
        <v>-0.7071067811865475</v>
      </c>
      <c r="U43" s="30">
        <f t="shared" si="12"/>
        <v>0</v>
      </c>
      <c r="V43" s="30">
        <f t="shared" si="13"/>
        <v>-0.7071067811865475</v>
      </c>
      <c r="W43" s="30">
        <f t="shared" si="14"/>
        <v>0.7071067811865476</v>
      </c>
      <c r="X43" s="30">
        <f t="shared" si="15"/>
        <v>1</v>
      </c>
      <c r="Y43" s="30">
        <f t="shared" si="16"/>
        <v>0</v>
      </c>
      <c r="Z43" s="30">
        <f t="shared" si="17"/>
        <v>0</v>
      </c>
      <c r="AA43" s="45">
        <f t="shared" si="18"/>
        <v>0</v>
      </c>
      <c r="AB43" s="68">
        <f t="shared" si="19"/>
        <v>90</v>
      </c>
      <c r="AC43" s="45">
        <f t="shared" si="20"/>
        <v>0</v>
      </c>
      <c r="AD43" s="68">
        <f t="shared" si="21"/>
        <v>90</v>
      </c>
      <c r="AE43" s="45">
        <f t="shared" si="22"/>
        <v>0</v>
      </c>
      <c r="AF43" s="68">
        <f t="shared" si="8"/>
        <v>90</v>
      </c>
    </row>
    <row r="44" spans="3:32" ht="12.75">
      <c r="C44" s="18">
        <f ca="1" t="shared" si="28"/>
      </c>
      <c r="D44" s="19" t="str">
        <f ca="1" t="shared" si="28"/>
        <v>SM10B</v>
      </c>
      <c r="E44" s="19" t="str">
        <f ca="1" t="shared" si="28"/>
        <v>Spec</v>
      </c>
      <c r="F44" s="19" t="str">
        <f ca="1" t="shared" si="1"/>
        <v>Mirror</v>
      </c>
      <c r="G44" s="20">
        <f ca="1" t="shared" si="2"/>
        <v>124</v>
      </c>
      <c r="H44" s="20">
        <f ca="1" t="shared" si="3"/>
        <v>544</v>
      </c>
      <c r="I44" s="20">
        <f ca="1" t="shared" si="4"/>
        <v>169</v>
      </c>
      <c r="J44" s="20" t="e">
        <f ca="1" t="shared" si="5"/>
        <v>#NAME?</v>
      </c>
      <c r="K44" s="20">
        <f ca="1" t="shared" si="6"/>
        <v>-1</v>
      </c>
      <c r="L44" s="45">
        <f ca="1" t="shared" si="27"/>
        <v>170.856678</v>
      </c>
      <c r="M44" s="45">
        <f ca="1" t="shared" si="27"/>
        <v>-457.998533</v>
      </c>
      <c r="N44" s="45">
        <f ca="1" t="shared" si="27"/>
        <v>128.86789</v>
      </c>
      <c r="O44" s="45">
        <f ca="1" t="shared" si="27"/>
        <v>-165</v>
      </c>
      <c r="P44" s="45">
        <f ca="1" t="shared" si="27"/>
        <v>0</v>
      </c>
      <c r="Q44" s="46">
        <f ca="1" t="shared" si="27"/>
        <v>0</v>
      </c>
      <c r="R44" s="30">
        <f t="shared" si="9"/>
        <v>0</v>
      </c>
      <c r="S44" s="30">
        <f t="shared" si="10"/>
        <v>-0.258819045102521</v>
      </c>
      <c r="T44" s="30">
        <f t="shared" si="11"/>
        <v>-0.9659258262890682</v>
      </c>
      <c r="U44" s="30">
        <f t="shared" si="12"/>
        <v>0</v>
      </c>
      <c r="V44" s="30">
        <f t="shared" si="13"/>
        <v>-0.9659258262890682</v>
      </c>
      <c r="W44" s="30">
        <f t="shared" si="14"/>
        <v>0.258819045102521</v>
      </c>
      <c r="X44" s="30">
        <f t="shared" si="15"/>
        <v>1</v>
      </c>
      <c r="Y44" s="30">
        <f t="shared" si="16"/>
        <v>0</v>
      </c>
      <c r="Z44" s="30">
        <f t="shared" si="17"/>
        <v>0</v>
      </c>
      <c r="AA44" s="45">
        <f t="shared" si="18"/>
        <v>0</v>
      </c>
      <c r="AB44" s="68">
        <f t="shared" si="19"/>
        <v>90</v>
      </c>
      <c r="AC44" s="45">
        <f t="shared" si="20"/>
        <v>0</v>
      </c>
      <c r="AD44" s="68">
        <f t="shared" si="21"/>
        <v>90</v>
      </c>
      <c r="AE44" s="45">
        <f t="shared" si="22"/>
        <v>0</v>
      </c>
      <c r="AF44" s="68">
        <f t="shared" si="8"/>
        <v>90</v>
      </c>
    </row>
    <row r="45" spans="3:32" ht="12.75">
      <c r="C45" s="18">
        <f ca="1" t="shared" si="28"/>
      </c>
      <c r="D45" s="19" t="str">
        <f ca="1" t="shared" si="28"/>
        <v>SBS2</v>
      </c>
      <c r="E45" s="19" t="str">
        <f ca="1" t="shared" si="28"/>
        <v>Spec</v>
      </c>
      <c r="F45" s="19" t="str">
        <f ca="1" t="shared" si="1"/>
        <v>Hole</v>
      </c>
      <c r="G45" s="20">
        <f ca="1" t="shared" si="2"/>
        <v>60</v>
      </c>
      <c r="H45" s="20">
        <f ca="1" t="shared" si="3"/>
        <v>480</v>
      </c>
      <c r="I45" s="20">
        <f ca="1" t="shared" si="4"/>
        <v>105</v>
      </c>
      <c r="J45" s="20" t="e">
        <f ca="1" t="shared" si="5"/>
        <v>#NAME?</v>
      </c>
      <c r="K45" s="20">
        <f ca="1" t="shared" si="6"/>
        <v>-1</v>
      </c>
      <c r="L45" s="45">
        <f ca="1" t="shared" si="27"/>
        <v>170.856678</v>
      </c>
      <c r="M45" s="45">
        <f ca="1" t="shared" si="27"/>
        <v>-544.598533</v>
      </c>
      <c r="N45" s="45">
        <f ca="1" t="shared" si="27"/>
        <v>-21.12771</v>
      </c>
      <c r="O45" s="45">
        <f ca="1" t="shared" si="27"/>
        <v>180</v>
      </c>
      <c r="P45" s="45">
        <f ca="1" t="shared" si="27"/>
        <v>0</v>
      </c>
      <c r="Q45" s="46">
        <f ca="1" t="shared" si="27"/>
        <v>1.21E-06</v>
      </c>
      <c r="R45" s="30">
        <f t="shared" si="9"/>
        <v>0</v>
      </c>
      <c r="S45" s="30">
        <f t="shared" si="10"/>
        <v>1.22514845490862E-16</v>
      </c>
      <c r="T45" s="30">
        <f t="shared" si="11"/>
        <v>-1</v>
      </c>
      <c r="U45" s="30">
        <f t="shared" si="12"/>
        <v>2.1118483949131386E-08</v>
      </c>
      <c r="V45" s="30">
        <f t="shared" si="13"/>
        <v>-0.9999999999999998</v>
      </c>
      <c r="W45" s="30">
        <f t="shared" si="14"/>
        <v>-1.2251484549086198E-16</v>
      </c>
      <c r="X45" s="30">
        <f t="shared" si="15"/>
        <v>0.9999999999999998</v>
      </c>
      <c r="Y45" s="30">
        <f t="shared" si="16"/>
        <v>2.1118483949131386E-08</v>
      </c>
      <c r="Z45" s="30">
        <f t="shared" si="17"/>
        <v>2.587327798029081E-24</v>
      </c>
      <c r="AA45" s="45">
        <f t="shared" si="18"/>
        <v>0</v>
      </c>
      <c r="AB45" s="68">
        <f t="shared" si="19"/>
        <v>90</v>
      </c>
      <c r="AC45" s="45">
        <f t="shared" si="20"/>
        <v>0</v>
      </c>
      <c r="AD45" s="68">
        <f t="shared" si="21"/>
        <v>90</v>
      </c>
      <c r="AE45" s="45">
        <f t="shared" si="22"/>
        <v>-3.16986065409745E-40</v>
      </c>
      <c r="AF45" s="68">
        <f t="shared" si="8"/>
        <v>90</v>
      </c>
    </row>
    <row r="46" spans="3:32" ht="12.75">
      <c r="C46" s="18">
        <f ca="1" t="shared" si="28"/>
      </c>
      <c r="D46" s="19" t="str">
        <f ca="1" t="shared" si="28"/>
        <v>SM11B</v>
      </c>
      <c r="E46" s="19" t="str">
        <f ca="1" t="shared" si="28"/>
        <v>Spec</v>
      </c>
      <c r="F46" s="19" t="str">
        <f ca="1" t="shared" si="1"/>
        <v>Mirror</v>
      </c>
      <c r="G46" s="20">
        <f ca="1" t="shared" si="2"/>
        <v>131</v>
      </c>
      <c r="H46" s="20">
        <f ca="1" t="shared" si="3"/>
        <v>551</v>
      </c>
      <c r="I46" s="20">
        <f ca="1" t="shared" si="4"/>
        <v>176</v>
      </c>
      <c r="J46" s="20" t="e">
        <f ca="1" t="shared" si="5"/>
        <v>#NAME?</v>
      </c>
      <c r="K46" s="20">
        <f ca="1" t="shared" si="6"/>
        <v>-1</v>
      </c>
      <c r="L46" s="45">
        <f ca="1" t="shared" si="27"/>
        <v>170.856678</v>
      </c>
      <c r="M46" s="45">
        <f ca="1" t="shared" si="27"/>
        <v>-620.588533</v>
      </c>
      <c r="N46" s="45">
        <f ca="1" t="shared" si="27"/>
        <v>110.490831</v>
      </c>
      <c r="O46" s="45">
        <f ca="1" t="shared" si="27"/>
        <v>170</v>
      </c>
      <c r="P46" s="45">
        <f ca="1" t="shared" si="27"/>
        <v>0</v>
      </c>
      <c r="Q46" s="46">
        <f ca="1" t="shared" si="27"/>
        <v>0</v>
      </c>
      <c r="R46" s="30">
        <f t="shared" si="9"/>
        <v>0</v>
      </c>
      <c r="S46" s="30">
        <f t="shared" si="10"/>
        <v>0.17364817766693028</v>
      </c>
      <c r="T46" s="30">
        <f t="shared" si="11"/>
        <v>-0.984807753012208</v>
      </c>
      <c r="U46" s="30">
        <f t="shared" si="12"/>
        <v>0</v>
      </c>
      <c r="V46" s="30">
        <f t="shared" si="13"/>
        <v>-0.984807753012208</v>
      </c>
      <c r="W46" s="30">
        <f t="shared" si="14"/>
        <v>-0.17364817766693028</v>
      </c>
      <c r="X46" s="30">
        <f t="shared" si="15"/>
        <v>1</v>
      </c>
      <c r="Y46" s="30">
        <f t="shared" si="16"/>
        <v>0</v>
      </c>
      <c r="Z46" s="30">
        <f t="shared" si="17"/>
        <v>0</v>
      </c>
      <c r="AA46" s="30">
        <f t="shared" si="18"/>
        <v>0</v>
      </c>
      <c r="AB46" s="31">
        <f t="shared" si="19"/>
        <v>90</v>
      </c>
      <c r="AC46" s="30">
        <f t="shared" si="20"/>
        <v>0</v>
      </c>
      <c r="AD46" s="31">
        <f t="shared" si="21"/>
        <v>90</v>
      </c>
      <c r="AE46" s="30">
        <f t="shared" si="22"/>
        <v>0</v>
      </c>
      <c r="AF46" s="31">
        <f t="shared" si="8"/>
        <v>90</v>
      </c>
    </row>
    <row r="47" spans="3:32" ht="12.75">
      <c r="C47" s="18">
        <f ca="1" t="shared" si="28"/>
      </c>
      <c r="D47" s="19" t="str">
        <f ca="1" t="shared" si="28"/>
        <v>SM12B</v>
      </c>
      <c r="E47" s="19" t="str">
        <f ca="1" t="shared" si="28"/>
        <v>Spec</v>
      </c>
      <c r="F47" s="19" t="str">
        <f ca="1" t="shared" si="1"/>
        <v>Mirror</v>
      </c>
      <c r="G47" s="20">
        <f ca="1" t="shared" si="2"/>
        <v>136</v>
      </c>
      <c r="H47" s="20">
        <f ca="1" t="shared" si="3"/>
        <v>556</v>
      </c>
      <c r="I47" s="20">
        <f ca="1" t="shared" si="4"/>
        <v>181</v>
      </c>
      <c r="J47" s="20" t="str">
        <f ca="1" t="shared" si="5"/>
        <v>AIR</v>
      </c>
      <c r="K47" s="20">
        <f ca="1" t="shared" si="6"/>
        <v>1</v>
      </c>
      <c r="L47" s="45">
        <f ca="1" t="shared" si="27"/>
        <v>170.856678</v>
      </c>
      <c r="M47" s="45">
        <f ca="1" t="shared" si="27"/>
        <v>-636.663145</v>
      </c>
      <c r="N47" s="45">
        <f ca="1" t="shared" si="27"/>
        <v>19.327177</v>
      </c>
      <c r="O47" s="45">
        <f ca="1" t="shared" si="27"/>
        <v>-170</v>
      </c>
      <c r="P47" s="45">
        <f ca="1" t="shared" si="27"/>
        <v>45</v>
      </c>
      <c r="Q47" s="46">
        <f ca="1" t="shared" si="27"/>
        <v>0</v>
      </c>
      <c r="R47" s="30">
        <f t="shared" si="9"/>
        <v>-0.7071067811865475</v>
      </c>
      <c r="S47" s="30">
        <f t="shared" si="10"/>
        <v>-0.1227878039689728</v>
      </c>
      <c r="T47" s="30">
        <f t="shared" si="11"/>
        <v>-0.696364240320019</v>
      </c>
      <c r="U47" s="30">
        <f t="shared" si="12"/>
        <v>0</v>
      </c>
      <c r="V47" s="30">
        <f t="shared" si="13"/>
        <v>-0.984807753012208</v>
      </c>
      <c r="W47" s="30">
        <f t="shared" si="14"/>
        <v>0.17364817766693028</v>
      </c>
      <c r="X47" s="30">
        <f t="shared" si="15"/>
        <v>0.7071067811865476</v>
      </c>
      <c r="Y47" s="30">
        <f t="shared" si="16"/>
        <v>-0.12278780396897278</v>
      </c>
      <c r="Z47" s="30">
        <f t="shared" si="17"/>
        <v>-0.6963642403200189</v>
      </c>
      <c r="AA47" s="30">
        <f t="shared" si="18"/>
        <v>0</v>
      </c>
      <c r="AB47" s="31">
        <f t="shared" si="19"/>
        <v>90</v>
      </c>
      <c r="AC47" s="30">
        <f t="shared" si="20"/>
        <v>0</v>
      </c>
      <c r="AD47" s="31">
        <f t="shared" si="21"/>
        <v>90</v>
      </c>
      <c r="AE47" s="30">
        <f t="shared" si="22"/>
        <v>0</v>
      </c>
      <c r="AF47" s="31">
        <f t="shared" si="8"/>
        <v>90</v>
      </c>
    </row>
    <row r="48" spans="3:32" ht="12.75">
      <c r="C48" s="18"/>
      <c r="D48" s="19" t="str">
        <f ca="1" t="shared" si="28"/>
        <v>SFLB</v>
      </c>
      <c r="E48" s="19" t="str">
        <f ca="1" t="shared" si="28"/>
        <v>Spec</v>
      </c>
      <c r="F48" s="19" t="str">
        <f ca="1" t="shared" si="1"/>
        <v>Hole</v>
      </c>
      <c r="G48" s="20">
        <f ca="1" t="shared" si="2"/>
        <v>138</v>
      </c>
      <c r="H48" s="20">
        <f ca="1" t="shared" si="3"/>
        <v>558</v>
      </c>
      <c r="I48" s="20">
        <f ca="1" t="shared" si="4"/>
        <v>183</v>
      </c>
      <c r="J48" s="20" t="e">
        <f ca="1" t="shared" si="5"/>
        <v>#NAME?</v>
      </c>
      <c r="K48" s="20">
        <f ca="1" t="shared" si="6"/>
        <v>-1</v>
      </c>
      <c r="L48" s="45">
        <f ca="1" t="shared" si="27"/>
        <v>246.956678</v>
      </c>
      <c r="M48" s="45">
        <f ca="1" t="shared" si="27"/>
        <v>-636.663145</v>
      </c>
      <c r="N48" s="45">
        <f ca="1" t="shared" si="27"/>
        <v>19.327177</v>
      </c>
      <c r="O48" s="45">
        <f ca="1" t="shared" si="27"/>
        <v>-170</v>
      </c>
      <c r="P48" s="45">
        <f ca="1" t="shared" si="27"/>
        <v>90</v>
      </c>
      <c r="Q48" s="46">
        <f ca="1" t="shared" si="27"/>
        <v>0</v>
      </c>
      <c r="R48" s="30">
        <f t="shared" si="9"/>
        <v>-1</v>
      </c>
      <c r="S48" s="30">
        <f t="shared" si="10"/>
        <v>-1.0637239828316857E-17</v>
      </c>
      <c r="T48" s="30">
        <f t="shared" si="11"/>
        <v>-6.032678484924683E-17</v>
      </c>
      <c r="U48" s="30">
        <f t="shared" si="12"/>
        <v>0</v>
      </c>
      <c r="V48" s="30">
        <f t="shared" si="13"/>
        <v>-0.984807753012208</v>
      </c>
      <c r="W48" s="30">
        <f t="shared" si="14"/>
        <v>0.17364817766693028</v>
      </c>
      <c r="X48" s="30">
        <f t="shared" si="15"/>
        <v>6.1257422745431E-17</v>
      </c>
      <c r="Y48" s="30">
        <f t="shared" si="16"/>
        <v>-0.17364817766693028</v>
      </c>
      <c r="Z48" s="30">
        <f t="shared" si="17"/>
        <v>-0.984807753012208</v>
      </c>
      <c r="AA48" s="30">
        <f t="shared" si="18"/>
        <v>0</v>
      </c>
      <c r="AB48" s="31">
        <f t="shared" si="19"/>
        <v>90</v>
      </c>
      <c r="AC48" s="30">
        <f t="shared" si="20"/>
        <v>0</v>
      </c>
      <c r="AD48" s="31">
        <f t="shared" si="21"/>
        <v>90</v>
      </c>
      <c r="AE48" s="30">
        <f t="shared" si="22"/>
        <v>0</v>
      </c>
      <c r="AF48" s="31">
        <f t="shared" si="8"/>
        <v>90</v>
      </c>
    </row>
    <row r="49" spans="3:32" ht="13.5" thickBot="1">
      <c r="C49" s="14">
        <f ca="1" t="shared" si="28"/>
      </c>
      <c r="D49" s="15" t="str">
        <f ca="1" t="shared" si="28"/>
        <v>SLW</v>
      </c>
      <c r="E49" s="15" t="str">
        <f ca="1" t="shared" si="28"/>
        <v>Spec</v>
      </c>
      <c r="F49" s="15" t="str">
        <f ca="1" t="shared" si="1"/>
        <v>Det</v>
      </c>
      <c r="G49" s="16">
        <f ca="1" t="shared" si="2"/>
        <v>140</v>
      </c>
      <c r="H49" s="16">
        <f ca="1" t="shared" si="3"/>
        <v>560</v>
      </c>
      <c r="I49" s="16">
        <f ca="1" t="shared" si="4"/>
        <v>185</v>
      </c>
      <c r="J49" s="16" t="e">
        <f ca="1" t="shared" si="5"/>
        <v>#NAME?</v>
      </c>
      <c r="K49" s="16">
        <f ca="1" t="shared" si="6"/>
        <v>-1</v>
      </c>
      <c r="L49" s="51">
        <f ca="1" t="shared" si="27"/>
        <v>250.856678</v>
      </c>
      <c r="M49" s="51">
        <f ca="1" t="shared" si="27"/>
        <v>-636.663145</v>
      </c>
      <c r="N49" s="51">
        <f ca="1" t="shared" si="27"/>
        <v>19.327177</v>
      </c>
      <c r="O49" s="51">
        <f ca="1" t="shared" si="27"/>
        <v>180</v>
      </c>
      <c r="P49" s="51">
        <f ca="1" t="shared" si="27"/>
        <v>90</v>
      </c>
      <c r="Q49" s="52">
        <f ca="1" t="shared" si="27"/>
        <v>0</v>
      </c>
      <c r="R49" s="30">
        <f t="shared" si="9"/>
        <v>-1</v>
      </c>
      <c r="S49" s="30">
        <f t="shared" si="10"/>
        <v>7.504943682824895E-33</v>
      </c>
      <c r="T49" s="30">
        <f t="shared" si="11"/>
        <v>-6.1257422745431E-17</v>
      </c>
      <c r="U49" s="30">
        <f t="shared" si="12"/>
        <v>0</v>
      </c>
      <c r="V49" s="30">
        <f t="shared" si="13"/>
        <v>-1</v>
      </c>
      <c r="W49" s="30">
        <f t="shared" si="14"/>
        <v>-1.22514845490862E-16</v>
      </c>
      <c r="X49" s="30">
        <f t="shared" si="15"/>
        <v>6.1257422745431E-17</v>
      </c>
      <c r="Y49" s="30">
        <f t="shared" si="16"/>
        <v>1.22514845490862E-16</v>
      </c>
      <c r="Z49" s="30">
        <f t="shared" si="17"/>
        <v>-1</v>
      </c>
      <c r="AA49" s="30">
        <f t="shared" si="18"/>
        <v>0</v>
      </c>
      <c r="AB49" s="31">
        <f t="shared" si="19"/>
        <v>90</v>
      </c>
      <c r="AC49" s="30">
        <f t="shared" si="20"/>
        <v>0</v>
      </c>
      <c r="AD49" s="31">
        <f t="shared" si="21"/>
        <v>90</v>
      </c>
      <c r="AE49" s="30">
        <f t="shared" si="22"/>
        <v>0</v>
      </c>
      <c r="AF49" s="31">
        <f t="shared" si="8"/>
        <v>90</v>
      </c>
    </row>
    <row r="50" spans="1:19" ht="12.75">
      <c r="A50" s="19" t="s">
        <v>442</v>
      </c>
      <c r="E50" s="19"/>
      <c r="F50" s="19"/>
      <c r="L50" s="45" t="s">
        <v>439</v>
      </c>
      <c r="M50" s="45" t="s">
        <v>440</v>
      </c>
      <c r="N50" s="45" t="s">
        <v>441</v>
      </c>
      <c r="O50" s="45" t="s">
        <v>547</v>
      </c>
      <c r="P50" s="45" t="s">
        <v>548</v>
      </c>
      <c r="Q50" s="45" t="s">
        <v>89</v>
      </c>
      <c r="R50" s="59"/>
      <c r="S50" s="59"/>
    </row>
    <row r="51" spans="5:19" ht="12.75">
      <c r="E51" s="19"/>
      <c r="F51" s="19"/>
      <c r="R51" s="59"/>
      <c r="S51" s="59"/>
    </row>
    <row r="52" spans="3:19" ht="12.75">
      <c r="C52" s="23" t="s">
        <v>124</v>
      </c>
      <c r="D52" s="1"/>
      <c r="R52" s="59"/>
      <c r="S52" s="59"/>
    </row>
    <row r="53" spans="3:19" ht="12.75">
      <c r="C53" s="1" t="s">
        <v>14</v>
      </c>
      <c r="D53" s="1" t="str">
        <f>"-Zsyno"</f>
        <v>-Zsyno</v>
      </c>
      <c r="E53" s="1" t="s">
        <v>117</v>
      </c>
      <c r="R53" s="59"/>
      <c r="S53" s="59"/>
    </row>
    <row r="54" spans="3:19" ht="12.75">
      <c r="C54" s="1" t="s">
        <v>69</v>
      </c>
      <c r="D54" s="1" t="s">
        <v>120</v>
      </c>
      <c r="E54" s="1" t="s">
        <v>118</v>
      </c>
      <c r="R54" s="59"/>
      <c r="S54" s="59"/>
    </row>
    <row r="55" spans="3:19" ht="12.75">
      <c r="C55" s="1" t="s">
        <v>70</v>
      </c>
      <c r="D55" s="1" t="s">
        <v>121</v>
      </c>
      <c r="E55" s="1" t="s">
        <v>119</v>
      </c>
      <c r="R55" s="59"/>
      <c r="S55" s="59"/>
    </row>
    <row r="56" spans="5:19" ht="12.75">
      <c r="E56" s="19"/>
      <c r="F56" s="19"/>
      <c r="R56" s="59"/>
      <c r="S56" s="59"/>
    </row>
  </sheetData>
  <printOptions/>
  <pageMargins left="0.43" right="0.24" top="0.984251968503937" bottom="0.984251968503937" header="0.5118110236220472" footer="0.5118110236220472"/>
  <pageSetup fitToHeight="1" fitToWidth="1" horizontalDpi="600" verticalDpi="600" orientation="landscape" paperSize="9" scale="46" r:id="rId1"/>
  <headerFooter alignWithMargins="0">
    <oddHeader>&amp;L&amp;F, &amp;A&amp;R&amp;T, &amp;D</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AA56"/>
  <sheetViews>
    <sheetView workbookViewId="0" topLeftCell="B2">
      <selection activeCell="F2" sqref="F2:F49"/>
    </sheetView>
  </sheetViews>
  <sheetFormatPr defaultColWidth="12" defaultRowHeight="12.75"/>
  <cols>
    <col min="1" max="2" width="12" style="1" customWidth="1"/>
    <col min="3" max="3" width="18.66015625" style="19" customWidth="1"/>
    <col min="4" max="4" width="12" style="19" customWidth="1"/>
    <col min="5" max="6" width="12" style="1" customWidth="1"/>
    <col min="7" max="11" width="12.16015625" style="86" customWidth="1"/>
    <col min="12" max="12" width="17.83203125" style="86" customWidth="1"/>
    <col min="13" max="18" width="12.16015625" style="94" customWidth="1"/>
    <col min="19" max="21" width="10.83203125" style="9" customWidth="1"/>
    <col min="22" max="16384" width="12" style="1" customWidth="1"/>
  </cols>
  <sheetData>
    <row r="1" spans="1:21" s="5" customFormat="1" ht="12.75">
      <c r="A1" s="1" t="s">
        <v>555</v>
      </c>
      <c r="C1" s="25" t="s">
        <v>116</v>
      </c>
      <c r="D1" s="25" t="s">
        <v>2</v>
      </c>
      <c r="E1" s="5" t="s">
        <v>431</v>
      </c>
      <c r="F1" s="5" t="s">
        <v>145</v>
      </c>
      <c r="G1" s="82" t="str">
        <f>Axe&amp;Syst&amp;Ray</f>
        <v>XPhotGut</v>
      </c>
      <c r="H1" s="82" t="str">
        <f aca="true" t="shared" si="0" ref="H1:R1">Axe&amp;Syst&amp;Ray</f>
        <v>YPhotGut</v>
      </c>
      <c r="I1" s="82" t="str">
        <f t="shared" si="0"/>
        <v>ZPhotGut</v>
      </c>
      <c r="J1" s="82" t="str">
        <f t="shared" si="0"/>
        <v>XSpecGut</v>
      </c>
      <c r="K1" s="82" t="str">
        <f t="shared" si="0"/>
        <v>YSpecGut</v>
      </c>
      <c r="L1" s="82" t="str">
        <f t="shared" si="0"/>
        <v>ZSpecGut</v>
      </c>
      <c r="M1" s="82" t="str">
        <f t="shared" si="0"/>
        <v>XCM3Cent</v>
      </c>
      <c r="N1" s="82" t="str">
        <f t="shared" si="0"/>
        <v>YCM3Cent</v>
      </c>
      <c r="O1" s="82" t="str">
        <f t="shared" si="0"/>
        <v>ZCM3Cent</v>
      </c>
      <c r="P1" s="82" t="str">
        <f t="shared" si="0"/>
        <v>XCM5Cent</v>
      </c>
      <c r="Q1" s="82" t="str">
        <f t="shared" si="0"/>
        <v>YCM5Cent</v>
      </c>
      <c r="R1" s="82" t="str">
        <f t="shared" si="0"/>
        <v>ZCM5Cent</v>
      </c>
      <c r="S1" s="7"/>
      <c r="T1" s="7"/>
      <c r="U1" s="7"/>
    </row>
    <row r="2" spans="3:27" ht="13.5" thickBot="1">
      <c r="C2" s="19">
        <f aca="true" ca="1" t="shared" si="1" ref="C2:E21">IF(INDIRECT("SurfaceList!"&amp;ThisCol)="","",INDIRECT("SurfaceList!"&amp;ThisCol))</f>
      </c>
      <c r="D2" s="19" t="str">
        <f ca="1" t="shared" si="1"/>
        <v>Dummy</v>
      </c>
      <c r="E2" s="19" t="str">
        <f ca="1" t="shared" si="1"/>
        <v>Phot</v>
      </c>
      <c r="F2" s="19" t="str">
        <f aca="true" ca="1" t="shared" si="2" ref="F2:F49">IF(INDIRECT("SurfaceList!"&amp;ThisCol)="","",INDIRECT("SurfaceList!"&amp;ThisCol))</f>
        <v>Ignore</v>
      </c>
      <c r="G2" s="9">
        <f aca="true" ca="1" t="shared" si="3" ref="G2:R11">IF(OR(System="Common",System=Syst,Ray="Cent"),INDIRECT(Axe&amp;"0")+INDIRECT(Axe&amp;"fact")*INDIRECT("RayImpactsSyno!"&amp;AxeSyno&amp;Syst&amp;Ray),"")</f>
        <v>3252</v>
      </c>
      <c r="H2" s="9">
        <f ca="1" t="shared" si="3"/>
        <v>0</v>
      </c>
      <c r="I2" s="9">
        <f ca="1" t="shared" si="3"/>
        <v>61.176845</v>
      </c>
      <c r="J2" s="9">
        <f ca="1" t="shared" si="3"/>
      </c>
      <c r="K2" s="9">
        <f ca="1" t="shared" si="3"/>
      </c>
      <c r="L2" s="9">
        <f ca="1" t="shared" si="3"/>
      </c>
      <c r="M2" s="9">
        <f ca="1" t="shared" si="3"/>
        <v>3252.162</v>
      </c>
      <c r="N2" s="9">
        <f ca="1" t="shared" si="3"/>
        <v>12.75945</v>
      </c>
      <c r="O2" s="9">
        <f ca="1" t="shared" si="3"/>
        <v>62.305383</v>
      </c>
      <c r="P2" s="9">
        <f ca="1" t="shared" si="3"/>
        <v>3252.162</v>
      </c>
      <c r="Q2" s="9">
        <f ca="1" t="shared" si="3"/>
        <v>13.817514</v>
      </c>
      <c r="R2" s="9">
        <f ca="1" t="shared" si="3"/>
        <v>60.298241</v>
      </c>
      <c r="V2" s="9"/>
      <c r="W2" s="9"/>
      <c r="X2" s="9"/>
      <c r="Y2" s="9"/>
      <c r="Z2" s="9"/>
      <c r="AA2" s="9"/>
    </row>
    <row r="3" spans="3:27" ht="12.75">
      <c r="C3" s="10" t="str">
        <f ca="1" t="shared" si="1"/>
        <v>Telescope</v>
      </c>
      <c r="D3" s="11" t="str">
        <f ca="1" t="shared" si="1"/>
        <v>M1</v>
      </c>
      <c r="E3" s="11" t="str">
        <f ca="1" t="shared" si="1"/>
        <v>Phot</v>
      </c>
      <c r="F3" s="11" t="str">
        <f ca="1" t="shared" si="2"/>
        <v>Mirror</v>
      </c>
      <c r="G3" s="86">
        <f ca="1" t="shared" si="3"/>
        <v>1252.428903</v>
      </c>
      <c r="H3" s="86">
        <f ca="1" t="shared" si="3"/>
        <v>0</v>
      </c>
      <c r="I3" s="86">
        <f ca="1" t="shared" si="3"/>
        <v>54.793441</v>
      </c>
      <c r="J3" s="86">
        <f ca="1" t="shared" si="3"/>
      </c>
      <c r="K3" s="86">
        <f ca="1" t="shared" si="3"/>
      </c>
      <c r="L3" s="86">
        <f ca="1" t="shared" si="3"/>
      </c>
      <c r="M3" s="86">
        <f ca="1" t="shared" si="3"/>
        <v>1252.625517</v>
      </c>
      <c r="N3" s="86">
        <f ca="1" t="shared" si="3"/>
        <v>11.427923</v>
      </c>
      <c r="O3" s="86">
        <f ca="1" t="shared" si="3"/>
        <v>55.803431</v>
      </c>
      <c r="P3" s="86">
        <f ca="1" t="shared" si="3"/>
        <v>1252.600535</v>
      </c>
      <c r="Q3" s="86">
        <f ca="1" t="shared" si="3"/>
        <v>12.375513</v>
      </c>
      <c r="R3" s="86">
        <f ca="1" t="shared" si="3"/>
        <v>54.005491</v>
      </c>
      <c r="V3" s="9"/>
      <c r="W3" s="9"/>
      <c r="X3" s="9"/>
      <c r="Y3" s="9"/>
      <c r="Z3" s="9"/>
      <c r="AA3" s="9"/>
    </row>
    <row r="4" spans="3:27" ht="13.5" thickBot="1">
      <c r="C4" s="14">
        <f ca="1" t="shared" si="1"/>
      </c>
      <c r="D4" s="15" t="str">
        <f ca="1" t="shared" si="1"/>
        <v>M2</v>
      </c>
      <c r="E4" s="15" t="str">
        <f ca="1" t="shared" si="1"/>
        <v>Phot</v>
      </c>
      <c r="F4" s="15" t="str">
        <f ca="1" t="shared" si="2"/>
        <v>Mirror</v>
      </c>
      <c r="G4" s="86">
        <f ca="1" t="shared" si="3"/>
        <v>2839.998</v>
      </c>
      <c r="H4" s="86">
        <f ca="1" t="shared" si="3"/>
        <v>0</v>
      </c>
      <c r="I4" s="86">
        <f ca="1" t="shared" si="3"/>
        <v>7.11E-15</v>
      </c>
      <c r="J4" s="86">
        <f ca="1" t="shared" si="3"/>
      </c>
      <c r="K4" s="86">
        <f ca="1" t="shared" si="3"/>
      </c>
      <c r="L4" s="86">
        <f ca="1" t="shared" si="3"/>
      </c>
      <c r="M4" s="86">
        <f ca="1" t="shared" si="3"/>
        <v>2840.131</v>
      </c>
      <c r="N4" s="86">
        <f ca="1" t="shared" si="3"/>
        <v>3.55E-15</v>
      </c>
      <c r="O4" s="86">
        <f ca="1" t="shared" si="3"/>
        <v>1.42E-14</v>
      </c>
      <c r="P4" s="86">
        <f ca="1" t="shared" si="3"/>
        <v>2840.131</v>
      </c>
      <c r="Q4" s="86">
        <f ca="1" t="shared" si="3"/>
        <v>1.78E-15</v>
      </c>
      <c r="R4" s="86">
        <f ca="1" t="shared" si="3"/>
        <v>-7.11E-15</v>
      </c>
      <c r="V4" s="9"/>
      <c r="W4" s="9"/>
      <c r="X4" s="9"/>
      <c r="Y4" s="9"/>
      <c r="Z4" s="9"/>
      <c r="AA4" s="9"/>
    </row>
    <row r="5" spans="1:27" ht="12.75">
      <c r="A5" s="23" t="s">
        <v>122</v>
      </c>
      <c r="C5" s="10" t="str">
        <f ca="1" t="shared" si="1"/>
        <v>Common optics</v>
      </c>
      <c r="D5" s="11" t="str">
        <f ca="1" t="shared" si="1"/>
        <v>CFP</v>
      </c>
      <c r="E5" s="11" t="str">
        <f ca="1" t="shared" si="1"/>
        <v>Phot</v>
      </c>
      <c r="F5" s="11" t="str">
        <f ca="1" t="shared" si="2"/>
        <v>Ignore</v>
      </c>
      <c r="G5" s="86">
        <f ca="1" t="shared" si="3"/>
        <v>228.382552</v>
      </c>
      <c r="H5" s="86">
        <f ca="1" t="shared" si="3"/>
        <v>0</v>
      </c>
      <c r="I5" s="86">
        <f ca="1" t="shared" si="3"/>
        <v>-90.137429</v>
      </c>
      <c r="J5" s="86">
        <f ca="1" t="shared" si="3"/>
      </c>
      <c r="K5" s="86">
        <f ca="1" t="shared" si="3"/>
      </c>
      <c r="L5" s="86">
        <f ca="1" t="shared" si="3"/>
      </c>
      <c r="M5" s="86">
        <f ca="1" t="shared" si="3"/>
        <v>230.68079</v>
      </c>
      <c r="N5" s="86">
        <f ca="1" t="shared" si="3"/>
        <v>-18.784562</v>
      </c>
      <c r="O5" s="86">
        <f ca="1" t="shared" si="3"/>
        <v>-91.72647</v>
      </c>
      <c r="P5" s="86">
        <f ca="1" t="shared" si="3"/>
        <v>229.022003</v>
      </c>
      <c r="Q5" s="86">
        <f ca="1" t="shared" si="3"/>
        <v>-20.354767</v>
      </c>
      <c r="R5" s="86">
        <f ca="1" t="shared" si="3"/>
        <v>-88.826152</v>
      </c>
      <c r="V5" s="9"/>
      <c r="W5" s="9"/>
      <c r="X5" s="9"/>
      <c r="Y5" s="9"/>
      <c r="Z5" s="9"/>
      <c r="AA5" s="9"/>
    </row>
    <row r="6" spans="1:27" ht="12.75">
      <c r="A6" s="1" t="s">
        <v>449</v>
      </c>
      <c r="C6" s="18">
        <f ca="1" t="shared" si="1"/>
      </c>
      <c r="D6" s="19" t="str">
        <f ca="1" t="shared" si="1"/>
        <v>CM3</v>
      </c>
      <c r="E6" s="19" t="str">
        <f ca="1" t="shared" si="1"/>
        <v>Phot</v>
      </c>
      <c r="F6" s="19" t="str">
        <f ca="1" t="shared" si="2"/>
        <v>Mirror</v>
      </c>
      <c r="G6" s="86">
        <f ca="1" t="shared" si="3"/>
        <v>131.14166</v>
      </c>
      <c r="H6" s="86">
        <f ca="1" t="shared" si="3"/>
        <v>0</v>
      </c>
      <c r="I6" s="86">
        <f ca="1" t="shared" si="3"/>
        <v>-93.493606</v>
      </c>
      <c r="J6" s="86">
        <f ca="1" t="shared" si="3"/>
      </c>
      <c r="K6" s="86">
        <f ca="1" t="shared" si="3"/>
      </c>
      <c r="L6" s="86">
        <f ca="1" t="shared" si="3"/>
      </c>
      <c r="M6" s="86">
        <f ca="1" t="shared" si="3"/>
        <v>131.229806</v>
      </c>
      <c r="N6" s="86">
        <f ca="1" t="shared" si="3"/>
        <v>-19.500476</v>
      </c>
      <c r="O6" s="86">
        <f ca="1" t="shared" si="3"/>
        <v>-95.222336</v>
      </c>
      <c r="P6" s="86">
        <f ca="1" t="shared" si="3"/>
        <v>132.089046</v>
      </c>
      <c r="Q6" s="86">
        <f ca="1" t="shared" si="3"/>
        <v>-21.110403</v>
      </c>
      <c r="R6" s="86">
        <f ca="1" t="shared" si="3"/>
        <v>-92.123671</v>
      </c>
      <c r="V6" s="9"/>
      <c r="W6" s="9"/>
      <c r="X6" s="9"/>
      <c r="Y6" s="9"/>
      <c r="Z6" s="9"/>
      <c r="AA6" s="9"/>
    </row>
    <row r="7" spans="1:27" ht="12.75">
      <c r="A7" s="1" t="s">
        <v>450</v>
      </c>
      <c r="C7" s="18">
        <f ca="1" t="shared" si="1"/>
      </c>
      <c r="D7" s="19" t="str">
        <f ca="1" t="shared" si="1"/>
        <v>CM4</v>
      </c>
      <c r="E7" s="19" t="str">
        <f ca="1" t="shared" si="1"/>
        <v>Phot</v>
      </c>
      <c r="F7" s="19" t="str">
        <f ca="1" t="shared" si="2"/>
        <v>Mirror</v>
      </c>
      <c r="G7" s="86">
        <f ca="1" t="shared" si="3"/>
        <v>316.125099</v>
      </c>
      <c r="H7" s="86">
        <f ca="1" t="shared" si="3"/>
        <v>0</v>
      </c>
      <c r="I7" s="86">
        <f ca="1" t="shared" si="3"/>
        <v>-200.09386</v>
      </c>
      <c r="J7" s="86">
        <f ca="1" t="shared" si="3"/>
      </c>
      <c r="K7" s="86">
        <f ca="1" t="shared" si="3"/>
      </c>
      <c r="L7" s="86">
        <f ca="1" t="shared" si="3"/>
      </c>
      <c r="M7" s="86">
        <f ca="1" t="shared" si="3"/>
        <v>316.117194</v>
      </c>
      <c r="N7" s="86">
        <f ca="1" t="shared" si="3"/>
        <v>-0.002619</v>
      </c>
      <c r="O7" s="86">
        <f ca="1" t="shared" si="3"/>
        <v>-200.11827</v>
      </c>
      <c r="P7" s="86">
        <f ca="1" t="shared" si="3"/>
        <v>316.115744</v>
      </c>
      <c r="Q7" s="86">
        <f ca="1" t="shared" si="3"/>
        <v>0.00704</v>
      </c>
      <c r="R7" s="86">
        <f ca="1" t="shared" si="3"/>
        <v>-200.122747</v>
      </c>
      <c r="V7" s="9"/>
      <c r="W7" s="9"/>
      <c r="X7" s="9"/>
      <c r="Y7" s="9"/>
      <c r="Z7" s="9"/>
      <c r="AA7" s="9"/>
    </row>
    <row r="8" spans="1:27" ht="13.5" thickBot="1">
      <c r="A8" s="1" t="s">
        <v>451</v>
      </c>
      <c r="C8" s="14">
        <f ca="1" t="shared" si="1"/>
      </c>
      <c r="D8" s="15" t="str">
        <f ca="1" t="shared" si="1"/>
        <v>CM5</v>
      </c>
      <c r="E8" s="15" t="str">
        <f ca="1" t="shared" si="1"/>
        <v>Phot</v>
      </c>
      <c r="F8" s="15" t="str">
        <f ca="1" t="shared" si="2"/>
        <v>Mirror</v>
      </c>
      <c r="G8" s="86">
        <f ca="1" t="shared" si="3"/>
        <v>119.782557</v>
      </c>
      <c r="H8" s="86">
        <f ca="1" t="shared" si="3"/>
        <v>0</v>
      </c>
      <c r="I8" s="86">
        <f ca="1" t="shared" si="3"/>
        <v>-179.688568</v>
      </c>
      <c r="J8" s="86">
        <f ca="1" t="shared" si="3"/>
      </c>
      <c r="K8" s="86">
        <f ca="1" t="shared" si="3"/>
      </c>
      <c r="L8" s="86">
        <f ca="1" t="shared" si="3"/>
      </c>
      <c r="M8" s="86">
        <f ca="1" t="shared" si="3"/>
        <v>120.717899</v>
      </c>
      <c r="N8" s="86">
        <f ca="1" t="shared" si="3"/>
        <v>18.0297</v>
      </c>
      <c r="O8" s="86">
        <f ca="1" t="shared" si="3"/>
        <v>-178.482563</v>
      </c>
      <c r="P8" s="86">
        <f ca="1" t="shared" si="3"/>
        <v>120.054658</v>
      </c>
      <c r="Q8" s="86">
        <f ca="1" t="shared" si="3"/>
        <v>19.499867</v>
      </c>
      <c r="R8" s="86">
        <f ca="1" t="shared" si="3"/>
        <v>-181.314796</v>
      </c>
      <c r="V8" s="9"/>
      <c r="W8" s="9"/>
      <c r="X8" s="9"/>
      <c r="Y8" s="9"/>
      <c r="Z8" s="9"/>
      <c r="AA8" s="9"/>
    </row>
    <row r="9" spans="1:27" ht="12.75">
      <c r="A9" s="23" t="s">
        <v>123</v>
      </c>
      <c r="C9" s="10" t="str">
        <f ca="1" t="shared" si="1"/>
        <v>Photometer optics</v>
      </c>
      <c r="D9" s="11" t="str">
        <f ca="1" t="shared" si="1"/>
        <v>PM6</v>
      </c>
      <c r="E9" s="11" t="str">
        <f ca="1" t="shared" si="1"/>
        <v>Phot</v>
      </c>
      <c r="F9" s="11" t="str">
        <f ca="1" t="shared" si="2"/>
        <v>Mirror</v>
      </c>
      <c r="G9" s="86">
        <f ca="1" t="shared" si="3"/>
        <v>296.15067</v>
      </c>
      <c r="H9" s="86">
        <f ca="1" t="shared" si="3"/>
        <v>0</v>
      </c>
      <c r="I9" s="86">
        <f ca="1" t="shared" si="3"/>
        <v>-259.533208</v>
      </c>
      <c r="J9" s="86">
        <f ca="1" t="shared" si="3"/>
      </c>
      <c r="K9" s="86">
        <f ca="1" t="shared" si="3"/>
      </c>
      <c r="L9" s="86">
        <f ca="1" t="shared" si="3"/>
      </c>
      <c r="M9" s="86">
        <f ca="1" t="shared" si="3"/>
        <v>296.485541</v>
      </c>
      <c r="N9" s="86">
        <f ca="1" t="shared" si="3"/>
        <v>10.973657</v>
      </c>
      <c r="O9" s="86">
        <f ca="1" t="shared" si="3"/>
        <v>-258.542261</v>
      </c>
      <c r="P9" s="86">
        <f ca="1" t="shared" si="3"/>
        <v>296.20107</v>
      </c>
      <c r="Q9" s="86">
        <f ca="1" t="shared" si="3"/>
        <v>11.832463</v>
      </c>
      <c r="R9" s="86">
        <f ca="1" t="shared" si="3"/>
        <v>-260.433321</v>
      </c>
      <c r="V9" s="9"/>
      <c r="W9" s="9"/>
      <c r="X9" s="9"/>
      <c r="Y9" s="9"/>
      <c r="Z9" s="9"/>
      <c r="AA9" s="9"/>
    </row>
    <row r="10" spans="1:27" ht="12.75">
      <c r="A10" s="22" t="s">
        <v>99</v>
      </c>
      <c r="B10" s="22">
        <v>202</v>
      </c>
      <c r="C10" s="18">
        <f ca="1" t="shared" si="1"/>
      </c>
      <c r="D10" s="19" t="str">
        <f ca="1" t="shared" si="1"/>
        <v>PM7</v>
      </c>
      <c r="E10" s="19" t="str">
        <f ca="1" t="shared" si="1"/>
        <v>Phot</v>
      </c>
      <c r="F10" s="19" t="str">
        <f ca="1" t="shared" si="2"/>
        <v>Mirror</v>
      </c>
      <c r="G10" s="86">
        <f ca="1" t="shared" si="3"/>
        <v>94.234236</v>
      </c>
      <c r="H10" s="86">
        <f ca="1" t="shared" si="3"/>
        <v>0</v>
      </c>
      <c r="I10" s="86">
        <f ca="1" t="shared" si="3"/>
        <v>-279.481485</v>
      </c>
      <c r="J10" s="86">
        <f ca="1" t="shared" si="3"/>
      </c>
      <c r="K10" s="86">
        <f ca="1" t="shared" si="3"/>
      </c>
      <c r="L10" s="86">
        <f ca="1" t="shared" si="3"/>
      </c>
      <c r="M10" s="86">
        <f ca="1" t="shared" si="3"/>
        <v>95.212653</v>
      </c>
      <c r="N10" s="86">
        <f ca="1" t="shared" si="3"/>
        <v>15.521875</v>
      </c>
      <c r="O10" s="86">
        <f ca="1" t="shared" si="3"/>
        <v>-277.506548</v>
      </c>
      <c r="P10" s="86">
        <f ca="1" t="shared" si="3"/>
        <v>94.24581</v>
      </c>
      <c r="Q10" s="86">
        <f ca="1" t="shared" si="3"/>
        <v>16.690589</v>
      </c>
      <c r="R10" s="86">
        <f ca="1" t="shared" si="3"/>
        <v>-280.923961</v>
      </c>
      <c r="V10" s="9"/>
      <c r="W10" s="9"/>
      <c r="X10" s="9"/>
      <c r="Y10" s="9"/>
      <c r="Z10" s="9"/>
      <c r="AA10" s="9"/>
    </row>
    <row r="11" spans="1:27" ht="12.75">
      <c r="A11" s="22" t="s">
        <v>101</v>
      </c>
      <c r="B11" s="22">
        <v>0</v>
      </c>
      <c r="C11" s="18">
        <f ca="1" t="shared" si="1"/>
      </c>
      <c r="D11" s="19" t="str">
        <f ca="1" t="shared" si="1"/>
        <v>PM8</v>
      </c>
      <c r="E11" s="19" t="str">
        <f ca="1" t="shared" si="1"/>
        <v>Phot</v>
      </c>
      <c r="F11" s="19" t="str">
        <f ca="1" t="shared" si="2"/>
        <v>Mirror</v>
      </c>
      <c r="G11" s="86">
        <f ca="1" t="shared" si="3"/>
        <v>240.46633</v>
      </c>
      <c r="H11" s="86">
        <f ca="1" t="shared" si="3"/>
        <v>0</v>
      </c>
      <c r="I11" s="86">
        <f ca="1" t="shared" si="3"/>
        <v>-397.634151</v>
      </c>
      <c r="J11" s="86">
        <f ca="1" t="shared" si="3"/>
      </c>
      <c r="K11" s="86">
        <f ca="1" t="shared" si="3"/>
      </c>
      <c r="L11" s="86">
        <f ca="1" t="shared" si="3"/>
      </c>
      <c r="M11" s="86">
        <f ca="1" t="shared" si="3"/>
        <v>240.450296</v>
      </c>
      <c r="N11" s="86">
        <f ca="1" t="shared" si="3"/>
        <v>3.403216</v>
      </c>
      <c r="O11" s="86">
        <f ca="1" t="shared" si="3"/>
        <v>-397.122812</v>
      </c>
      <c r="P11" s="86">
        <f ca="1" t="shared" si="3"/>
        <v>240.511584</v>
      </c>
      <c r="Q11" s="86">
        <f ca="1" t="shared" si="3"/>
        <v>3.639387</v>
      </c>
      <c r="R11" s="86">
        <f ca="1" t="shared" si="3"/>
        <v>-397.939241</v>
      </c>
      <c r="V11" s="9"/>
      <c r="W11" s="9"/>
      <c r="X11" s="9"/>
      <c r="Y11" s="9"/>
      <c r="Z11" s="9"/>
      <c r="AA11" s="9"/>
    </row>
    <row r="12" spans="1:27" ht="12.75">
      <c r="A12" s="22" t="s">
        <v>103</v>
      </c>
      <c r="B12" s="22">
        <v>0</v>
      </c>
      <c r="C12" s="18">
        <f ca="1" t="shared" si="1"/>
      </c>
      <c r="D12" s="19" t="str">
        <f ca="1" t="shared" si="1"/>
        <v>PCS</v>
      </c>
      <c r="E12" s="19" t="str">
        <f ca="1" t="shared" si="1"/>
        <v>Phot</v>
      </c>
      <c r="F12" s="19" t="str">
        <f ca="1" t="shared" si="2"/>
        <v>Hole</v>
      </c>
      <c r="G12" s="86">
        <f aca="true" ca="1" t="shared" si="4" ref="G12:R21">IF(OR(System="Common",System=Syst,Ray="Cent"),INDIRECT(Axe&amp;"0")+INDIRECT(Axe&amp;"fact")*INDIRECT("RayImpactsSyno!"&amp;AxeSyno&amp;Syst&amp;Ray),"")</f>
        <v>192.86738</v>
      </c>
      <c r="H12" s="86">
        <f ca="1" t="shared" si="4"/>
        <v>0</v>
      </c>
      <c r="I12" s="86">
        <f ca="1" t="shared" si="4"/>
        <v>-448.961193</v>
      </c>
      <c r="J12" s="86">
        <f ca="1" t="shared" si="4"/>
      </c>
      <c r="K12" s="86">
        <f ca="1" t="shared" si="4"/>
      </c>
      <c r="L12" s="86">
        <f ca="1" t="shared" si="4"/>
      </c>
      <c r="M12" s="86">
        <f ca="1" t="shared" si="4"/>
        <v>192.856362</v>
      </c>
      <c r="N12" s="86">
        <f ca="1" t="shared" si="4"/>
        <v>0.087781</v>
      </c>
      <c r="O12" s="86">
        <f ca="1" t="shared" si="4"/>
        <v>-448.950976</v>
      </c>
      <c r="P12" s="86">
        <f ca="1" t="shared" si="4"/>
        <v>192.85285</v>
      </c>
      <c r="Q12" s="86">
        <f ca="1" t="shared" si="4"/>
        <v>0.080828</v>
      </c>
      <c r="R12" s="86">
        <f ca="1" t="shared" si="4"/>
        <v>-448.947719</v>
      </c>
      <c r="V12" s="9"/>
      <c r="W12" s="9"/>
      <c r="X12" s="9"/>
      <c r="Y12" s="9"/>
      <c r="Z12" s="9"/>
      <c r="AA12" s="9"/>
    </row>
    <row r="13" spans="1:27" ht="13.5" thickBot="1">
      <c r="A13" s="22" t="s">
        <v>452</v>
      </c>
      <c r="B13" s="22">
        <v>-1</v>
      </c>
      <c r="C13" s="14">
        <f ca="1" t="shared" si="1"/>
      </c>
      <c r="D13" s="15" t="str">
        <f ca="1" t="shared" si="1"/>
        <v>PM9</v>
      </c>
      <c r="E13" s="15" t="str">
        <f ca="1" t="shared" si="1"/>
        <v>Phot</v>
      </c>
      <c r="F13" s="15" t="str">
        <f ca="1" t="shared" si="2"/>
        <v>Mirror</v>
      </c>
      <c r="G13" s="86">
        <f ca="1" t="shared" si="4"/>
        <v>104.471035</v>
      </c>
      <c r="H13" s="86">
        <f ca="1" t="shared" si="4"/>
        <v>0</v>
      </c>
      <c r="I13" s="86">
        <f ca="1" t="shared" si="4"/>
        <v>-544.281002</v>
      </c>
      <c r="J13" s="86">
        <f ca="1" t="shared" si="4"/>
      </c>
      <c r="K13" s="86">
        <f ca="1" t="shared" si="4"/>
      </c>
      <c r="L13" s="86">
        <f ca="1" t="shared" si="4"/>
      </c>
      <c r="M13" s="86">
        <f ca="1" t="shared" si="4"/>
        <v>104.811354</v>
      </c>
      <c r="N13" s="86">
        <f ca="1" t="shared" si="4"/>
        <v>-6.04551</v>
      </c>
      <c r="O13" s="86">
        <f ca="1" t="shared" si="4"/>
        <v>-544.828974</v>
      </c>
      <c r="P13" s="86">
        <f ca="1" t="shared" si="4"/>
        <v>104.270608</v>
      </c>
      <c r="Q13" s="86">
        <f ca="1" t="shared" si="4"/>
        <v>-6.533386</v>
      </c>
      <c r="R13" s="86">
        <f ca="1" t="shared" si="4"/>
        <v>-543.756057</v>
      </c>
      <c r="V13" s="9"/>
      <c r="W13" s="9"/>
      <c r="X13" s="9"/>
      <c r="Y13" s="9"/>
      <c r="Z13" s="9"/>
      <c r="AA13" s="9"/>
    </row>
    <row r="14" spans="1:27" ht="12.75">
      <c r="A14" s="22" t="s">
        <v>453</v>
      </c>
      <c r="B14" s="22">
        <v>1</v>
      </c>
      <c r="C14" s="10" t="str">
        <f ca="1" t="shared" si="1"/>
        <v>Short wave</v>
      </c>
      <c r="D14" s="11" t="str">
        <f ca="1" t="shared" si="1"/>
        <v>PDIC1</v>
      </c>
      <c r="E14" s="11" t="str">
        <f ca="1" t="shared" si="1"/>
        <v>Phot</v>
      </c>
      <c r="F14" s="11" t="str">
        <f ca="1" t="shared" si="2"/>
        <v>Hole</v>
      </c>
      <c r="G14" s="86">
        <f ca="1" t="shared" si="4"/>
        <v>238.419239</v>
      </c>
      <c r="H14" s="86">
        <f ca="1" t="shared" si="4"/>
        <v>0</v>
      </c>
      <c r="I14" s="86">
        <f ca="1" t="shared" si="4"/>
        <v>-527.45872</v>
      </c>
      <c r="J14" s="86">
        <f ca="1" t="shared" si="4"/>
      </c>
      <c r="K14" s="86">
        <f ca="1" t="shared" si="4"/>
      </c>
      <c r="L14" s="86">
        <f ca="1" t="shared" si="4"/>
      </c>
      <c r="M14" s="86">
        <f ca="1" t="shared" si="4"/>
        <v>238.733246</v>
      </c>
      <c r="N14" s="86">
        <f ca="1" t="shared" si="4"/>
        <v>-8.033705</v>
      </c>
      <c r="O14" s="86">
        <f ca="1" t="shared" si="4"/>
        <v>-528.127272</v>
      </c>
      <c r="P14" s="86">
        <f ca="1" t="shared" si="4"/>
        <v>238.116781</v>
      </c>
      <c r="Q14" s="86">
        <f ca="1" t="shared" si="4"/>
        <v>-8.679048</v>
      </c>
      <c r="R14" s="86">
        <f ca="1" t="shared" si="4"/>
        <v>-526.814757</v>
      </c>
      <c r="V14" s="9"/>
      <c r="W14" s="9"/>
      <c r="X14" s="9"/>
      <c r="Y14" s="9"/>
      <c r="Z14" s="9"/>
      <c r="AA14" s="9"/>
    </row>
    <row r="15" spans="1:27" ht="12.75">
      <c r="A15" s="22" t="s">
        <v>454</v>
      </c>
      <c r="B15" s="22">
        <v>1</v>
      </c>
      <c r="C15" s="18">
        <f ca="1" t="shared" si="1"/>
      </c>
      <c r="D15" s="19" t="str">
        <f ca="1" t="shared" si="1"/>
        <v>PM10</v>
      </c>
      <c r="E15" s="19" t="str">
        <f ca="1" t="shared" si="1"/>
        <v>Phot</v>
      </c>
      <c r="F15" s="19" t="str">
        <f ca="1" t="shared" si="2"/>
        <v>Mirror</v>
      </c>
      <c r="G15" s="86">
        <f ca="1" t="shared" si="4"/>
        <v>139.942078</v>
      </c>
      <c r="H15" s="86">
        <f ca="1" t="shared" si="4"/>
        <v>1.82E-14</v>
      </c>
      <c r="I15" s="86">
        <f ca="1" t="shared" si="4"/>
        <v>-619.802462</v>
      </c>
      <c r="J15" s="86">
        <f ca="1" t="shared" si="4"/>
      </c>
      <c r="K15" s="86">
        <f ca="1" t="shared" si="4"/>
      </c>
      <c r="L15" s="86">
        <f ca="1" t="shared" si="4"/>
      </c>
      <c r="M15" s="86">
        <f ca="1" t="shared" si="4"/>
        <v>133.090238</v>
      </c>
      <c r="N15" s="86">
        <f ca="1" t="shared" si="4"/>
        <v>-10.168951</v>
      </c>
      <c r="O15" s="86">
        <f ca="1" t="shared" si="4"/>
        <v>-627.36187</v>
      </c>
      <c r="P15" s="86">
        <f ca="1" t="shared" si="4"/>
        <v>131.35487999999998</v>
      </c>
      <c r="Q15" s="86">
        <f ca="1" t="shared" si="4"/>
        <v>-11.004597</v>
      </c>
      <c r="R15" s="86">
        <f ca="1" t="shared" si="4"/>
        <v>-626.732892</v>
      </c>
      <c r="V15" s="9"/>
      <c r="W15" s="9"/>
      <c r="X15" s="9"/>
      <c r="Y15" s="9"/>
      <c r="Z15" s="9"/>
      <c r="AA15" s="9"/>
    </row>
    <row r="16" spans="3:27" ht="13.5" thickBot="1">
      <c r="C16" s="14">
        <f ca="1" t="shared" si="1"/>
      </c>
      <c r="D16" s="15" t="str">
        <f ca="1" t="shared" si="1"/>
        <v>PSW</v>
      </c>
      <c r="E16" s="15" t="str">
        <f ca="1" t="shared" si="1"/>
        <v>Phot</v>
      </c>
      <c r="F16" s="15" t="str">
        <f ca="1" t="shared" si="2"/>
        <v>Det</v>
      </c>
      <c r="G16" s="86">
        <f ca="1" t="shared" si="4"/>
        <v>139.942327</v>
      </c>
      <c r="H16" s="86">
        <f ca="1" t="shared" si="4"/>
        <v>-50</v>
      </c>
      <c r="I16" s="86">
        <f ca="1" t="shared" si="4"/>
        <v>-619.802728</v>
      </c>
      <c r="J16" s="86">
        <f ca="1" t="shared" si="4"/>
      </c>
      <c r="K16" s="86">
        <f ca="1" t="shared" si="4"/>
      </c>
      <c r="L16" s="86">
        <f ca="1" t="shared" si="4"/>
      </c>
      <c r="M16" s="86">
        <f ca="1" t="shared" si="4"/>
        <v>132.68589</v>
      </c>
      <c r="N16" s="86">
        <f ca="1" t="shared" si="4"/>
        <v>-50</v>
      </c>
      <c r="O16" s="86">
        <f ca="1" t="shared" si="4"/>
        <v>-627.788504</v>
      </c>
      <c r="P16" s="86">
        <f ca="1" t="shared" si="4"/>
        <v>130.876814</v>
      </c>
      <c r="Q16" s="86">
        <f ca="1" t="shared" si="4"/>
        <v>-50</v>
      </c>
      <c r="R16" s="86">
        <f ca="1" t="shared" si="4"/>
        <v>-627.129735</v>
      </c>
      <c r="V16" s="9"/>
      <c r="W16" s="9"/>
      <c r="X16" s="9"/>
      <c r="Y16" s="9"/>
      <c r="Z16" s="9"/>
      <c r="AA16" s="9"/>
    </row>
    <row r="17" spans="3:27" ht="13.5" thickBot="1">
      <c r="C17" s="19">
        <f ca="1" t="shared" si="1"/>
      </c>
      <c r="D17" s="19" t="str">
        <f ca="1" t="shared" si="1"/>
        <v>PDIC1</v>
      </c>
      <c r="E17" s="1" t="str">
        <f ca="1" t="shared" si="1"/>
        <v>Phot</v>
      </c>
      <c r="F17" s="1" t="str">
        <f ca="1" t="shared" si="2"/>
        <v>Ignore</v>
      </c>
      <c r="G17" s="86">
        <f ca="1" t="shared" si="4"/>
        <v>238.419239</v>
      </c>
      <c r="H17" s="86">
        <f ca="1" t="shared" si="4"/>
        <v>0</v>
      </c>
      <c r="I17" s="86">
        <f ca="1" t="shared" si="4"/>
        <v>-527.45872</v>
      </c>
      <c r="J17" s="86">
        <f ca="1" t="shared" si="4"/>
      </c>
      <c r="K17" s="86">
        <f ca="1" t="shared" si="4"/>
      </c>
      <c r="L17" s="86">
        <f ca="1" t="shared" si="4"/>
      </c>
      <c r="M17" s="86">
        <f ca="1" t="shared" si="4"/>
        <v>238.733246</v>
      </c>
      <c r="N17" s="86">
        <f ca="1" t="shared" si="4"/>
        <v>-8.033705</v>
      </c>
      <c r="O17" s="86">
        <f ca="1" t="shared" si="4"/>
        <v>-528.127272</v>
      </c>
      <c r="P17" s="86">
        <f ca="1" t="shared" si="4"/>
        <v>238.116781</v>
      </c>
      <c r="Q17" s="86">
        <f ca="1" t="shared" si="4"/>
        <v>-8.679048</v>
      </c>
      <c r="R17" s="86">
        <f ca="1" t="shared" si="4"/>
        <v>-526.814757</v>
      </c>
      <c r="V17" s="9"/>
      <c r="W17" s="9"/>
      <c r="X17" s="9"/>
      <c r="Y17" s="9"/>
      <c r="Z17" s="9"/>
      <c r="AA17" s="9"/>
    </row>
    <row r="18" spans="3:27" ht="12.75">
      <c r="C18" s="10" t="str">
        <f ca="1" t="shared" si="1"/>
        <v>Medium wave</v>
      </c>
      <c r="D18" s="11" t="str">
        <f ca="1" t="shared" si="1"/>
        <v>PDIC2</v>
      </c>
      <c r="E18" s="11" t="str">
        <f ca="1" t="shared" si="1"/>
        <v>Phot</v>
      </c>
      <c r="F18" s="11" t="str">
        <f ca="1" t="shared" si="2"/>
        <v>Hole</v>
      </c>
      <c r="G18" s="86">
        <f ca="1" t="shared" si="4"/>
        <v>337.640264</v>
      </c>
      <c r="H18" s="86">
        <f ca="1" t="shared" si="4"/>
        <v>-4.41E-16</v>
      </c>
      <c r="I18" s="86">
        <f ca="1" t="shared" si="4"/>
        <v>-514.997754</v>
      </c>
      <c r="J18" s="86">
        <f ca="1" t="shared" si="4"/>
      </c>
      <c r="K18" s="86">
        <f ca="1" t="shared" si="4"/>
      </c>
      <c r="L18" s="86">
        <f ca="1" t="shared" si="4"/>
      </c>
      <c r="M18" s="86">
        <f ca="1" t="shared" si="4"/>
        <v>342.166446</v>
      </c>
      <c r="N18" s="86">
        <f ca="1" t="shared" si="4"/>
        <v>-9.569267</v>
      </c>
      <c r="O18" s="86">
        <f ca="1" t="shared" si="4"/>
        <v>-515.227885</v>
      </c>
      <c r="P18" s="86">
        <f ca="1" t="shared" si="4"/>
        <v>342.331781</v>
      </c>
      <c r="Q18" s="86">
        <f ca="1" t="shared" si="4"/>
        <v>-10.349698</v>
      </c>
      <c r="R18" s="86">
        <f ca="1" t="shared" si="4"/>
        <v>-513.62396</v>
      </c>
      <c r="V18" s="9"/>
      <c r="W18" s="9"/>
      <c r="X18" s="9"/>
      <c r="Y18" s="9"/>
      <c r="Z18" s="9"/>
      <c r="AA18" s="9"/>
    </row>
    <row r="19" spans="3:27" ht="13.5" thickBot="1">
      <c r="C19" s="14">
        <f ca="1" t="shared" si="1"/>
      </c>
      <c r="D19" s="15" t="str">
        <f ca="1" t="shared" si="1"/>
        <v>PMW</v>
      </c>
      <c r="E19" s="15" t="str">
        <f ca="1" t="shared" si="1"/>
        <v>Phot</v>
      </c>
      <c r="F19" s="15" t="str">
        <f ca="1" t="shared" si="2"/>
        <v>Det</v>
      </c>
      <c r="G19" s="86">
        <f ca="1" t="shared" si="4"/>
        <v>283.429289</v>
      </c>
      <c r="H19" s="86">
        <f ca="1" t="shared" si="4"/>
        <v>-65.113778</v>
      </c>
      <c r="I19" s="86">
        <f ca="1" t="shared" si="4"/>
        <v>-521.807023</v>
      </c>
      <c r="J19" s="86">
        <f ca="1" t="shared" si="4"/>
      </c>
      <c r="K19" s="86">
        <f ca="1" t="shared" si="4"/>
      </c>
      <c r="L19" s="86">
        <f ca="1" t="shared" si="4"/>
      </c>
      <c r="M19" s="86">
        <f ca="1" t="shared" si="4"/>
        <v>291.711826</v>
      </c>
      <c r="N19" s="86">
        <f ca="1" t="shared" si="4"/>
        <v>-72.027431</v>
      </c>
      <c r="O19" s="86">
        <f ca="1" t="shared" si="4"/>
        <v>-521.635326</v>
      </c>
      <c r="P19" s="86">
        <f ca="1" t="shared" si="4"/>
        <v>292.158272</v>
      </c>
      <c r="Q19" s="86">
        <f ca="1" t="shared" si="4"/>
        <v>-72.58604</v>
      </c>
      <c r="R19" s="86">
        <f ca="1" t="shared" si="4"/>
        <v>-519.847765</v>
      </c>
      <c r="V19" s="9"/>
      <c r="W19" s="9"/>
      <c r="X19" s="9"/>
      <c r="Y19" s="9"/>
      <c r="Z19" s="9"/>
      <c r="AA19" s="9"/>
    </row>
    <row r="20" spans="3:27" ht="13.5" thickBot="1">
      <c r="C20" s="19">
        <f ca="1" t="shared" si="1"/>
      </c>
      <c r="D20" s="19" t="str">
        <f ca="1" t="shared" si="1"/>
        <v>PDIC2</v>
      </c>
      <c r="E20" s="1" t="str">
        <f ca="1" t="shared" si="1"/>
        <v>Phot</v>
      </c>
      <c r="F20" s="1" t="str">
        <f ca="1" t="shared" si="2"/>
        <v>Ignore</v>
      </c>
      <c r="G20" s="86">
        <f ca="1" t="shared" si="4"/>
        <v>337.640264</v>
      </c>
      <c r="H20" s="86">
        <f ca="1" t="shared" si="4"/>
        <v>-4.41E-16</v>
      </c>
      <c r="I20" s="86">
        <f ca="1" t="shared" si="4"/>
        <v>-514.997754</v>
      </c>
      <c r="J20" s="86">
        <f ca="1" t="shared" si="4"/>
      </c>
      <c r="K20" s="86">
        <f ca="1" t="shared" si="4"/>
      </c>
      <c r="L20" s="86">
        <f ca="1" t="shared" si="4"/>
      </c>
      <c r="M20" s="86">
        <f ca="1" t="shared" si="4"/>
        <v>342.166446</v>
      </c>
      <c r="N20" s="86">
        <f ca="1" t="shared" si="4"/>
        <v>-9.569267</v>
      </c>
      <c r="O20" s="86">
        <f ca="1" t="shared" si="4"/>
        <v>-515.227885</v>
      </c>
      <c r="P20" s="86">
        <f ca="1" t="shared" si="4"/>
        <v>342.331781</v>
      </c>
      <c r="Q20" s="86">
        <f ca="1" t="shared" si="4"/>
        <v>-10.349698</v>
      </c>
      <c r="R20" s="86">
        <f ca="1" t="shared" si="4"/>
        <v>-513.62396</v>
      </c>
      <c r="V20" s="9"/>
      <c r="W20" s="9"/>
      <c r="X20" s="9"/>
      <c r="Y20" s="9"/>
      <c r="Z20" s="9"/>
      <c r="AA20" s="9"/>
    </row>
    <row r="21" spans="3:27" ht="12.75">
      <c r="C21" s="10" t="str">
        <f ca="1" t="shared" si="1"/>
        <v>Long wave</v>
      </c>
      <c r="D21" s="11" t="str">
        <f ca="1" t="shared" si="1"/>
        <v>PM11</v>
      </c>
      <c r="E21" s="11" t="str">
        <f ca="1" t="shared" si="1"/>
        <v>Phot</v>
      </c>
      <c r="F21" s="11" t="str">
        <f ca="1" t="shared" si="2"/>
        <v>Mirror</v>
      </c>
      <c r="G21" s="86">
        <f ca="1" t="shared" si="4"/>
        <v>381.297659</v>
      </c>
      <c r="H21" s="86">
        <f ca="1" t="shared" si="4"/>
        <v>-4.78E-15</v>
      </c>
      <c r="I21" s="86">
        <f ca="1" t="shared" si="4"/>
        <v>-509.514911</v>
      </c>
      <c r="J21" s="86">
        <f ca="1" t="shared" si="4"/>
      </c>
      <c r="K21" s="86">
        <f ca="1" t="shared" si="4"/>
      </c>
      <c r="L21" s="86">
        <f ca="1" t="shared" si="4"/>
      </c>
      <c r="M21" s="86">
        <f ca="1" t="shared" si="4"/>
        <v>380.47202</v>
      </c>
      <c r="N21" s="86">
        <f ca="1" t="shared" si="4"/>
        <v>-10.137949</v>
      </c>
      <c r="O21" s="86">
        <f ca="1" t="shared" si="4"/>
        <v>-510.45071</v>
      </c>
      <c r="P21" s="86">
        <f ca="1" t="shared" si="4"/>
        <v>382.11503500000003</v>
      </c>
      <c r="Q21" s="86">
        <f ca="1" t="shared" si="4"/>
        <v>-10.987456</v>
      </c>
      <c r="R21" s="86">
        <f ca="1" t="shared" si="4"/>
        <v>-508.588478</v>
      </c>
      <c r="V21" s="9"/>
      <c r="W21" s="9"/>
      <c r="X21" s="9"/>
      <c r="Y21" s="9"/>
      <c r="Z21" s="9"/>
      <c r="AA21" s="9"/>
    </row>
    <row r="22" spans="3:27" ht="13.5" thickBot="1">
      <c r="C22" s="14">
        <f aca="true" ca="1" t="shared" si="5" ref="C22:E41">IF(INDIRECT("SurfaceList!"&amp;ThisCol)="","",INDIRECT("SurfaceList!"&amp;ThisCol))</f>
      </c>
      <c r="D22" s="15" t="str">
        <f ca="1" t="shared" si="5"/>
        <v>PLW</v>
      </c>
      <c r="E22" s="15" t="str">
        <f ca="1" t="shared" si="5"/>
        <v>Phot</v>
      </c>
      <c r="F22" s="15" t="str">
        <f ca="1" t="shared" si="2"/>
        <v>Det</v>
      </c>
      <c r="G22" s="86">
        <f aca="true" ca="1" t="shared" si="6" ref="G22:R31">IF(OR(System="Common",System=Syst,Ray="Cent"),INDIRECT(Axe&amp;"0")+INDIRECT(Axe&amp;"fact")*INDIRECT("RayImpactsSyno!"&amp;AxeSyno&amp;Syst&amp;Ray),"")</f>
        <v>381.298363</v>
      </c>
      <c r="H22" s="86">
        <f ca="1" t="shared" si="6"/>
        <v>9.28E-15</v>
      </c>
      <c r="I22" s="86">
        <f ca="1" t="shared" si="6"/>
        <v>-468.515249</v>
      </c>
      <c r="J22" s="86">
        <f ca="1" t="shared" si="6"/>
      </c>
      <c r="K22" s="86">
        <f ca="1" t="shared" si="6"/>
      </c>
      <c r="L22" s="86">
        <f ca="1" t="shared" si="6"/>
      </c>
      <c r="M22" s="86">
        <f ca="1" t="shared" si="6"/>
        <v>380.43658300000004</v>
      </c>
      <c r="N22" s="86">
        <f ca="1" t="shared" si="6"/>
        <v>-10.755735</v>
      </c>
      <c r="O22" s="86">
        <f ca="1" t="shared" si="6"/>
        <v>-468.515228</v>
      </c>
      <c r="P22" s="86">
        <f ca="1" t="shared" si="6"/>
        <v>382.154575</v>
      </c>
      <c r="Q22" s="86">
        <f ca="1" t="shared" si="6"/>
        <v>-11.624777</v>
      </c>
      <c r="R22" s="86">
        <f ca="1" t="shared" si="6"/>
        <v>-468.51527</v>
      </c>
      <c r="V22" s="9"/>
      <c r="W22" s="9"/>
      <c r="X22" s="9"/>
      <c r="Y22" s="9"/>
      <c r="Z22" s="9"/>
      <c r="AA22" s="9"/>
    </row>
    <row r="23" spans="3:27" ht="13.5" thickBot="1">
      <c r="C23" s="19">
        <f ca="1" t="shared" si="5"/>
      </c>
      <c r="D23" s="19" t="str">
        <f ca="1" t="shared" si="5"/>
        <v>CM5</v>
      </c>
      <c r="E23" s="19" t="str">
        <f ca="1" t="shared" si="5"/>
        <v>Spec</v>
      </c>
      <c r="F23" s="15" t="str">
        <f ca="1" t="shared" si="2"/>
        <v>Ignore</v>
      </c>
      <c r="G23" s="86">
        <f ca="1" t="shared" si="6"/>
      </c>
      <c r="H23" s="86">
        <f ca="1" t="shared" si="6"/>
      </c>
      <c r="I23" s="86">
        <f ca="1" t="shared" si="6"/>
      </c>
      <c r="J23" s="86">
        <f ca="1" t="shared" si="6"/>
        <v>125.120533</v>
      </c>
      <c r="K23" s="86">
        <f ca="1" t="shared" si="6"/>
        <v>58.001413</v>
      </c>
      <c r="L23" s="86">
        <f ca="1" t="shared" si="6"/>
        <v>-183.378925</v>
      </c>
      <c r="M23" s="86">
        <f ca="1" t="shared" si="6"/>
        <v>120.717899</v>
      </c>
      <c r="N23" s="86">
        <f ca="1" t="shared" si="6"/>
        <v>18.0297</v>
      </c>
      <c r="O23" s="86">
        <f ca="1" t="shared" si="6"/>
        <v>-178.482563</v>
      </c>
      <c r="P23" s="86">
        <f ca="1" t="shared" si="6"/>
        <v>120.054658</v>
      </c>
      <c r="Q23" s="86">
        <f ca="1" t="shared" si="6"/>
        <v>19.499867</v>
      </c>
      <c r="R23" s="86">
        <f ca="1" t="shared" si="6"/>
        <v>-181.314796</v>
      </c>
      <c r="V23" s="9"/>
      <c r="W23" s="9"/>
      <c r="X23" s="9"/>
      <c r="Y23" s="9"/>
      <c r="Z23" s="9"/>
      <c r="AA23" s="9"/>
    </row>
    <row r="24" spans="3:27" ht="12.75">
      <c r="C24" s="10" t="str">
        <f ca="1" t="shared" si="5"/>
        <v>Spectrometer optics</v>
      </c>
      <c r="D24" s="11" t="str">
        <f ca="1" t="shared" si="5"/>
        <v>SM6</v>
      </c>
      <c r="E24" s="11" t="str">
        <f ca="1" t="shared" si="5"/>
        <v>Spec</v>
      </c>
      <c r="F24" s="11" t="str">
        <f ca="1" t="shared" si="2"/>
        <v>Mirror</v>
      </c>
      <c r="G24" s="86">
        <f ca="1" t="shared" si="6"/>
      </c>
      <c r="H24" s="86">
        <f ca="1" t="shared" si="6"/>
      </c>
      <c r="I24" s="86">
        <f ca="1" t="shared" si="6"/>
      </c>
      <c r="J24" s="86">
        <f ca="1" t="shared" si="6"/>
        <v>306.147355</v>
      </c>
      <c r="K24" s="86">
        <f ca="1" t="shared" si="6"/>
        <v>33.819095</v>
      </c>
      <c r="L24" s="86">
        <f ca="1" t="shared" si="6"/>
        <v>-263.977827</v>
      </c>
      <c r="M24" s="86">
        <f ca="1" t="shared" si="6"/>
        <v>95.212653</v>
      </c>
      <c r="N24" s="86">
        <f ca="1" t="shared" si="6"/>
        <v>15.521875</v>
      </c>
      <c r="O24" s="86">
        <f ca="1" t="shared" si="6"/>
        <v>-277.506548</v>
      </c>
      <c r="P24" s="86">
        <f ca="1" t="shared" si="6"/>
        <v>94.24581</v>
      </c>
      <c r="Q24" s="86">
        <f ca="1" t="shared" si="6"/>
        <v>16.690589</v>
      </c>
      <c r="R24" s="86">
        <f ca="1" t="shared" si="6"/>
        <v>-280.923961</v>
      </c>
      <c r="V24" s="9"/>
      <c r="W24" s="9"/>
      <c r="X24" s="9"/>
      <c r="Y24" s="9"/>
      <c r="Z24" s="9"/>
      <c r="AA24" s="9"/>
    </row>
    <row r="25" spans="3:27" ht="12.75">
      <c r="C25" s="18">
        <f ca="1" t="shared" si="5"/>
      </c>
      <c r="D25" s="19" t="str">
        <f ca="1" t="shared" si="5"/>
        <v>SCS</v>
      </c>
      <c r="E25" s="19" t="str">
        <f ca="1" t="shared" si="5"/>
        <v>Spec</v>
      </c>
      <c r="F25" s="19" t="str">
        <f ca="1" t="shared" si="2"/>
        <v>Hole</v>
      </c>
      <c r="G25" s="86">
        <f ca="1" t="shared" si="6"/>
      </c>
      <c r="H25" s="86">
        <f ca="1" t="shared" si="6"/>
      </c>
      <c r="I25" s="86">
        <f ca="1" t="shared" si="6"/>
      </c>
      <c r="J25" s="86">
        <f ca="1" t="shared" si="6"/>
        <v>314.984032</v>
      </c>
      <c r="K25" s="86">
        <f ca="1" t="shared" si="6"/>
        <v>141.695796</v>
      </c>
      <c r="L25" s="86">
        <f ca="1" t="shared" si="6"/>
        <v>-233.044025</v>
      </c>
      <c r="M25" s="86">
        <f ca="1" t="shared" si="6"/>
        <v>192.856362</v>
      </c>
      <c r="N25" s="86">
        <f ca="1" t="shared" si="6"/>
        <v>0.087781</v>
      </c>
      <c r="O25" s="86">
        <f ca="1" t="shared" si="6"/>
        <v>-448.950976</v>
      </c>
      <c r="P25" s="86">
        <f ca="1" t="shared" si="6"/>
        <v>192.85285</v>
      </c>
      <c r="Q25" s="86">
        <f ca="1" t="shared" si="6"/>
        <v>0.080828</v>
      </c>
      <c r="R25" s="86">
        <f ca="1" t="shared" si="6"/>
        <v>-448.947719</v>
      </c>
      <c r="V25" s="9"/>
      <c r="W25" s="9"/>
      <c r="X25" s="9"/>
      <c r="Y25" s="9"/>
      <c r="Z25" s="9"/>
      <c r="AA25" s="9"/>
    </row>
    <row r="26" spans="3:27" ht="12.75">
      <c r="C26" s="18">
        <f ca="1" t="shared" si="5"/>
      </c>
      <c r="D26" s="19" t="str">
        <f ca="1" t="shared" si="5"/>
        <v>SM7</v>
      </c>
      <c r="E26" s="19" t="str">
        <f ca="1" t="shared" si="5"/>
        <v>Spec</v>
      </c>
      <c r="F26" s="19" t="str">
        <f ca="1" t="shared" si="2"/>
        <v>Mirror</v>
      </c>
      <c r="G26" s="86">
        <f ca="1" t="shared" si="6"/>
      </c>
      <c r="H26" s="86">
        <f ca="1" t="shared" si="6"/>
      </c>
      <c r="I26" s="86">
        <f ca="1" t="shared" si="6"/>
      </c>
      <c r="J26" s="86">
        <f ca="1" t="shared" si="6"/>
        <v>317.372966</v>
      </c>
      <c r="K26" s="86">
        <f ca="1" t="shared" si="6"/>
        <v>170.85951</v>
      </c>
      <c r="L26" s="86">
        <f ca="1" t="shared" si="6"/>
        <v>-224.681288</v>
      </c>
      <c r="M26" s="86">
        <f ca="1" t="shared" si="6"/>
        <v>422.085158</v>
      </c>
      <c r="N26" s="86">
        <f ca="1" t="shared" si="6"/>
        <v>-10.755735</v>
      </c>
      <c r="O26" s="86">
        <f ca="1" t="shared" si="6"/>
        <v>-505.261042</v>
      </c>
      <c r="P26" s="86">
        <f ca="1" t="shared" si="6"/>
        <v>421.87106800000004</v>
      </c>
      <c r="Q26" s="86">
        <f ca="1" t="shared" si="6"/>
        <v>-11.624777</v>
      </c>
      <c r="R26" s="86">
        <f ca="1" t="shared" si="6"/>
        <v>-503.556441</v>
      </c>
      <c r="V26" s="9"/>
      <c r="W26" s="9"/>
      <c r="X26" s="9"/>
      <c r="Y26" s="9"/>
      <c r="Z26" s="9"/>
      <c r="AA26" s="9"/>
    </row>
    <row r="27" spans="3:27" ht="13.5" thickBot="1">
      <c r="C27" s="14">
        <f ca="1" t="shared" si="5"/>
      </c>
      <c r="D27" s="15" t="str">
        <f ca="1" t="shared" si="5"/>
        <v>SM8A</v>
      </c>
      <c r="E27" s="15" t="str">
        <f ca="1" t="shared" si="5"/>
        <v>Spec</v>
      </c>
      <c r="F27" s="15" t="str">
        <f ca="1" t="shared" si="2"/>
        <v>Mirror</v>
      </c>
      <c r="G27" s="86">
        <f ca="1" t="shared" si="6"/>
      </c>
      <c r="H27" s="86">
        <f ca="1" t="shared" si="6"/>
      </c>
      <c r="I27" s="86">
        <f ca="1" t="shared" si="6"/>
      </c>
      <c r="J27" s="86">
        <f ca="1" t="shared" si="6"/>
        <v>373.504392</v>
      </c>
      <c r="K27" s="86">
        <f ca="1" t="shared" si="6"/>
        <v>170.860517</v>
      </c>
      <c r="L27" s="86">
        <f ca="1" t="shared" si="6"/>
        <v>-234.578711</v>
      </c>
      <c r="M27" s="86">
        <f ca="1" t="shared" si="6"/>
        <v>133.090238</v>
      </c>
      <c r="N27" s="86">
        <f ca="1" t="shared" si="6"/>
        <v>-10.168951</v>
      </c>
      <c r="O27" s="86">
        <f ca="1" t="shared" si="6"/>
        <v>-627.36187</v>
      </c>
      <c r="P27" s="86">
        <f ca="1" t="shared" si="6"/>
        <v>131.35487999999998</v>
      </c>
      <c r="Q27" s="86">
        <f ca="1" t="shared" si="6"/>
        <v>-11.004597</v>
      </c>
      <c r="R27" s="86">
        <f ca="1" t="shared" si="6"/>
        <v>-626.732892</v>
      </c>
      <c r="V27" s="9"/>
      <c r="W27" s="9"/>
      <c r="X27" s="9"/>
      <c r="Y27" s="9"/>
      <c r="Z27" s="9"/>
      <c r="AA27" s="9"/>
    </row>
    <row r="28" spans="3:27" ht="12.75">
      <c r="C28" s="10" t="str">
        <f ca="1" t="shared" si="5"/>
        <v>Upper arm</v>
      </c>
      <c r="D28" s="11" t="str">
        <f ca="1" t="shared" si="5"/>
        <v>SBS1</v>
      </c>
      <c r="E28" s="11" t="str">
        <f ca="1" t="shared" si="5"/>
        <v>Spec</v>
      </c>
      <c r="F28" s="11" t="str">
        <f ca="1" t="shared" si="2"/>
        <v>Hole</v>
      </c>
      <c r="G28" s="86">
        <f ca="1" t="shared" si="6"/>
      </c>
      <c r="H28" s="86">
        <f ca="1" t="shared" si="6"/>
      </c>
      <c r="I28" s="86">
        <f ca="1" t="shared" si="6"/>
      </c>
      <c r="J28" s="86">
        <f ca="1" t="shared" si="6"/>
        <v>223.12771</v>
      </c>
      <c r="K28" s="86">
        <f ca="1" t="shared" si="6"/>
        <v>170.857397</v>
      </c>
      <c r="L28" s="86">
        <f ca="1" t="shared" si="6"/>
        <v>-321.3983</v>
      </c>
      <c r="M28" s="86">
        <f ca="1" t="shared" si="6"/>
        <v>132.84689400000002</v>
      </c>
      <c r="N28" s="86">
        <f ca="1" t="shared" si="6"/>
        <v>-34.14</v>
      </c>
      <c r="O28" s="86">
        <f ca="1" t="shared" si="6"/>
        <v>-627.618626</v>
      </c>
      <c r="P28" s="86">
        <f ca="1" t="shared" si="6"/>
        <v>131.07125100000002</v>
      </c>
      <c r="Q28" s="86">
        <f ca="1" t="shared" si="6"/>
        <v>-34.14</v>
      </c>
      <c r="R28" s="86">
        <f ca="1" t="shared" si="6"/>
        <v>-626.968333</v>
      </c>
      <c r="V28" s="9"/>
      <c r="W28" s="9"/>
      <c r="X28" s="9"/>
      <c r="Y28" s="9"/>
      <c r="Z28" s="9"/>
      <c r="AA28" s="9"/>
    </row>
    <row r="29" spans="3:27" ht="12.75">
      <c r="C29" s="18">
        <f ca="1" t="shared" si="5"/>
      </c>
      <c r="D29" s="19" t="str">
        <f ca="1" t="shared" si="5"/>
        <v>SM9A</v>
      </c>
      <c r="E29" s="19" t="str">
        <f ca="1" t="shared" si="5"/>
        <v>Spec</v>
      </c>
      <c r="F29" s="19" t="str">
        <f ca="1" t="shared" si="2"/>
        <v>Mirror</v>
      </c>
      <c r="G29" s="86">
        <f ca="1" t="shared" si="6"/>
      </c>
      <c r="H29" s="86">
        <f ca="1" t="shared" si="6"/>
      </c>
      <c r="I29" s="86">
        <f ca="1" t="shared" si="6"/>
      </c>
      <c r="J29" s="86">
        <f ca="1" t="shared" si="6"/>
        <v>373.123463</v>
      </c>
      <c r="K29" s="86">
        <f ca="1" t="shared" si="6"/>
        <v>170.854284</v>
      </c>
      <c r="L29" s="86">
        <f ca="1" t="shared" si="6"/>
        <v>-407.99796</v>
      </c>
      <c r="M29" s="86">
        <f ca="1" t="shared" si="6"/>
        <v>140.50206500000002</v>
      </c>
      <c r="N29" s="86">
        <f ca="1" t="shared" si="6"/>
        <v>-10.019144</v>
      </c>
      <c r="O29" s="86">
        <f ca="1" t="shared" si="6"/>
        <v>-620.399652</v>
      </c>
      <c r="P29" s="86">
        <f ca="1" t="shared" si="6"/>
        <v>139.389571</v>
      </c>
      <c r="Q29" s="86">
        <f ca="1" t="shared" si="6"/>
        <v>-10.829581</v>
      </c>
      <c r="R29" s="86">
        <f ca="1" t="shared" si="6"/>
        <v>-619.213249</v>
      </c>
      <c r="V29" s="9"/>
      <c r="W29" s="9"/>
      <c r="X29" s="9"/>
      <c r="Y29" s="9"/>
      <c r="Z29" s="9"/>
      <c r="AA29" s="9"/>
    </row>
    <row r="30" spans="1:27" ht="12.75">
      <c r="A30" s="23"/>
      <c r="C30" s="18">
        <f ca="1" t="shared" si="5"/>
      </c>
      <c r="D30" s="19" t="str">
        <f ca="1" t="shared" si="5"/>
        <v>SRTA1</v>
      </c>
      <c r="E30" s="19" t="str">
        <f ca="1" t="shared" si="5"/>
        <v>Spec</v>
      </c>
      <c r="F30" s="19" t="str">
        <f ca="1" t="shared" si="2"/>
        <v>Mirror</v>
      </c>
      <c r="G30" s="86">
        <f ca="1" t="shared" si="6"/>
      </c>
      <c r="H30" s="86">
        <f ca="1" t="shared" si="6"/>
      </c>
      <c r="I30" s="86">
        <f ca="1" t="shared" si="6"/>
      </c>
      <c r="J30" s="86">
        <f ca="1" t="shared" si="6"/>
        <v>248.123579</v>
      </c>
      <c r="K30" s="86">
        <f ca="1" t="shared" si="6"/>
        <v>170.854265</v>
      </c>
      <c r="L30" s="86">
        <f ca="1" t="shared" si="6"/>
        <v>-407.998264</v>
      </c>
      <c r="M30" s="86">
        <f ca="1" t="shared" si="6"/>
        <v>342.166446</v>
      </c>
      <c r="N30" s="86">
        <f ca="1" t="shared" si="6"/>
        <v>-9.569267</v>
      </c>
      <c r="O30" s="86">
        <f ca="1" t="shared" si="6"/>
        <v>-515.227885</v>
      </c>
      <c r="P30" s="86">
        <f ca="1" t="shared" si="6"/>
        <v>342.331781</v>
      </c>
      <c r="Q30" s="86">
        <f ca="1" t="shared" si="6"/>
        <v>-10.349698</v>
      </c>
      <c r="R30" s="86">
        <f ca="1" t="shared" si="6"/>
        <v>-513.62396</v>
      </c>
      <c r="V30" s="9"/>
      <c r="W30" s="9"/>
      <c r="X30" s="9"/>
      <c r="Y30" s="9"/>
      <c r="Z30" s="9"/>
      <c r="AA30" s="9"/>
    </row>
    <row r="31" spans="3:27" ht="12.75">
      <c r="C31" s="18">
        <f ca="1" t="shared" si="5"/>
      </c>
      <c r="D31" s="19" t="str">
        <f ca="1" t="shared" si="5"/>
        <v>SRTA2</v>
      </c>
      <c r="E31" s="19" t="str">
        <f ca="1" t="shared" si="5"/>
        <v>Spec</v>
      </c>
      <c r="F31" s="19" t="str">
        <f ca="1" t="shared" si="2"/>
        <v>Mirror</v>
      </c>
      <c r="G31" s="86">
        <f ca="1" t="shared" si="6"/>
      </c>
      <c r="H31" s="86">
        <f ca="1" t="shared" si="6"/>
      </c>
      <c r="I31" s="86">
        <f ca="1" t="shared" si="6"/>
      </c>
      <c r="J31" s="86">
        <f ca="1" t="shared" si="6"/>
        <v>248.123457</v>
      </c>
      <c r="K31" s="86">
        <f ca="1" t="shared" si="6"/>
        <v>170.854258</v>
      </c>
      <c r="L31" s="86">
        <f ca="1" t="shared" si="6"/>
        <v>-457.998681</v>
      </c>
      <c r="M31" s="86">
        <f ca="1" t="shared" si="6"/>
        <v>291.711826</v>
      </c>
      <c r="N31" s="86">
        <f ca="1" t="shared" si="6"/>
        <v>-72.027431</v>
      </c>
      <c r="O31" s="86">
        <f ca="1" t="shared" si="6"/>
        <v>-521.635326</v>
      </c>
      <c r="P31" s="86">
        <f ca="1" t="shared" si="6"/>
        <v>292.158272</v>
      </c>
      <c r="Q31" s="86">
        <f ca="1" t="shared" si="6"/>
        <v>-72.58604</v>
      </c>
      <c r="R31" s="86">
        <f ca="1" t="shared" si="6"/>
        <v>-519.847765</v>
      </c>
      <c r="V31" s="9"/>
      <c r="W31" s="9"/>
      <c r="X31" s="9"/>
      <c r="Y31" s="9"/>
      <c r="Z31" s="9"/>
      <c r="AA31" s="9"/>
    </row>
    <row r="32" spans="3:27" ht="12.75">
      <c r="C32" s="18">
        <f ca="1" t="shared" si="5"/>
      </c>
      <c r="D32" s="19" t="str">
        <f ca="1" t="shared" si="5"/>
        <v>SM10A</v>
      </c>
      <c r="E32" s="19" t="str">
        <f ca="1" t="shared" si="5"/>
        <v>Spec</v>
      </c>
      <c r="F32" s="19" t="str">
        <f ca="1" t="shared" si="2"/>
        <v>Mirror</v>
      </c>
      <c r="G32" s="86">
        <f aca="true" ca="1" t="shared" si="7" ref="G32:R41">IF(OR(System="Common",System=Syst,Ray="Cent"),INDIRECT(Axe&amp;"0")+INDIRECT(Axe&amp;"fact")*INDIRECT("RayImpactsSyno!"&amp;AxeSyno&amp;Syst&amp;Ray),"")</f>
      </c>
      <c r="H32" s="86">
        <f ca="1" t="shared" si="7"/>
      </c>
      <c r="I32" s="86">
        <f ca="1" t="shared" si="7"/>
      </c>
      <c r="J32" s="86">
        <f ca="1" t="shared" si="7"/>
        <v>373.123268</v>
      </c>
      <c r="K32" s="86">
        <f ca="1" t="shared" si="7"/>
        <v>170.854239</v>
      </c>
      <c r="L32" s="86">
        <f ca="1" t="shared" si="7"/>
        <v>-457.998377</v>
      </c>
      <c r="M32" s="86">
        <f ca="1" t="shared" si="7"/>
        <v>337.738523</v>
      </c>
      <c r="N32" s="86">
        <f ca="1" t="shared" si="7"/>
        <v>-9.503531</v>
      </c>
      <c r="O32" s="86">
        <f ca="1" t="shared" si="7"/>
        <v>-515.780101</v>
      </c>
      <c r="P32" s="86">
        <f ca="1" t="shared" si="7"/>
        <v>337.543836</v>
      </c>
      <c r="Q32" s="86">
        <f ca="1" t="shared" si="7"/>
        <v>-10.272944</v>
      </c>
      <c r="R32" s="86">
        <f ca="1" t="shared" si="7"/>
        <v>-514.229985</v>
      </c>
      <c r="V32" s="9"/>
      <c r="W32" s="9"/>
      <c r="X32" s="9"/>
      <c r="Y32" s="9"/>
      <c r="Z32" s="9"/>
      <c r="AA32" s="9"/>
    </row>
    <row r="33" spans="3:27" ht="12.75">
      <c r="C33" s="18">
        <f ca="1" t="shared" si="5"/>
      </c>
      <c r="D33" s="19" t="str">
        <f ca="1" t="shared" si="5"/>
        <v>SBS2</v>
      </c>
      <c r="E33" s="19" t="str">
        <f ca="1" t="shared" si="5"/>
        <v>Spec</v>
      </c>
      <c r="F33" s="19" t="str">
        <f ca="1" t="shared" si="2"/>
        <v>Hole</v>
      </c>
      <c r="G33" s="86">
        <f ca="1" t="shared" si="7"/>
      </c>
      <c r="H33" s="86">
        <f ca="1" t="shared" si="7"/>
      </c>
      <c r="I33" s="86">
        <f ca="1" t="shared" si="7"/>
      </c>
      <c r="J33" s="86">
        <f ca="1" t="shared" si="7"/>
        <v>223.12771</v>
      </c>
      <c r="K33" s="86">
        <f ca="1" t="shared" si="7"/>
        <v>170.857352</v>
      </c>
      <c r="L33" s="86">
        <f ca="1" t="shared" si="7"/>
        <v>-544.598115</v>
      </c>
      <c r="M33" s="86">
        <f ca="1" t="shared" si="7"/>
        <v>380.44417999999996</v>
      </c>
      <c r="N33" s="86">
        <f ca="1" t="shared" si="7"/>
        <v>-10.623296</v>
      </c>
      <c r="O33" s="86">
        <f ca="1" t="shared" si="7"/>
        <v>-477.505228</v>
      </c>
      <c r="P33" s="86">
        <f ca="1" t="shared" si="7"/>
        <v>382.145705</v>
      </c>
      <c r="Q33" s="86">
        <f ca="1" t="shared" si="7"/>
        <v>-11.481801</v>
      </c>
      <c r="R33" s="86">
        <f ca="1" t="shared" si="7"/>
        <v>-477.50527</v>
      </c>
      <c r="V33" s="9"/>
      <c r="W33" s="9"/>
      <c r="X33" s="9"/>
      <c r="Y33" s="9"/>
      <c r="Z33" s="9"/>
      <c r="AA33" s="9"/>
    </row>
    <row r="34" spans="1:27" ht="12.75">
      <c r="A34" s="23"/>
      <c r="C34" s="18">
        <f ca="1" t="shared" si="5"/>
      </c>
      <c r="D34" s="19" t="str">
        <f ca="1" t="shared" si="5"/>
        <v>SM11A</v>
      </c>
      <c r="E34" s="19" t="str">
        <f ca="1" t="shared" si="5"/>
        <v>Spec</v>
      </c>
      <c r="F34" s="19" t="str">
        <f ca="1" t="shared" si="2"/>
        <v>Mirror</v>
      </c>
      <c r="G34" s="86">
        <f ca="1" t="shared" si="7"/>
      </c>
      <c r="H34" s="86">
        <f ca="1" t="shared" si="7"/>
      </c>
      <c r="I34" s="86">
        <f ca="1" t="shared" si="7"/>
      </c>
      <c r="J34" s="86">
        <f ca="1" t="shared" si="7"/>
        <v>354.74635</v>
      </c>
      <c r="K34" s="86">
        <f ca="1" t="shared" si="7"/>
        <v>170.860083</v>
      </c>
      <c r="L34" s="86">
        <f ca="1" t="shared" si="7"/>
        <v>-620.587965</v>
      </c>
      <c r="M34" s="86">
        <f ca="1" t="shared" si="7"/>
        <v>380.43658300000004</v>
      </c>
      <c r="N34" s="86">
        <f ca="1" t="shared" si="7"/>
        <v>-10.755735</v>
      </c>
      <c r="O34" s="86">
        <f ca="1" t="shared" si="7"/>
        <v>-468.515228</v>
      </c>
      <c r="P34" s="86">
        <f ca="1" t="shared" si="7"/>
        <v>382.154575</v>
      </c>
      <c r="Q34" s="86">
        <f ca="1" t="shared" si="7"/>
        <v>-11.624777</v>
      </c>
      <c r="R34" s="86">
        <f ca="1" t="shared" si="7"/>
        <v>-468.51527</v>
      </c>
      <c r="V34" s="9"/>
      <c r="W34" s="9"/>
      <c r="X34" s="9"/>
      <c r="Y34" s="9"/>
      <c r="Z34" s="9"/>
      <c r="AA34" s="9"/>
    </row>
    <row r="35" spans="1:27" ht="12.75">
      <c r="A35" s="22"/>
      <c r="B35" s="22"/>
      <c r="C35" s="18">
        <f ca="1" t="shared" si="5"/>
      </c>
      <c r="D35" s="19" t="str">
        <f ca="1" t="shared" si="5"/>
        <v>SM12A</v>
      </c>
      <c r="E35" s="19" t="str">
        <f ca="1" t="shared" si="5"/>
        <v>Spec</v>
      </c>
      <c r="F35" s="19" t="str">
        <f ca="1" t="shared" si="2"/>
        <v>Mirror</v>
      </c>
      <c r="G35" s="86">
        <f ca="1" t="shared" si="7"/>
      </c>
      <c r="H35" s="86">
        <f ca="1" t="shared" si="7"/>
      </c>
      <c r="I35" s="86">
        <f ca="1" t="shared" si="7"/>
      </c>
      <c r="J35" s="86">
        <f ca="1" t="shared" si="7"/>
        <v>263.581021</v>
      </c>
      <c r="K35" s="86">
        <f ca="1" t="shared" si="7"/>
        <v>170.858259</v>
      </c>
      <c r="L35" s="86">
        <f ca="1" t="shared" si="7"/>
        <v>-636.663312</v>
      </c>
      <c r="M35" s="86">
        <f ca="1" t="shared" si="7"/>
        <v>202</v>
      </c>
      <c r="N35" s="86">
        <f ca="1" t="shared" si="7"/>
        <v>0</v>
      </c>
      <c r="O35" s="86">
        <f ca="1" t="shared" si="7"/>
        <v>0</v>
      </c>
      <c r="P35" s="86">
        <f ca="1" t="shared" si="7"/>
        <v>202</v>
      </c>
      <c r="Q35" s="86">
        <f ca="1" t="shared" si="7"/>
        <v>0</v>
      </c>
      <c r="R35" s="86">
        <f ca="1" t="shared" si="7"/>
        <v>0</v>
      </c>
      <c r="V35" s="9"/>
      <c r="W35" s="9"/>
      <c r="X35" s="9"/>
      <c r="Y35" s="9"/>
      <c r="Z35" s="9"/>
      <c r="AA35" s="9"/>
    </row>
    <row r="36" spans="1:27" ht="12.75">
      <c r="A36" s="22"/>
      <c r="B36" s="22"/>
      <c r="C36" s="18">
        <f ca="1" t="shared" si="5"/>
      </c>
      <c r="D36" s="19" t="str">
        <f ca="1" t="shared" si="5"/>
        <v>SFLA</v>
      </c>
      <c r="E36" s="19" t="str">
        <f ca="1" t="shared" si="5"/>
        <v>Spec</v>
      </c>
      <c r="F36" s="19" t="str">
        <f ca="1" t="shared" si="2"/>
        <v>Hole</v>
      </c>
      <c r="G36" s="86">
        <f ca="1" t="shared" si="7"/>
      </c>
      <c r="H36" s="86">
        <f ca="1" t="shared" si="7"/>
      </c>
      <c r="I36" s="86">
        <f ca="1" t="shared" si="7"/>
      </c>
      <c r="J36" s="86">
        <f ca="1" t="shared" si="7"/>
        <v>263.582353</v>
      </c>
      <c r="K36" s="86">
        <f ca="1" t="shared" si="7"/>
        <v>236.756678</v>
      </c>
      <c r="L36" s="86">
        <f ca="1" t="shared" si="7"/>
        <v>-636.663389</v>
      </c>
      <c r="M36" s="86">
        <f ca="1" t="shared" si="7"/>
        <v>202</v>
      </c>
      <c r="N36" s="86">
        <f ca="1" t="shared" si="7"/>
        <v>0</v>
      </c>
      <c r="O36" s="86">
        <f ca="1" t="shared" si="7"/>
        <v>0</v>
      </c>
      <c r="P36" s="86">
        <f ca="1" t="shared" si="7"/>
        <v>202</v>
      </c>
      <c r="Q36" s="86">
        <f ca="1" t="shared" si="7"/>
        <v>0</v>
      </c>
      <c r="R36" s="86">
        <f ca="1" t="shared" si="7"/>
        <v>0</v>
      </c>
      <c r="V36" s="9"/>
      <c r="W36" s="9"/>
      <c r="X36" s="9"/>
      <c r="Y36" s="9"/>
      <c r="Z36" s="9"/>
      <c r="AA36" s="9"/>
    </row>
    <row r="37" spans="1:27" ht="13.5" thickBot="1">
      <c r="A37" s="22"/>
      <c r="B37" s="22"/>
      <c r="C37" s="14">
        <f ca="1" t="shared" si="5"/>
      </c>
      <c r="D37" s="15" t="str">
        <f ca="1" t="shared" si="5"/>
        <v>SSW</v>
      </c>
      <c r="E37" s="15" t="str">
        <f ca="1" t="shared" si="5"/>
        <v>Spec</v>
      </c>
      <c r="F37" s="15" t="str">
        <f ca="1" t="shared" si="2"/>
        <v>Det</v>
      </c>
      <c r="G37" s="86">
        <f ca="1" t="shared" si="7"/>
      </c>
      <c r="H37" s="86">
        <f ca="1" t="shared" si="7"/>
      </c>
      <c r="I37" s="86">
        <f ca="1" t="shared" si="7"/>
      </c>
      <c r="J37" s="86">
        <f ca="1" t="shared" si="7"/>
        <v>263.582671</v>
      </c>
      <c r="K37" s="86">
        <f ca="1" t="shared" si="7"/>
        <v>250.856678</v>
      </c>
      <c r="L37" s="86">
        <f ca="1" t="shared" si="7"/>
        <v>-636.663366</v>
      </c>
      <c r="M37" s="86">
        <f ca="1" t="shared" si="7"/>
        <v>202</v>
      </c>
      <c r="N37" s="86">
        <f ca="1" t="shared" si="7"/>
        <v>0</v>
      </c>
      <c r="O37" s="86">
        <f ca="1" t="shared" si="7"/>
        <v>0</v>
      </c>
      <c r="P37" s="86">
        <f ca="1" t="shared" si="7"/>
        <v>202</v>
      </c>
      <c r="Q37" s="86">
        <f ca="1" t="shared" si="7"/>
        <v>0</v>
      </c>
      <c r="R37" s="86">
        <f ca="1" t="shared" si="7"/>
        <v>0</v>
      </c>
      <c r="V37" s="9"/>
      <c r="W37" s="9"/>
      <c r="X37" s="9"/>
      <c r="Y37" s="9"/>
      <c r="Z37" s="9"/>
      <c r="AA37" s="9"/>
    </row>
    <row r="38" spans="1:27" ht="12.75">
      <c r="A38" s="23"/>
      <c r="C38" s="10" t="str">
        <f ca="1" t="shared" si="5"/>
        <v>Lower arm</v>
      </c>
      <c r="D38" s="11" t="str">
        <f ca="1" t="shared" si="5"/>
        <v>SCAL</v>
      </c>
      <c r="E38" s="11" t="str">
        <f ca="1" t="shared" si="5"/>
        <v>Spec</v>
      </c>
      <c r="F38" s="11" t="str">
        <f ca="1" t="shared" si="2"/>
        <v>Hole</v>
      </c>
      <c r="G38" s="86">
        <f ca="1" t="shared" si="7"/>
      </c>
      <c r="H38" s="86">
        <f ca="1" t="shared" si="7"/>
      </c>
      <c r="I38" s="86">
        <f ca="1" t="shared" si="7"/>
      </c>
      <c r="J38" s="86">
        <f ca="1" t="shared" si="7"/>
        <v>158.852846</v>
      </c>
      <c r="K38" s="86">
        <f ca="1" t="shared" si="7"/>
        <v>170.858972</v>
      </c>
      <c r="L38" s="86">
        <f ca="1" t="shared" si="7"/>
        <v>-219.396733</v>
      </c>
      <c r="M38" s="86">
        <f ca="1" t="shared" si="7"/>
        <v>202</v>
      </c>
      <c r="N38" s="86">
        <f ca="1" t="shared" si="7"/>
        <v>0</v>
      </c>
      <c r="O38" s="86">
        <f ca="1" t="shared" si="7"/>
        <v>0</v>
      </c>
      <c r="P38" s="86">
        <f ca="1" t="shared" si="7"/>
        <v>202</v>
      </c>
      <c r="Q38" s="86">
        <f ca="1" t="shared" si="7"/>
        <v>0</v>
      </c>
      <c r="R38" s="86">
        <f ca="1" t="shared" si="7"/>
        <v>0</v>
      </c>
      <c r="V38" s="9"/>
      <c r="W38" s="9"/>
      <c r="X38" s="9"/>
      <c r="Y38" s="9"/>
      <c r="Z38" s="9"/>
      <c r="AA38" s="9"/>
    </row>
    <row r="39" spans="3:27" ht="12.75">
      <c r="C39" s="18">
        <f ca="1" t="shared" si="5"/>
      </c>
      <c r="D39" s="19" t="str">
        <f ca="1" t="shared" si="5"/>
        <v>SM8B</v>
      </c>
      <c r="E39" s="19" t="str">
        <f ca="1" t="shared" si="5"/>
        <v>Spec</v>
      </c>
      <c r="F39" s="19" t="str">
        <f ca="1" t="shared" si="2"/>
        <v>Mirror</v>
      </c>
      <c r="G39" s="86">
        <f ca="1" t="shared" si="7"/>
      </c>
      <c r="H39" s="86">
        <f ca="1" t="shared" si="7"/>
      </c>
      <c r="I39" s="86">
        <f ca="1" t="shared" si="7"/>
      </c>
      <c r="J39" s="86">
        <f ca="1" t="shared" si="7"/>
        <v>72.751027</v>
      </c>
      <c r="K39" s="86">
        <f ca="1" t="shared" si="7"/>
        <v>170.860517</v>
      </c>
      <c r="L39" s="86">
        <f ca="1" t="shared" si="7"/>
        <v>-234.578711</v>
      </c>
      <c r="M39" s="86">
        <f ca="1" t="shared" si="7"/>
        <v>202</v>
      </c>
      <c r="N39" s="86">
        <f ca="1" t="shared" si="7"/>
        <v>0</v>
      </c>
      <c r="O39" s="86">
        <f ca="1" t="shared" si="7"/>
        <v>0</v>
      </c>
      <c r="P39" s="86">
        <f ca="1" t="shared" si="7"/>
        <v>202</v>
      </c>
      <c r="Q39" s="86">
        <f ca="1" t="shared" si="7"/>
        <v>0</v>
      </c>
      <c r="R39" s="86">
        <f ca="1" t="shared" si="7"/>
        <v>0</v>
      </c>
      <c r="V39" s="9"/>
      <c r="W39" s="9"/>
      <c r="X39" s="9"/>
      <c r="Y39" s="9"/>
      <c r="Z39" s="9"/>
      <c r="AA39" s="9"/>
    </row>
    <row r="40" spans="3:27" ht="12.75">
      <c r="C40" s="18">
        <f ca="1" t="shared" si="5"/>
      </c>
      <c r="D40" s="19" t="str">
        <f ca="1" t="shared" si="5"/>
        <v>SBS1</v>
      </c>
      <c r="E40" s="19" t="str">
        <f ca="1" t="shared" si="5"/>
        <v>Spec</v>
      </c>
      <c r="F40" s="19" t="str">
        <f ca="1" t="shared" si="2"/>
        <v>Hole</v>
      </c>
      <c r="G40" s="86">
        <f ca="1" t="shared" si="7"/>
      </c>
      <c r="H40" s="86">
        <f ca="1" t="shared" si="7"/>
      </c>
      <c r="I40" s="86">
        <f ca="1" t="shared" si="7"/>
      </c>
      <c r="J40" s="86">
        <f ca="1" t="shared" si="7"/>
        <v>223.12771</v>
      </c>
      <c r="K40" s="86">
        <f ca="1" t="shared" si="7"/>
        <v>170.857397</v>
      </c>
      <c r="L40" s="86">
        <f ca="1" t="shared" si="7"/>
        <v>-321.3983</v>
      </c>
      <c r="M40" s="86">
        <f ca="1" t="shared" si="7"/>
        <v>132.84689400000002</v>
      </c>
      <c r="N40" s="86">
        <f ca="1" t="shared" si="7"/>
        <v>-34.14</v>
      </c>
      <c r="O40" s="86">
        <f ca="1" t="shared" si="7"/>
        <v>-627.618626</v>
      </c>
      <c r="P40" s="86">
        <f ca="1" t="shared" si="7"/>
        <v>131.07125100000002</v>
      </c>
      <c r="Q40" s="86">
        <f ca="1" t="shared" si="7"/>
        <v>-34.14</v>
      </c>
      <c r="R40" s="86">
        <f ca="1" t="shared" si="7"/>
        <v>-626.968333</v>
      </c>
      <c r="V40" s="9"/>
      <c r="W40" s="9"/>
      <c r="X40" s="9"/>
      <c r="Y40" s="9"/>
      <c r="Z40" s="9"/>
      <c r="AA40" s="9"/>
    </row>
    <row r="41" spans="3:27" ht="12.75">
      <c r="C41" s="18">
        <f ca="1" t="shared" si="5"/>
      </c>
      <c r="D41" s="19" t="str">
        <f ca="1" t="shared" si="5"/>
        <v>SM9B</v>
      </c>
      <c r="E41" s="19" t="str">
        <f ca="1" t="shared" si="5"/>
        <v>Spec</v>
      </c>
      <c r="F41" s="19" t="str">
        <f ca="1" t="shared" si="2"/>
        <v>Mirror</v>
      </c>
      <c r="G41" s="86">
        <f ca="1" t="shared" si="7"/>
      </c>
      <c r="H41" s="86">
        <f ca="1" t="shared" si="7"/>
      </c>
      <c r="I41" s="86">
        <f ca="1" t="shared" si="7"/>
      </c>
      <c r="J41" s="86">
        <f ca="1" t="shared" si="7"/>
        <v>73.131956</v>
      </c>
      <c r="K41" s="86">
        <f ca="1" t="shared" si="7"/>
        <v>170.854284</v>
      </c>
      <c r="L41" s="86">
        <f ca="1" t="shared" si="7"/>
        <v>-407.99796</v>
      </c>
      <c r="M41" s="86">
        <f ca="1" t="shared" si="7"/>
        <v>202</v>
      </c>
      <c r="N41" s="86">
        <f ca="1" t="shared" si="7"/>
        <v>0</v>
      </c>
      <c r="O41" s="86">
        <f ca="1" t="shared" si="7"/>
        <v>0</v>
      </c>
      <c r="P41" s="86">
        <f ca="1" t="shared" si="7"/>
        <v>202</v>
      </c>
      <c r="Q41" s="86">
        <f ca="1" t="shared" si="7"/>
        <v>0</v>
      </c>
      <c r="R41" s="86">
        <f ca="1" t="shared" si="7"/>
        <v>0</v>
      </c>
      <c r="V41" s="9"/>
      <c r="W41" s="9"/>
      <c r="X41" s="9"/>
      <c r="Y41" s="9"/>
      <c r="Z41" s="9"/>
      <c r="AA41" s="9"/>
    </row>
    <row r="42" spans="3:27" ht="12.75">
      <c r="C42" s="18">
        <f aca="true" ca="1" t="shared" si="8" ref="C42:E49">IF(INDIRECT("SurfaceList!"&amp;ThisCol)="","",INDIRECT("SurfaceList!"&amp;ThisCol))</f>
      </c>
      <c r="D42" s="19" t="str">
        <f ca="1" t="shared" si="8"/>
        <v>SRTB1</v>
      </c>
      <c r="E42" s="19" t="str">
        <f ca="1" t="shared" si="8"/>
        <v>Spec</v>
      </c>
      <c r="F42" s="19" t="str">
        <f ca="1" t="shared" si="2"/>
        <v>Mirror</v>
      </c>
      <c r="G42" s="86">
        <f aca="true" ca="1" t="shared" si="9" ref="G42:R49">IF(OR(System="Common",System=Syst,Ray="Cent"),INDIRECT(Axe&amp;"0")+INDIRECT(Axe&amp;"fact")*INDIRECT("RayImpactsSyno!"&amp;AxeSyno&amp;Syst&amp;Ray),"")</f>
      </c>
      <c r="H42" s="86">
        <f ca="1" t="shared" si="9"/>
      </c>
      <c r="I42" s="86">
        <f ca="1" t="shared" si="9"/>
      </c>
      <c r="J42" s="86">
        <f ca="1" t="shared" si="9"/>
        <v>198.131841</v>
      </c>
      <c r="K42" s="86">
        <f ca="1" t="shared" si="9"/>
        <v>170.854265</v>
      </c>
      <c r="L42" s="86">
        <f ca="1" t="shared" si="9"/>
        <v>-407.998264</v>
      </c>
      <c r="M42" s="86">
        <f ca="1" t="shared" si="9"/>
        <v>202</v>
      </c>
      <c r="N42" s="86">
        <f ca="1" t="shared" si="9"/>
        <v>0</v>
      </c>
      <c r="O42" s="86">
        <f ca="1" t="shared" si="9"/>
        <v>0</v>
      </c>
      <c r="P42" s="86">
        <f ca="1" t="shared" si="9"/>
        <v>202</v>
      </c>
      <c r="Q42" s="86">
        <f ca="1" t="shared" si="9"/>
        <v>0</v>
      </c>
      <c r="R42" s="86">
        <f ca="1" t="shared" si="9"/>
        <v>0</v>
      </c>
      <c r="V42" s="9"/>
      <c r="W42" s="9"/>
      <c r="X42" s="9"/>
      <c r="Y42" s="9"/>
      <c r="Z42" s="9"/>
      <c r="AA42" s="9"/>
    </row>
    <row r="43" spans="3:27" ht="12.75">
      <c r="C43" s="18">
        <f ca="1" t="shared" si="8"/>
      </c>
      <c r="D43" s="19" t="str">
        <f ca="1" t="shared" si="8"/>
        <v>SRTB2</v>
      </c>
      <c r="E43" s="19" t="str">
        <f ca="1" t="shared" si="8"/>
        <v>Spec</v>
      </c>
      <c r="F43" s="19" t="str">
        <f ca="1" t="shared" si="2"/>
        <v>Mirror</v>
      </c>
      <c r="G43" s="86">
        <f ca="1" t="shared" si="9"/>
      </c>
      <c r="H43" s="86">
        <f ca="1" t="shared" si="9"/>
      </c>
      <c r="I43" s="86">
        <f ca="1" t="shared" si="9"/>
      </c>
      <c r="J43" s="86">
        <f ca="1" t="shared" si="9"/>
        <v>198.131962</v>
      </c>
      <c r="K43" s="86">
        <f ca="1" t="shared" si="9"/>
        <v>170.854258</v>
      </c>
      <c r="L43" s="86">
        <f ca="1" t="shared" si="9"/>
        <v>-457.998681</v>
      </c>
      <c r="M43" s="86">
        <f ca="1" t="shared" si="9"/>
        <v>202</v>
      </c>
      <c r="N43" s="86">
        <f ca="1" t="shared" si="9"/>
        <v>0</v>
      </c>
      <c r="O43" s="86">
        <f ca="1" t="shared" si="9"/>
        <v>0</v>
      </c>
      <c r="P43" s="86">
        <f ca="1" t="shared" si="9"/>
        <v>202</v>
      </c>
      <c r="Q43" s="86">
        <f ca="1" t="shared" si="9"/>
        <v>0</v>
      </c>
      <c r="R43" s="86">
        <f ca="1" t="shared" si="9"/>
        <v>0</v>
      </c>
      <c r="V43" s="9"/>
      <c r="W43" s="9"/>
      <c r="X43" s="9"/>
      <c r="Y43" s="9"/>
      <c r="Z43" s="9"/>
      <c r="AA43" s="9"/>
    </row>
    <row r="44" spans="3:27" ht="12.75">
      <c r="C44" s="18">
        <f ca="1" t="shared" si="8"/>
      </c>
      <c r="D44" s="19" t="str">
        <f ca="1" t="shared" si="8"/>
        <v>SM10B</v>
      </c>
      <c r="E44" s="19" t="str">
        <f ca="1" t="shared" si="8"/>
        <v>Spec</v>
      </c>
      <c r="F44" s="19" t="str">
        <f ca="1" t="shared" si="2"/>
        <v>Mirror</v>
      </c>
      <c r="G44" s="86">
        <f ca="1" t="shared" si="9"/>
      </c>
      <c r="H44" s="86">
        <f ca="1" t="shared" si="9"/>
      </c>
      <c r="I44" s="86">
        <f ca="1" t="shared" si="9"/>
      </c>
      <c r="J44" s="86">
        <f ca="1" t="shared" si="9"/>
        <v>73.13215199999999</v>
      </c>
      <c r="K44" s="86">
        <f ca="1" t="shared" si="9"/>
        <v>170.854239</v>
      </c>
      <c r="L44" s="86">
        <f ca="1" t="shared" si="9"/>
        <v>-457.998377</v>
      </c>
      <c r="M44" s="86">
        <f ca="1" t="shared" si="9"/>
        <v>202</v>
      </c>
      <c r="N44" s="86">
        <f ca="1" t="shared" si="9"/>
        <v>0</v>
      </c>
      <c r="O44" s="86">
        <f ca="1" t="shared" si="9"/>
        <v>0</v>
      </c>
      <c r="P44" s="86">
        <f ca="1" t="shared" si="9"/>
        <v>202</v>
      </c>
      <c r="Q44" s="86">
        <f ca="1" t="shared" si="9"/>
        <v>0</v>
      </c>
      <c r="R44" s="86">
        <f ca="1" t="shared" si="9"/>
        <v>0</v>
      </c>
      <c r="V44" s="9"/>
      <c r="W44" s="9"/>
      <c r="X44" s="9"/>
      <c r="Y44" s="9"/>
      <c r="Z44" s="9"/>
      <c r="AA44" s="9"/>
    </row>
    <row r="45" spans="3:27" ht="12.75">
      <c r="C45" s="18">
        <f ca="1" t="shared" si="8"/>
      </c>
      <c r="D45" s="19" t="str">
        <f ca="1" t="shared" si="8"/>
        <v>SBS2</v>
      </c>
      <c r="E45" s="19" t="str">
        <f ca="1" t="shared" si="8"/>
        <v>Spec</v>
      </c>
      <c r="F45" s="19" t="str">
        <f ca="1" t="shared" si="2"/>
        <v>Hole</v>
      </c>
      <c r="G45" s="86">
        <f ca="1" t="shared" si="9"/>
      </c>
      <c r="H45" s="86">
        <f ca="1" t="shared" si="9"/>
      </c>
      <c r="I45" s="86">
        <f ca="1" t="shared" si="9"/>
      </c>
      <c r="J45" s="86">
        <f ca="1" t="shared" si="9"/>
        <v>223.12771</v>
      </c>
      <c r="K45" s="86">
        <f ca="1" t="shared" si="9"/>
        <v>170.857352</v>
      </c>
      <c r="L45" s="86">
        <f ca="1" t="shared" si="9"/>
        <v>-544.598115</v>
      </c>
      <c r="M45" s="86">
        <f ca="1" t="shared" si="9"/>
        <v>380.44417999999996</v>
      </c>
      <c r="N45" s="86">
        <f ca="1" t="shared" si="9"/>
        <v>-10.623296</v>
      </c>
      <c r="O45" s="86">
        <f ca="1" t="shared" si="9"/>
        <v>-477.505228</v>
      </c>
      <c r="P45" s="86">
        <f ca="1" t="shared" si="9"/>
        <v>382.145705</v>
      </c>
      <c r="Q45" s="86">
        <f ca="1" t="shared" si="9"/>
        <v>-11.481801</v>
      </c>
      <c r="R45" s="86">
        <f ca="1" t="shared" si="9"/>
        <v>-477.50527</v>
      </c>
      <c r="V45" s="9"/>
      <c r="W45" s="9"/>
      <c r="X45" s="9"/>
      <c r="Y45" s="9"/>
      <c r="Z45" s="9"/>
      <c r="AA45" s="9"/>
    </row>
    <row r="46" spans="3:27" ht="12.75">
      <c r="C46" s="18">
        <f ca="1" t="shared" si="8"/>
      </c>
      <c r="D46" s="19" t="str">
        <f ca="1" t="shared" si="8"/>
        <v>SM11B</v>
      </c>
      <c r="E46" s="19" t="str">
        <f ca="1" t="shared" si="8"/>
        <v>Spec</v>
      </c>
      <c r="F46" s="19" t="str">
        <f ca="1" t="shared" si="2"/>
        <v>Mirror</v>
      </c>
      <c r="G46" s="86">
        <f ca="1" t="shared" si="9"/>
      </c>
      <c r="H46" s="86">
        <f ca="1" t="shared" si="9"/>
      </c>
      <c r="I46" s="86">
        <f ca="1" t="shared" si="9"/>
      </c>
      <c r="J46" s="86">
        <f ca="1" t="shared" si="9"/>
        <v>91.509069</v>
      </c>
      <c r="K46" s="86">
        <f ca="1" t="shared" si="9"/>
        <v>170.860083</v>
      </c>
      <c r="L46" s="86">
        <f ca="1" t="shared" si="9"/>
        <v>-620.587965</v>
      </c>
      <c r="M46" s="86">
        <f ca="1" t="shared" si="9"/>
        <v>202</v>
      </c>
      <c r="N46" s="86">
        <f ca="1" t="shared" si="9"/>
        <v>0</v>
      </c>
      <c r="O46" s="86">
        <f ca="1" t="shared" si="9"/>
        <v>0</v>
      </c>
      <c r="P46" s="86">
        <f ca="1" t="shared" si="9"/>
        <v>202</v>
      </c>
      <c r="Q46" s="86">
        <f ca="1" t="shared" si="9"/>
        <v>0</v>
      </c>
      <c r="R46" s="86">
        <f ca="1" t="shared" si="9"/>
        <v>0</v>
      </c>
      <c r="V46" s="9"/>
      <c r="W46" s="9"/>
      <c r="X46" s="9"/>
      <c r="Y46" s="9"/>
      <c r="Z46" s="9"/>
      <c r="AA46" s="9"/>
    </row>
    <row r="47" spans="3:27" ht="12.75">
      <c r="C47" s="18">
        <f ca="1" t="shared" si="8"/>
      </c>
      <c r="D47" s="19" t="str">
        <f ca="1" t="shared" si="8"/>
        <v>SM12B</v>
      </c>
      <c r="E47" s="19" t="str">
        <f ca="1" t="shared" si="8"/>
        <v>Spec</v>
      </c>
      <c r="F47" s="19" t="str">
        <f ca="1" t="shared" si="2"/>
        <v>Mirror</v>
      </c>
      <c r="G47" s="86">
        <f ca="1" t="shared" si="9"/>
      </c>
      <c r="H47" s="86">
        <f ca="1" t="shared" si="9"/>
      </c>
      <c r="I47" s="86">
        <f ca="1" t="shared" si="9"/>
      </c>
      <c r="J47" s="86">
        <f ca="1" t="shared" si="9"/>
        <v>182.674398</v>
      </c>
      <c r="K47" s="86">
        <f ca="1" t="shared" si="9"/>
        <v>170.858259</v>
      </c>
      <c r="L47" s="86">
        <f ca="1" t="shared" si="9"/>
        <v>-636.663312</v>
      </c>
      <c r="M47" s="86">
        <f ca="1" t="shared" si="9"/>
        <v>202</v>
      </c>
      <c r="N47" s="86">
        <f ca="1" t="shared" si="9"/>
        <v>0</v>
      </c>
      <c r="O47" s="86">
        <f ca="1" t="shared" si="9"/>
        <v>0</v>
      </c>
      <c r="P47" s="86">
        <f ca="1" t="shared" si="9"/>
        <v>202</v>
      </c>
      <c r="Q47" s="86">
        <f ca="1" t="shared" si="9"/>
        <v>0</v>
      </c>
      <c r="R47" s="86">
        <f ca="1" t="shared" si="9"/>
        <v>0</v>
      </c>
      <c r="V47" s="9"/>
      <c r="W47" s="9"/>
      <c r="X47" s="9"/>
      <c r="Y47" s="9"/>
      <c r="Z47" s="9"/>
      <c r="AA47" s="9"/>
    </row>
    <row r="48" spans="3:27" ht="12.75">
      <c r="C48" s="18"/>
      <c r="D48" s="19" t="str">
        <f ca="1" t="shared" si="8"/>
        <v>SFLB</v>
      </c>
      <c r="E48" s="19" t="str">
        <f ca="1" t="shared" si="8"/>
        <v>Spec</v>
      </c>
      <c r="F48" s="19" t="str">
        <f ca="1" t="shared" si="2"/>
        <v>Hole</v>
      </c>
      <c r="G48" s="86">
        <f ca="1" t="shared" si="9"/>
      </c>
      <c r="H48" s="86">
        <f ca="1" t="shared" si="9"/>
      </c>
      <c r="I48" s="86">
        <f ca="1" t="shared" si="9"/>
      </c>
      <c r="J48" s="86">
        <f ca="1" t="shared" si="9"/>
        <v>182.67286000000001</v>
      </c>
      <c r="K48" s="86">
        <f ca="1" t="shared" si="9"/>
        <v>246.956678</v>
      </c>
      <c r="L48" s="86">
        <f ca="1" t="shared" si="9"/>
        <v>-636.663401</v>
      </c>
      <c r="M48" s="86">
        <f ca="1" t="shared" si="9"/>
        <v>202</v>
      </c>
      <c r="N48" s="86">
        <f ca="1" t="shared" si="9"/>
        <v>0</v>
      </c>
      <c r="O48" s="86">
        <f ca="1" t="shared" si="9"/>
        <v>0</v>
      </c>
      <c r="P48" s="86">
        <f ca="1" t="shared" si="9"/>
        <v>202</v>
      </c>
      <c r="Q48" s="86">
        <f ca="1" t="shared" si="9"/>
        <v>0</v>
      </c>
      <c r="R48" s="86">
        <f ca="1" t="shared" si="9"/>
        <v>0</v>
      </c>
      <c r="V48" s="9"/>
      <c r="W48" s="9"/>
      <c r="X48" s="9"/>
      <c r="Y48" s="9"/>
      <c r="Z48" s="9"/>
      <c r="AA48" s="9"/>
    </row>
    <row r="49" spans="3:27" ht="13.5" thickBot="1">
      <c r="C49" s="14">
        <f ca="1" t="shared" si="8"/>
      </c>
      <c r="D49" s="15" t="str">
        <f ca="1" t="shared" si="8"/>
        <v>SLW</v>
      </c>
      <c r="E49" s="15" t="str">
        <f ca="1" t="shared" si="8"/>
        <v>Spec</v>
      </c>
      <c r="F49" s="15" t="str">
        <f ca="1" t="shared" si="2"/>
        <v>Det</v>
      </c>
      <c r="G49" s="86">
        <f ca="1" t="shared" si="9"/>
      </c>
      <c r="H49" s="86">
        <f ca="1" t="shared" si="9"/>
      </c>
      <c r="I49" s="86">
        <f ca="1" t="shared" si="9"/>
      </c>
      <c r="J49" s="86">
        <f ca="1" t="shared" si="9"/>
        <v>182.672787</v>
      </c>
      <c r="K49" s="86">
        <f ca="1" t="shared" si="9"/>
        <v>250.856678</v>
      </c>
      <c r="L49" s="86">
        <f ca="1" t="shared" si="9"/>
        <v>-636.663396</v>
      </c>
      <c r="M49" s="86">
        <f ca="1" t="shared" si="9"/>
        <v>202</v>
      </c>
      <c r="N49" s="86">
        <f ca="1" t="shared" si="9"/>
        <v>0</v>
      </c>
      <c r="O49" s="86">
        <f ca="1" t="shared" si="9"/>
        <v>0</v>
      </c>
      <c r="P49" s="86">
        <f ca="1" t="shared" si="9"/>
        <v>202</v>
      </c>
      <c r="Q49" s="86">
        <f ca="1" t="shared" si="9"/>
        <v>0</v>
      </c>
      <c r="R49" s="86">
        <f ca="1" t="shared" si="9"/>
        <v>0</v>
      </c>
      <c r="V49" s="9"/>
      <c r="W49" s="9"/>
      <c r="X49" s="9"/>
      <c r="Y49" s="9"/>
      <c r="Z49" s="9"/>
      <c r="AA49" s="9"/>
    </row>
    <row r="50" spans="1:27" ht="12.75">
      <c r="A50" s="25" t="s">
        <v>442</v>
      </c>
      <c r="E50" s="19"/>
      <c r="G50" s="21" t="s">
        <v>14</v>
      </c>
      <c r="H50" s="21" t="s">
        <v>69</v>
      </c>
      <c r="I50" s="21" t="s">
        <v>70</v>
      </c>
      <c r="J50" s="21" t="s">
        <v>14</v>
      </c>
      <c r="K50" s="21" t="s">
        <v>69</v>
      </c>
      <c r="L50" s="21" t="s">
        <v>70</v>
      </c>
      <c r="M50" s="21" t="s">
        <v>14</v>
      </c>
      <c r="N50" s="21" t="s">
        <v>69</v>
      </c>
      <c r="O50" s="21" t="s">
        <v>70</v>
      </c>
      <c r="P50" s="21" t="s">
        <v>14</v>
      </c>
      <c r="Q50" s="21" t="s">
        <v>69</v>
      </c>
      <c r="R50" s="21" t="s">
        <v>70</v>
      </c>
      <c r="S50" s="21"/>
      <c r="T50" s="21"/>
      <c r="U50" s="21"/>
      <c r="V50" s="19"/>
      <c r="W50" s="19"/>
      <c r="X50" s="19"/>
      <c r="Y50" s="19"/>
      <c r="Z50" s="19"/>
      <c r="AA50" s="19"/>
    </row>
    <row r="51" spans="1:27" ht="12.75">
      <c r="A51" s="5" t="s">
        <v>444</v>
      </c>
      <c r="E51" s="19"/>
      <c r="G51" s="21" t="s">
        <v>430</v>
      </c>
      <c r="H51" s="21" t="s">
        <v>430</v>
      </c>
      <c r="I51" s="21" t="s">
        <v>430</v>
      </c>
      <c r="J51" s="21" t="s">
        <v>546</v>
      </c>
      <c r="K51" s="21" t="s">
        <v>546</v>
      </c>
      <c r="L51" s="21" t="s">
        <v>546</v>
      </c>
      <c r="M51" s="20" t="s">
        <v>84</v>
      </c>
      <c r="N51" s="20" t="s">
        <v>84</v>
      </c>
      <c r="O51" s="20" t="s">
        <v>84</v>
      </c>
      <c r="P51" s="20" t="s">
        <v>87</v>
      </c>
      <c r="Q51" s="20" t="s">
        <v>87</v>
      </c>
      <c r="R51" s="20" t="s">
        <v>87</v>
      </c>
      <c r="S51" s="21"/>
      <c r="T51" s="21"/>
      <c r="U51" s="21"/>
      <c r="V51" s="19"/>
      <c r="W51" s="19"/>
      <c r="X51" s="19"/>
      <c r="Y51" s="19"/>
      <c r="Z51" s="19"/>
      <c r="AA51" s="19"/>
    </row>
    <row r="52" spans="1:27" ht="12.75">
      <c r="A52" s="25" t="s">
        <v>3</v>
      </c>
      <c r="C52" s="23" t="s">
        <v>124</v>
      </c>
      <c r="D52" s="1"/>
      <c r="G52" s="21" t="s">
        <v>136</v>
      </c>
      <c r="H52" s="21" t="s">
        <v>136</v>
      </c>
      <c r="I52" s="21" t="s">
        <v>136</v>
      </c>
      <c r="J52" s="21" t="s">
        <v>136</v>
      </c>
      <c r="K52" s="21" t="s">
        <v>136</v>
      </c>
      <c r="L52" s="21" t="s">
        <v>136</v>
      </c>
      <c r="M52" s="20" t="s">
        <v>445</v>
      </c>
      <c r="N52" s="20" t="s">
        <v>445</v>
      </c>
      <c r="O52" s="20" t="s">
        <v>445</v>
      </c>
      <c r="P52" s="20" t="s">
        <v>445</v>
      </c>
      <c r="Q52" s="20" t="s">
        <v>445</v>
      </c>
      <c r="R52" s="20" t="s">
        <v>445</v>
      </c>
      <c r="S52" s="21"/>
      <c r="T52" s="21"/>
      <c r="U52" s="21"/>
      <c r="V52" s="19"/>
      <c r="W52" s="19"/>
      <c r="X52" s="19"/>
      <c r="Y52" s="19"/>
      <c r="Z52" s="19"/>
      <c r="AA52" s="19"/>
    </row>
    <row r="53" spans="1:27" ht="12.75">
      <c r="A53" s="5" t="s">
        <v>443</v>
      </c>
      <c r="C53" s="1" t="s">
        <v>14</v>
      </c>
      <c r="D53" s="1" t="str">
        <f>"-Zsyno"</f>
        <v>-Zsyno</v>
      </c>
      <c r="E53" s="1" t="s">
        <v>117</v>
      </c>
      <c r="G53" s="21" t="s">
        <v>441</v>
      </c>
      <c r="H53" s="21" t="s">
        <v>439</v>
      </c>
      <c r="I53" s="21" t="s">
        <v>440</v>
      </c>
      <c r="J53" s="21" t="s">
        <v>441</v>
      </c>
      <c r="K53" s="21" t="s">
        <v>439</v>
      </c>
      <c r="L53" s="21" t="s">
        <v>440</v>
      </c>
      <c r="M53" s="21" t="s">
        <v>441</v>
      </c>
      <c r="N53" s="21" t="s">
        <v>439</v>
      </c>
      <c r="O53" s="21" t="s">
        <v>440</v>
      </c>
      <c r="P53" s="21" t="s">
        <v>441</v>
      </c>
      <c r="Q53" s="21" t="s">
        <v>439</v>
      </c>
      <c r="R53" s="21" t="s">
        <v>440</v>
      </c>
      <c r="S53" s="21"/>
      <c r="T53" s="21"/>
      <c r="U53" s="21"/>
      <c r="V53" s="19"/>
      <c r="W53" s="19"/>
      <c r="X53" s="19"/>
      <c r="Y53" s="19"/>
      <c r="Z53" s="19"/>
      <c r="AA53" s="19"/>
    </row>
    <row r="54" spans="3:27" ht="12.75">
      <c r="C54" s="1" t="s">
        <v>69</v>
      </c>
      <c r="D54" s="1" t="s">
        <v>120</v>
      </c>
      <c r="E54" s="1" t="s">
        <v>118</v>
      </c>
      <c r="G54" s="21"/>
      <c r="H54" s="21"/>
      <c r="I54" s="21"/>
      <c r="J54" s="21"/>
      <c r="K54" s="21"/>
      <c r="L54" s="21"/>
      <c r="M54" s="19"/>
      <c r="N54" s="19"/>
      <c r="O54" s="19"/>
      <c r="P54" s="19"/>
      <c r="Q54" s="19"/>
      <c r="R54" s="19"/>
      <c r="S54" s="21"/>
      <c r="T54" s="21"/>
      <c r="U54" s="21"/>
      <c r="V54" s="19"/>
      <c r="W54" s="19"/>
      <c r="X54" s="19"/>
      <c r="Y54" s="19"/>
      <c r="Z54" s="19"/>
      <c r="AA54" s="19"/>
    </row>
    <row r="55" spans="3:27" ht="12.75">
      <c r="C55" s="1" t="s">
        <v>70</v>
      </c>
      <c r="D55" s="1" t="s">
        <v>121</v>
      </c>
      <c r="E55" s="1" t="s">
        <v>119</v>
      </c>
      <c r="G55" s="21"/>
      <c r="H55" s="21"/>
      <c r="I55" s="21"/>
      <c r="J55" s="21"/>
      <c r="K55" s="21"/>
      <c r="L55" s="21"/>
      <c r="M55" s="19"/>
      <c r="N55" s="19"/>
      <c r="O55" s="19"/>
      <c r="P55" s="19"/>
      <c r="Q55" s="19"/>
      <c r="R55" s="19"/>
      <c r="S55" s="21"/>
      <c r="T55" s="21"/>
      <c r="U55" s="21"/>
      <c r="V55" s="19"/>
      <c r="W55" s="19"/>
      <c r="X55" s="19"/>
      <c r="Y55" s="19"/>
      <c r="Z55" s="19"/>
      <c r="AA55" s="19"/>
    </row>
    <row r="56" spans="5:27" ht="12.75">
      <c r="E56" s="19"/>
      <c r="F56" s="19"/>
      <c r="G56" s="21"/>
      <c r="H56" s="21"/>
      <c r="I56" s="21"/>
      <c r="J56" s="21"/>
      <c r="K56" s="21"/>
      <c r="L56" s="21"/>
      <c r="M56" s="19"/>
      <c r="N56" s="19"/>
      <c r="O56" s="19"/>
      <c r="P56" s="19"/>
      <c r="Q56" s="19"/>
      <c r="R56" s="19"/>
      <c r="S56" s="21"/>
      <c r="T56" s="21"/>
      <c r="U56" s="21"/>
      <c r="V56" s="19"/>
      <c r="W56" s="19"/>
      <c r="X56" s="19"/>
      <c r="Y56" s="19"/>
      <c r="Z56" s="19"/>
      <c r="AA56" s="19"/>
    </row>
  </sheetData>
  <printOptions/>
  <pageMargins left="0.7874015748031497" right="0.7874015748031497"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AB56"/>
  <sheetViews>
    <sheetView zoomScale="75" zoomScaleNormal="75" workbookViewId="0" topLeftCell="A1">
      <selection activeCell="H24" sqref="H24"/>
    </sheetView>
  </sheetViews>
  <sheetFormatPr defaultColWidth="12" defaultRowHeight="12.75"/>
  <cols>
    <col min="1" max="1" width="10" style="1" customWidth="1"/>
    <col min="2" max="2" width="12" style="1" customWidth="1"/>
    <col min="3" max="3" width="18.66015625" style="19" customWidth="1"/>
    <col min="4" max="4" width="12" style="19" customWidth="1"/>
    <col min="5" max="6" width="12" style="1" customWidth="1"/>
    <col min="7" max="7" width="12" style="8" customWidth="1"/>
    <col min="8" max="8" width="8.16015625" style="8" customWidth="1"/>
    <col min="9" max="14" width="12.16015625" style="86" customWidth="1"/>
    <col min="15" max="20" width="12.16015625" style="94" customWidth="1"/>
    <col min="21" max="16384" width="12" style="1" customWidth="1"/>
  </cols>
  <sheetData>
    <row r="1" spans="1:20" s="5" customFormat="1" ht="12.75">
      <c r="A1" s="1" t="s">
        <v>555</v>
      </c>
      <c r="C1" s="25" t="s">
        <v>116</v>
      </c>
      <c r="D1" s="25" t="s">
        <v>2</v>
      </c>
      <c r="E1" s="5" t="s">
        <v>431</v>
      </c>
      <c r="F1" s="5" t="s">
        <v>145</v>
      </c>
      <c r="G1" s="6" t="s">
        <v>78</v>
      </c>
      <c r="H1" s="6" t="s">
        <v>79</v>
      </c>
      <c r="I1" s="82" t="str">
        <f>Axe&amp;Syst&amp;Ray</f>
        <v>XPhotGut</v>
      </c>
      <c r="J1" s="82" t="str">
        <f aca="true" t="shared" si="0" ref="J1:T1">Axe&amp;Syst&amp;Ray</f>
        <v>YPhotGut</v>
      </c>
      <c r="K1" s="82" t="str">
        <f t="shared" si="0"/>
        <v>ZPhotGut</v>
      </c>
      <c r="L1" s="82" t="str">
        <f t="shared" si="0"/>
        <v>XSpecGut</v>
      </c>
      <c r="M1" s="82" t="str">
        <f t="shared" si="0"/>
        <v>YSpecGut</v>
      </c>
      <c r="N1" s="82" t="str">
        <f t="shared" si="0"/>
        <v>ZSpecGut</v>
      </c>
      <c r="O1" s="82" t="str">
        <f t="shared" si="0"/>
        <v>XCM3Cent</v>
      </c>
      <c r="P1" s="82" t="str">
        <f t="shared" si="0"/>
        <v>YCM3Cent</v>
      </c>
      <c r="Q1" s="82" t="str">
        <f t="shared" si="0"/>
        <v>ZCM3Cent</v>
      </c>
      <c r="R1" s="82" t="str">
        <f t="shared" si="0"/>
        <v>XCM5Cent</v>
      </c>
      <c r="S1" s="82" t="str">
        <f t="shared" si="0"/>
        <v>YCM5Cent</v>
      </c>
      <c r="T1" s="82" t="str">
        <f t="shared" si="0"/>
        <v>ZCM5Cent</v>
      </c>
    </row>
    <row r="2" spans="3:20" ht="13.5" thickBot="1">
      <c r="C2" s="19">
        <f aca="true" ca="1" t="shared" si="1" ref="C2:E21">IF(INDIRECT("SurfaceList!"&amp;ThisCol)="","",INDIRECT("SurfaceList!"&amp;ThisCol))</f>
      </c>
      <c r="D2" s="19" t="str">
        <f ca="1" t="shared" si="1"/>
        <v>Dummy</v>
      </c>
      <c r="E2" s="19" t="str">
        <f ca="1" t="shared" si="1"/>
        <v>Phot</v>
      </c>
      <c r="F2" s="19" t="str">
        <f aca="true" ca="1" t="shared" si="2" ref="F2:F49">IF(INDIRECT("SurfaceList!"&amp;ThisCol)="","",INDIRECT("SurfaceList!"&amp;ThisCol))</f>
        <v>Ignore</v>
      </c>
      <c r="G2" s="8">
        <f aca="true" ca="1" t="shared" si="3" ref="G2:G49">IF(INDIRECT("SurfaceList!"&amp;ThisCol)="","",INDIRECT("SurfaceList!"&amp;ThisCol))</f>
        <v>5</v>
      </c>
      <c r="H2" s="8">
        <v>27</v>
      </c>
      <c r="I2" s="86">
        <f aca="true" ca="1" t="shared" si="4" ref="I2:T11">IF(OR(System="Common",System=Syst,Ray="Cent"),INDIRECT(Syst&amp;Ray&amp;"Ray!"&amp;INDIRECT(Axe&amp;"col")&amp;FIXED(Line,0)),"")</f>
        <v>0</v>
      </c>
      <c r="J2" s="86">
        <f ca="1" t="shared" si="4"/>
        <v>61.176845</v>
      </c>
      <c r="K2" s="86">
        <f ca="1" t="shared" si="4"/>
        <v>-3050</v>
      </c>
      <c r="L2" s="86">
        <f ca="1" t="shared" si="4"/>
      </c>
      <c r="M2" s="86">
        <f ca="1" t="shared" si="4"/>
      </c>
      <c r="N2" s="86">
        <f ca="1" t="shared" si="4"/>
      </c>
      <c r="O2" s="86">
        <f ca="1" t="shared" si="4"/>
        <v>12.75945</v>
      </c>
      <c r="P2" s="86">
        <f ca="1" t="shared" si="4"/>
        <v>62.305383</v>
      </c>
      <c r="Q2" s="86">
        <f ca="1" t="shared" si="4"/>
        <v>-3050.162</v>
      </c>
      <c r="R2" s="86">
        <f ca="1" t="shared" si="4"/>
        <v>13.817514</v>
      </c>
      <c r="S2" s="86">
        <f ca="1" t="shared" si="4"/>
        <v>60.298241</v>
      </c>
      <c r="T2" s="86">
        <f ca="1" t="shared" si="4"/>
        <v>-3050.162</v>
      </c>
    </row>
    <row r="3" spans="3:20" ht="12.75">
      <c r="C3" s="10" t="str">
        <f ca="1" t="shared" si="1"/>
        <v>Telescope</v>
      </c>
      <c r="D3" s="11" t="str">
        <f ca="1" t="shared" si="1"/>
        <v>M1</v>
      </c>
      <c r="E3" s="11" t="str">
        <f ca="1" t="shared" si="1"/>
        <v>Phot</v>
      </c>
      <c r="F3" s="11" t="str">
        <f ca="1" t="shared" si="2"/>
        <v>Mirror</v>
      </c>
      <c r="G3" s="12">
        <f ca="1" t="shared" si="3"/>
        <v>6</v>
      </c>
      <c r="H3" s="12">
        <f>SurfNum+Line0</f>
        <v>28</v>
      </c>
      <c r="I3" s="86">
        <f ca="1" t="shared" si="4"/>
        <v>0</v>
      </c>
      <c r="J3" s="86">
        <f ca="1" t="shared" si="4"/>
        <v>54.793441</v>
      </c>
      <c r="K3" s="86">
        <f ca="1" t="shared" si="4"/>
        <v>-1050.428903</v>
      </c>
      <c r="L3" s="86">
        <f ca="1" t="shared" si="4"/>
      </c>
      <c r="M3" s="86">
        <f ca="1" t="shared" si="4"/>
      </c>
      <c r="N3" s="86">
        <f ca="1" t="shared" si="4"/>
      </c>
      <c r="O3" s="86">
        <f ca="1" t="shared" si="4"/>
        <v>11.427923</v>
      </c>
      <c r="P3" s="86">
        <f ca="1" t="shared" si="4"/>
        <v>55.803431</v>
      </c>
      <c r="Q3" s="86">
        <f ca="1" t="shared" si="4"/>
        <v>-1050.625517</v>
      </c>
      <c r="R3" s="86">
        <f ca="1" t="shared" si="4"/>
        <v>12.375513</v>
      </c>
      <c r="S3" s="86">
        <f ca="1" t="shared" si="4"/>
        <v>54.005491</v>
      </c>
      <c r="T3" s="86">
        <f ca="1" t="shared" si="4"/>
        <v>-1050.600535</v>
      </c>
    </row>
    <row r="4" spans="3:20" ht="13.5" thickBot="1">
      <c r="C4" s="14">
        <f ca="1" t="shared" si="1"/>
      </c>
      <c r="D4" s="15" t="str">
        <f ca="1" t="shared" si="1"/>
        <v>M2</v>
      </c>
      <c r="E4" s="15" t="str">
        <f ca="1" t="shared" si="1"/>
        <v>Phot</v>
      </c>
      <c r="F4" s="15" t="str">
        <f ca="1" t="shared" si="2"/>
        <v>Mirror</v>
      </c>
      <c r="G4" s="16">
        <f ca="1" t="shared" si="3"/>
        <v>7</v>
      </c>
      <c r="H4" s="16">
        <f aca="true" t="shared" si="5" ref="H4:H22">SurfNum+Line0</f>
        <v>29</v>
      </c>
      <c r="I4" s="86">
        <f ca="1" t="shared" si="4"/>
        <v>0</v>
      </c>
      <c r="J4" s="86">
        <f ca="1" t="shared" si="4"/>
        <v>7.11E-15</v>
      </c>
      <c r="K4" s="86">
        <f ca="1" t="shared" si="4"/>
        <v>-2637.998</v>
      </c>
      <c r="L4" s="86">
        <f ca="1" t="shared" si="4"/>
      </c>
      <c r="M4" s="86">
        <f ca="1" t="shared" si="4"/>
      </c>
      <c r="N4" s="86">
        <f ca="1" t="shared" si="4"/>
      </c>
      <c r="O4" s="86">
        <f ca="1" t="shared" si="4"/>
        <v>3.55E-15</v>
      </c>
      <c r="P4" s="86">
        <f ca="1" t="shared" si="4"/>
        <v>1.42E-14</v>
      </c>
      <c r="Q4" s="86">
        <f ca="1" t="shared" si="4"/>
        <v>-2638.131</v>
      </c>
      <c r="R4" s="86">
        <f ca="1" t="shared" si="4"/>
        <v>1.78E-15</v>
      </c>
      <c r="S4" s="86">
        <f ca="1" t="shared" si="4"/>
        <v>-7.11E-15</v>
      </c>
      <c r="T4" s="86">
        <f ca="1" t="shared" si="4"/>
        <v>-2638.131</v>
      </c>
    </row>
    <row r="5" spans="3:20" ht="12.75">
      <c r="C5" s="10" t="str">
        <f ca="1" t="shared" si="1"/>
        <v>Common optics</v>
      </c>
      <c r="D5" s="11" t="str">
        <f ca="1" t="shared" si="1"/>
        <v>CFP</v>
      </c>
      <c r="E5" s="11" t="str">
        <f ca="1" t="shared" si="1"/>
        <v>Phot</v>
      </c>
      <c r="F5" s="11" t="str">
        <f ca="1" t="shared" si="2"/>
        <v>Ignore</v>
      </c>
      <c r="G5" s="12">
        <f ca="1" t="shared" si="3"/>
        <v>9</v>
      </c>
      <c r="H5" s="12">
        <f t="shared" si="5"/>
        <v>31</v>
      </c>
      <c r="I5" s="86">
        <f ca="1" t="shared" si="4"/>
        <v>0</v>
      </c>
      <c r="J5" s="86">
        <f ca="1" t="shared" si="4"/>
        <v>-90.137429</v>
      </c>
      <c r="K5" s="86">
        <f ca="1" t="shared" si="4"/>
        <v>-26.382552</v>
      </c>
      <c r="L5" s="86">
        <f ca="1" t="shared" si="4"/>
      </c>
      <c r="M5" s="86">
        <f ca="1" t="shared" si="4"/>
      </c>
      <c r="N5" s="86">
        <f ca="1" t="shared" si="4"/>
      </c>
      <c r="O5" s="86">
        <f ca="1" t="shared" si="4"/>
        <v>-18.784562</v>
      </c>
      <c r="P5" s="86">
        <f ca="1" t="shared" si="4"/>
        <v>-91.72647</v>
      </c>
      <c r="Q5" s="86">
        <f ca="1" t="shared" si="4"/>
        <v>-28.68079</v>
      </c>
      <c r="R5" s="86">
        <f ca="1" t="shared" si="4"/>
        <v>-20.354767</v>
      </c>
      <c r="S5" s="86">
        <f ca="1" t="shared" si="4"/>
        <v>-88.826152</v>
      </c>
      <c r="T5" s="86">
        <f ca="1" t="shared" si="4"/>
        <v>-27.022003</v>
      </c>
    </row>
    <row r="6" spans="3:20" ht="12.75">
      <c r="C6" s="18">
        <f ca="1" t="shared" si="1"/>
      </c>
      <c r="D6" s="19" t="str">
        <f ca="1" t="shared" si="1"/>
        <v>CM3</v>
      </c>
      <c r="E6" s="19" t="str">
        <f ca="1" t="shared" si="1"/>
        <v>Phot</v>
      </c>
      <c r="F6" s="19" t="str">
        <f ca="1" t="shared" si="2"/>
        <v>Mirror</v>
      </c>
      <c r="G6" s="20">
        <f ca="1" t="shared" si="3"/>
        <v>11</v>
      </c>
      <c r="H6" s="20">
        <f t="shared" si="5"/>
        <v>33</v>
      </c>
      <c r="I6" s="86">
        <f ca="1" t="shared" si="4"/>
        <v>0</v>
      </c>
      <c r="J6" s="86">
        <f ca="1" t="shared" si="4"/>
        <v>-93.493606</v>
      </c>
      <c r="K6" s="86">
        <f ca="1" t="shared" si="4"/>
        <v>70.85834</v>
      </c>
      <c r="L6" s="86">
        <f ca="1" t="shared" si="4"/>
      </c>
      <c r="M6" s="86">
        <f ca="1" t="shared" si="4"/>
      </c>
      <c r="N6" s="86">
        <f ca="1" t="shared" si="4"/>
      </c>
      <c r="O6" s="86">
        <f ca="1" t="shared" si="4"/>
        <v>-19.500476</v>
      </c>
      <c r="P6" s="86">
        <f ca="1" t="shared" si="4"/>
        <v>-95.222336</v>
      </c>
      <c r="Q6" s="86">
        <f ca="1" t="shared" si="4"/>
        <v>70.770194</v>
      </c>
      <c r="R6" s="86">
        <f ca="1" t="shared" si="4"/>
        <v>-21.110403</v>
      </c>
      <c r="S6" s="86">
        <f ca="1" t="shared" si="4"/>
        <v>-92.123671</v>
      </c>
      <c r="T6" s="86">
        <f ca="1" t="shared" si="4"/>
        <v>69.910954</v>
      </c>
    </row>
    <row r="7" spans="1:20" ht="12.75">
      <c r="A7" s="1" t="s">
        <v>85</v>
      </c>
      <c r="B7" s="1">
        <v>22</v>
      </c>
      <c r="C7" s="18">
        <f ca="1" t="shared" si="1"/>
      </c>
      <c r="D7" s="19" t="str">
        <f ca="1" t="shared" si="1"/>
        <v>CM4</v>
      </c>
      <c r="E7" s="19" t="str">
        <f ca="1" t="shared" si="1"/>
        <v>Phot</v>
      </c>
      <c r="F7" s="19" t="str">
        <f ca="1" t="shared" si="2"/>
        <v>Mirror</v>
      </c>
      <c r="G7" s="20">
        <f ca="1" t="shared" si="3"/>
        <v>14</v>
      </c>
      <c r="H7" s="20">
        <f t="shared" si="5"/>
        <v>36</v>
      </c>
      <c r="I7" s="86">
        <f ca="1" t="shared" si="4"/>
        <v>0</v>
      </c>
      <c r="J7" s="86">
        <f ca="1" t="shared" si="4"/>
        <v>-200.09386</v>
      </c>
      <c r="K7" s="86">
        <f ca="1" t="shared" si="4"/>
        <v>-114.125099</v>
      </c>
      <c r="L7" s="86">
        <f ca="1" t="shared" si="4"/>
      </c>
      <c r="M7" s="86">
        <f ca="1" t="shared" si="4"/>
      </c>
      <c r="N7" s="86">
        <f ca="1" t="shared" si="4"/>
      </c>
      <c r="O7" s="86">
        <f ca="1" t="shared" si="4"/>
        <v>-0.002619</v>
      </c>
      <c r="P7" s="86">
        <f ca="1" t="shared" si="4"/>
        <v>-200.11827</v>
      </c>
      <c r="Q7" s="86">
        <f ca="1" t="shared" si="4"/>
        <v>-114.117194</v>
      </c>
      <c r="R7" s="86">
        <f ca="1" t="shared" si="4"/>
        <v>0.00704</v>
      </c>
      <c r="S7" s="86">
        <f ca="1" t="shared" si="4"/>
        <v>-200.122747</v>
      </c>
      <c r="T7" s="86">
        <f ca="1" t="shared" si="4"/>
        <v>-114.115744</v>
      </c>
    </row>
    <row r="8" spans="3:20" ht="13.5" thickBot="1">
      <c r="C8" s="14">
        <f ca="1" t="shared" si="1"/>
      </c>
      <c r="D8" s="15" t="str">
        <f ca="1" t="shared" si="1"/>
        <v>CM5</v>
      </c>
      <c r="E8" s="15" t="str">
        <f ca="1" t="shared" si="1"/>
        <v>Phot</v>
      </c>
      <c r="F8" s="15" t="str">
        <f ca="1" t="shared" si="2"/>
        <v>Mirror</v>
      </c>
      <c r="G8" s="16">
        <f ca="1" t="shared" si="3"/>
        <v>17</v>
      </c>
      <c r="H8" s="16">
        <f t="shared" si="5"/>
        <v>39</v>
      </c>
      <c r="I8" s="86">
        <f ca="1" t="shared" si="4"/>
        <v>0</v>
      </c>
      <c r="J8" s="86">
        <f ca="1" t="shared" si="4"/>
        <v>-179.688568</v>
      </c>
      <c r="K8" s="86">
        <f ca="1" t="shared" si="4"/>
        <v>82.217443</v>
      </c>
      <c r="L8" s="86">
        <f ca="1" t="shared" si="4"/>
      </c>
      <c r="M8" s="86">
        <f ca="1" t="shared" si="4"/>
      </c>
      <c r="N8" s="86">
        <f ca="1" t="shared" si="4"/>
      </c>
      <c r="O8" s="86">
        <f ca="1" t="shared" si="4"/>
        <v>18.0297</v>
      </c>
      <c r="P8" s="86">
        <f ca="1" t="shared" si="4"/>
        <v>-178.482563</v>
      </c>
      <c r="Q8" s="86">
        <f ca="1" t="shared" si="4"/>
        <v>81.282101</v>
      </c>
      <c r="R8" s="86">
        <f ca="1" t="shared" si="4"/>
        <v>19.499867</v>
      </c>
      <c r="S8" s="86">
        <f ca="1" t="shared" si="4"/>
        <v>-181.314796</v>
      </c>
      <c r="T8" s="86">
        <f ca="1" t="shared" si="4"/>
        <v>81.945342</v>
      </c>
    </row>
    <row r="9" spans="1:20" ht="12.75">
      <c r="A9" s="1" t="s">
        <v>88</v>
      </c>
      <c r="B9" s="1" t="s">
        <v>89</v>
      </c>
      <c r="C9" s="10" t="str">
        <f ca="1" t="shared" si="1"/>
        <v>Photometer optics</v>
      </c>
      <c r="D9" s="11" t="str">
        <f ca="1" t="shared" si="1"/>
        <v>PM6</v>
      </c>
      <c r="E9" s="11" t="str">
        <f ca="1" t="shared" si="1"/>
        <v>Phot</v>
      </c>
      <c r="F9" s="11" t="str">
        <f ca="1" t="shared" si="2"/>
        <v>Mirror</v>
      </c>
      <c r="G9" s="12">
        <f ca="1" t="shared" si="3"/>
        <v>20</v>
      </c>
      <c r="H9" s="12">
        <f t="shared" si="5"/>
        <v>42</v>
      </c>
      <c r="I9" s="86">
        <f ca="1" t="shared" si="4"/>
        <v>0</v>
      </c>
      <c r="J9" s="86">
        <f ca="1" t="shared" si="4"/>
        <v>-259.533208</v>
      </c>
      <c r="K9" s="86">
        <f ca="1" t="shared" si="4"/>
        <v>-94.15067</v>
      </c>
      <c r="L9" s="86">
        <f ca="1" t="shared" si="4"/>
      </c>
      <c r="M9" s="86">
        <f ca="1" t="shared" si="4"/>
      </c>
      <c r="N9" s="86">
        <f ca="1" t="shared" si="4"/>
      </c>
      <c r="O9" s="86">
        <f ca="1" t="shared" si="4"/>
        <v>10.973657</v>
      </c>
      <c r="P9" s="86">
        <f ca="1" t="shared" si="4"/>
        <v>-258.542261</v>
      </c>
      <c r="Q9" s="86">
        <f ca="1" t="shared" si="4"/>
        <v>-94.485541</v>
      </c>
      <c r="R9" s="86">
        <f ca="1" t="shared" si="4"/>
        <v>11.832463</v>
      </c>
      <c r="S9" s="86">
        <f ca="1" t="shared" si="4"/>
        <v>-260.433321</v>
      </c>
      <c r="T9" s="86">
        <f ca="1" t="shared" si="4"/>
        <v>-94.20107</v>
      </c>
    </row>
    <row r="10" spans="1:20" ht="12.75">
      <c r="A10" s="1" t="s">
        <v>91</v>
      </c>
      <c r="B10" s="1" t="s">
        <v>92</v>
      </c>
      <c r="C10" s="18">
        <f ca="1" t="shared" si="1"/>
      </c>
      <c r="D10" s="19" t="str">
        <f ca="1" t="shared" si="1"/>
        <v>PM7</v>
      </c>
      <c r="E10" s="19" t="str">
        <f ca="1" t="shared" si="1"/>
        <v>Phot</v>
      </c>
      <c r="F10" s="19" t="str">
        <f ca="1" t="shared" si="2"/>
        <v>Mirror</v>
      </c>
      <c r="G10" s="20">
        <f ca="1" t="shared" si="3"/>
        <v>22</v>
      </c>
      <c r="H10" s="20">
        <f t="shared" si="5"/>
        <v>44</v>
      </c>
      <c r="I10" s="86">
        <f ca="1" t="shared" si="4"/>
        <v>0</v>
      </c>
      <c r="J10" s="86">
        <f ca="1" t="shared" si="4"/>
        <v>-279.481485</v>
      </c>
      <c r="K10" s="86">
        <f ca="1" t="shared" si="4"/>
        <v>107.765764</v>
      </c>
      <c r="L10" s="86">
        <f ca="1" t="shared" si="4"/>
      </c>
      <c r="M10" s="86">
        <f ca="1" t="shared" si="4"/>
      </c>
      <c r="N10" s="86">
        <f ca="1" t="shared" si="4"/>
      </c>
      <c r="O10" s="86">
        <f ca="1" t="shared" si="4"/>
        <v>15.521875</v>
      </c>
      <c r="P10" s="86">
        <f ca="1" t="shared" si="4"/>
        <v>-277.506548</v>
      </c>
      <c r="Q10" s="86">
        <f ca="1" t="shared" si="4"/>
        <v>106.787347</v>
      </c>
      <c r="R10" s="86">
        <f ca="1" t="shared" si="4"/>
        <v>16.690589</v>
      </c>
      <c r="S10" s="86">
        <f ca="1" t="shared" si="4"/>
        <v>-280.923961</v>
      </c>
      <c r="T10" s="86">
        <f ca="1" t="shared" si="4"/>
        <v>107.75419</v>
      </c>
    </row>
    <row r="11" spans="1:20" ht="12.75">
      <c r="A11" s="1" t="s">
        <v>94</v>
      </c>
      <c r="B11" s="1" t="s">
        <v>95</v>
      </c>
      <c r="C11" s="18">
        <f ca="1" t="shared" si="1"/>
      </c>
      <c r="D11" s="19" t="str">
        <f ca="1" t="shared" si="1"/>
        <v>PM8</v>
      </c>
      <c r="E11" s="19" t="str">
        <f ca="1" t="shared" si="1"/>
        <v>Phot</v>
      </c>
      <c r="F11" s="19" t="str">
        <f ca="1" t="shared" si="2"/>
        <v>Mirror</v>
      </c>
      <c r="G11" s="20">
        <f ca="1" t="shared" si="3"/>
        <v>24</v>
      </c>
      <c r="H11" s="20">
        <f t="shared" si="5"/>
        <v>46</v>
      </c>
      <c r="I11" s="86">
        <f ca="1" t="shared" si="4"/>
        <v>0</v>
      </c>
      <c r="J11" s="86">
        <f ca="1" t="shared" si="4"/>
        <v>-397.634151</v>
      </c>
      <c r="K11" s="86">
        <f ca="1" t="shared" si="4"/>
        <v>-38.46633</v>
      </c>
      <c r="L11" s="86">
        <f ca="1" t="shared" si="4"/>
      </c>
      <c r="M11" s="86">
        <f ca="1" t="shared" si="4"/>
      </c>
      <c r="N11" s="86">
        <f ca="1" t="shared" si="4"/>
      </c>
      <c r="O11" s="86">
        <f ca="1" t="shared" si="4"/>
        <v>3.403216</v>
      </c>
      <c r="P11" s="86">
        <f ca="1" t="shared" si="4"/>
        <v>-397.122812</v>
      </c>
      <c r="Q11" s="86">
        <f ca="1" t="shared" si="4"/>
        <v>-38.450296</v>
      </c>
      <c r="R11" s="86">
        <f ca="1" t="shared" si="4"/>
        <v>3.639387</v>
      </c>
      <c r="S11" s="86">
        <f ca="1" t="shared" si="4"/>
        <v>-397.939241</v>
      </c>
      <c r="T11" s="86">
        <f ca="1" t="shared" si="4"/>
        <v>-38.511584</v>
      </c>
    </row>
    <row r="12" spans="3:20" ht="12.75">
      <c r="C12" s="18">
        <f ca="1" t="shared" si="1"/>
      </c>
      <c r="D12" s="19" t="str">
        <f ca="1" t="shared" si="1"/>
        <v>PCS</v>
      </c>
      <c r="E12" s="19" t="str">
        <f ca="1" t="shared" si="1"/>
        <v>Phot</v>
      </c>
      <c r="F12" s="19" t="str">
        <f ca="1" t="shared" si="2"/>
        <v>Hole</v>
      </c>
      <c r="G12" s="20">
        <f ca="1" t="shared" si="3"/>
        <v>26</v>
      </c>
      <c r="H12" s="20">
        <f t="shared" si="5"/>
        <v>48</v>
      </c>
      <c r="I12" s="86">
        <f aca="true" ca="1" t="shared" si="6" ref="I12:T21">IF(OR(System="Common",System=Syst,Ray="Cent"),INDIRECT(Syst&amp;Ray&amp;"Ray!"&amp;INDIRECT(Axe&amp;"col")&amp;FIXED(Line,0)),"")</f>
        <v>0</v>
      </c>
      <c r="J12" s="86">
        <f ca="1" t="shared" si="6"/>
        <v>-448.961193</v>
      </c>
      <c r="K12" s="86">
        <f ca="1" t="shared" si="6"/>
        <v>9.13262</v>
      </c>
      <c r="L12" s="86">
        <f ca="1" t="shared" si="6"/>
      </c>
      <c r="M12" s="86">
        <f ca="1" t="shared" si="6"/>
      </c>
      <c r="N12" s="86">
        <f ca="1" t="shared" si="6"/>
      </c>
      <c r="O12" s="86">
        <f ca="1" t="shared" si="6"/>
        <v>0.087781</v>
      </c>
      <c r="P12" s="86">
        <f ca="1" t="shared" si="6"/>
        <v>-448.950976</v>
      </c>
      <c r="Q12" s="86">
        <f ca="1" t="shared" si="6"/>
        <v>9.143638</v>
      </c>
      <c r="R12" s="86">
        <f ca="1" t="shared" si="6"/>
        <v>0.080828</v>
      </c>
      <c r="S12" s="86">
        <f ca="1" t="shared" si="6"/>
        <v>-448.947719</v>
      </c>
      <c r="T12" s="86">
        <f ca="1" t="shared" si="6"/>
        <v>9.14715</v>
      </c>
    </row>
    <row r="13" spans="3:20" ht="13.5" thickBot="1">
      <c r="C13" s="14">
        <f ca="1" t="shared" si="1"/>
      </c>
      <c r="D13" s="15" t="str">
        <f ca="1" t="shared" si="1"/>
        <v>PM9</v>
      </c>
      <c r="E13" s="15" t="str">
        <f ca="1" t="shared" si="1"/>
        <v>Phot</v>
      </c>
      <c r="F13" s="15" t="str">
        <f ca="1" t="shared" si="2"/>
        <v>Mirror</v>
      </c>
      <c r="G13" s="16">
        <f ca="1" t="shared" si="3"/>
        <v>27</v>
      </c>
      <c r="H13" s="16">
        <f t="shared" si="5"/>
        <v>49</v>
      </c>
      <c r="I13" s="86">
        <f ca="1" t="shared" si="6"/>
        <v>0</v>
      </c>
      <c r="J13" s="86">
        <f ca="1" t="shared" si="6"/>
        <v>-544.281002</v>
      </c>
      <c r="K13" s="86">
        <f ca="1" t="shared" si="6"/>
        <v>97.528965</v>
      </c>
      <c r="L13" s="86">
        <f ca="1" t="shared" si="6"/>
      </c>
      <c r="M13" s="86">
        <f ca="1" t="shared" si="6"/>
      </c>
      <c r="N13" s="86">
        <f ca="1" t="shared" si="6"/>
      </c>
      <c r="O13" s="86">
        <f ca="1" t="shared" si="6"/>
        <v>-6.04551</v>
      </c>
      <c r="P13" s="86">
        <f ca="1" t="shared" si="6"/>
        <v>-544.828974</v>
      </c>
      <c r="Q13" s="86">
        <f ca="1" t="shared" si="6"/>
        <v>97.188646</v>
      </c>
      <c r="R13" s="86">
        <f ca="1" t="shared" si="6"/>
        <v>-6.533386</v>
      </c>
      <c r="S13" s="86">
        <f ca="1" t="shared" si="6"/>
        <v>-543.756057</v>
      </c>
      <c r="T13" s="86">
        <f ca="1" t="shared" si="6"/>
        <v>97.729392</v>
      </c>
    </row>
    <row r="14" spans="3:20" ht="12.75">
      <c r="C14" s="10" t="str">
        <f ca="1" t="shared" si="1"/>
        <v>Short wave</v>
      </c>
      <c r="D14" s="11" t="str">
        <f ca="1" t="shared" si="1"/>
        <v>PDIC1</v>
      </c>
      <c r="E14" s="11" t="str">
        <f ca="1" t="shared" si="1"/>
        <v>Phot</v>
      </c>
      <c r="F14" s="11" t="str">
        <f ca="1" t="shared" si="2"/>
        <v>Hole</v>
      </c>
      <c r="G14" s="12">
        <f ca="1" t="shared" si="3"/>
        <v>31</v>
      </c>
      <c r="H14" s="12">
        <f t="shared" si="5"/>
        <v>53</v>
      </c>
      <c r="I14" s="86">
        <f ca="1" t="shared" si="6"/>
        <v>0</v>
      </c>
      <c r="J14" s="86">
        <f ca="1" t="shared" si="6"/>
        <v>-527.45872</v>
      </c>
      <c r="K14" s="86">
        <f ca="1" t="shared" si="6"/>
        <v>-36.419239</v>
      </c>
      <c r="L14" s="86">
        <f ca="1" t="shared" si="6"/>
      </c>
      <c r="M14" s="86">
        <f ca="1" t="shared" si="6"/>
      </c>
      <c r="N14" s="86">
        <f ca="1" t="shared" si="6"/>
      </c>
      <c r="O14" s="86">
        <f ca="1" t="shared" si="6"/>
        <v>-8.033705</v>
      </c>
      <c r="P14" s="86">
        <f ca="1" t="shared" si="6"/>
        <v>-528.127272</v>
      </c>
      <c r="Q14" s="86">
        <f ca="1" t="shared" si="6"/>
        <v>-36.733246</v>
      </c>
      <c r="R14" s="86">
        <f ca="1" t="shared" si="6"/>
        <v>-8.679048</v>
      </c>
      <c r="S14" s="86">
        <f ca="1" t="shared" si="6"/>
        <v>-526.814757</v>
      </c>
      <c r="T14" s="86">
        <f ca="1" t="shared" si="6"/>
        <v>-36.116781</v>
      </c>
    </row>
    <row r="15" spans="3:20" ht="12.75">
      <c r="C15" s="18">
        <f ca="1" t="shared" si="1"/>
      </c>
      <c r="D15" s="19" t="str">
        <f ca="1" t="shared" si="1"/>
        <v>PM10</v>
      </c>
      <c r="E15" s="19" t="str">
        <f ca="1" t="shared" si="1"/>
        <v>Phot</v>
      </c>
      <c r="F15" s="19" t="str">
        <f ca="1" t="shared" si="2"/>
        <v>Mirror</v>
      </c>
      <c r="G15" s="20">
        <f ca="1" t="shared" si="3"/>
        <v>36</v>
      </c>
      <c r="H15" s="20">
        <f t="shared" si="5"/>
        <v>58</v>
      </c>
      <c r="I15" s="86">
        <f ca="1" t="shared" si="6"/>
        <v>1.82E-14</v>
      </c>
      <c r="J15" s="86">
        <f ca="1" t="shared" si="6"/>
        <v>-619.802462</v>
      </c>
      <c r="K15" s="86">
        <f ca="1" t="shared" si="6"/>
        <v>62.057922</v>
      </c>
      <c r="L15" s="86">
        <f ca="1" t="shared" si="6"/>
      </c>
      <c r="M15" s="86">
        <f ca="1" t="shared" si="6"/>
      </c>
      <c r="N15" s="86">
        <f ca="1" t="shared" si="6"/>
      </c>
      <c r="O15" s="86">
        <f ca="1" t="shared" si="6"/>
        <v>-10.168951</v>
      </c>
      <c r="P15" s="86">
        <f ca="1" t="shared" si="6"/>
        <v>-627.36187</v>
      </c>
      <c r="Q15" s="86">
        <f ca="1" t="shared" si="6"/>
        <v>68.909762</v>
      </c>
      <c r="R15" s="86">
        <f ca="1" t="shared" si="6"/>
        <v>-11.004597</v>
      </c>
      <c r="S15" s="86">
        <f ca="1" t="shared" si="6"/>
        <v>-626.732892</v>
      </c>
      <c r="T15" s="86">
        <f ca="1" t="shared" si="6"/>
        <v>70.64512</v>
      </c>
    </row>
    <row r="16" spans="3:20" ht="13.5" thickBot="1">
      <c r="C16" s="14">
        <f ca="1" t="shared" si="1"/>
      </c>
      <c r="D16" s="15" t="str">
        <f ca="1" t="shared" si="1"/>
        <v>PSW</v>
      </c>
      <c r="E16" s="15" t="str">
        <f ca="1" t="shared" si="1"/>
        <v>Phot</v>
      </c>
      <c r="F16" s="15" t="str">
        <f ca="1" t="shared" si="2"/>
        <v>Det</v>
      </c>
      <c r="G16" s="16">
        <f ca="1" t="shared" si="3"/>
        <v>38</v>
      </c>
      <c r="H16" s="16">
        <f t="shared" si="5"/>
        <v>60</v>
      </c>
      <c r="I16" s="86">
        <f ca="1" t="shared" si="6"/>
        <v>-50</v>
      </c>
      <c r="J16" s="86">
        <f ca="1" t="shared" si="6"/>
        <v>-619.802728</v>
      </c>
      <c r="K16" s="86">
        <f ca="1" t="shared" si="6"/>
        <v>62.057673</v>
      </c>
      <c r="L16" s="86">
        <f ca="1" t="shared" si="6"/>
      </c>
      <c r="M16" s="86">
        <f ca="1" t="shared" si="6"/>
      </c>
      <c r="N16" s="86">
        <f ca="1" t="shared" si="6"/>
      </c>
      <c r="O16" s="86">
        <f ca="1" t="shared" si="6"/>
        <v>-50</v>
      </c>
      <c r="P16" s="86">
        <f ca="1" t="shared" si="6"/>
        <v>-627.788504</v>
      </c>
      <c r="Q16" s="86">
        <f ca="1" t="shared" si="6"/>
        <v>69.31411</v>
      </c>
      <c r="R16" s="86">
        <f ca="1" t="shared" si="6"/>
        <v>-50</v>
      </c>
      <c r="S16" s="86">
        <f ca="1" t="shared" si="6"/>
        <v>-627.129735</v>
      </c>
      <c r="T16" s="86">
        <f ca="1" t="shared" si="6"/>
        <v>71.123186</v>
      </c>
    </row>
    <row r="17" spans="3:20" ht="13.5" thickBot="1">
      <c r="C17" s="19">
        <f ca="1" t="shared" si="1"/>
      </c>
      <c r="D17" s="19" t="str">
        <f ca="1" t="shared" si="1"/>
        <v>PDIC1</v>
      </c>
      <c r="E17" s="1" t="str">
        <f ca="1" t="shared" si="1"/>
        <v>Phot</v>
      </c>
      <c r="F17" s="1" t="str">
        <f ca="1" t="shared" si="2"/>
        <v>Ignore</v>
      </c>
      <c r="G17" s="8">
        <f ca="1" t="shared" si="3"/>
        <v>31</v>
      </c>
      <c r="H17" s="8">
        <f t="shared" si="5"/>
        <v>53</v>
      </c>
      <c r="I17" s="86">
        <f ca="1" t="shared" si="6"/>
        <v>0</v>
      </c>
      <c r="J17" s="86">
        <f ca="1" t="shared" si="6"/>
        <v>-527.45872</v>
      </c>
      <c r="K17" s="86">
        <f ca="1" t="shared" si="6"/>
        <v>-36.419239</v>
      </c>
      <c r="L17" s="86">
        <f ca="1" t="shared" si="6"/>
      </c>
      <c r="M17" s="86">
        <f ca="1" t="shared" si="6"/>
      </c>
      <c r="N17" s="86">
        <f ca="1" t="shared" si="6"/>
      </c>
      <c r="O17" s="86">
        <f ca="1" t="shared" si="6"/>
        <v>-8.033705</v>
      </c>
      <c r="P17" s="86">
        <f ca="1" t="shared" si="6"/>
        <v>-528.127272</v>
      </c>
      <c r="Q17" s="86">
        <f ca="1" t="shared" si="6"/>
        <v>-36.733246</v>
      </c>
      <c r="R17" s="86">
        <f ca="1" t="shared" si="6"/>
        <v>-8.679048</v>
      </c>
      <c r="S17" s="86">
        <f ca="1" t="shared" si="6"/>
        <v>-526.814757</v>
      </c>
      <c r="T17" s="86">
        <f ca="1" t="shared" si="6"/>
        <v>-36.116781</v>
      </c>
    </row>
    <row r="18" spans="3:20" ht="12.75">
      <c r="C18" s="10" t="str">
        <f ca="1" t="shared" si="1"/>
        <v>Medium wave</v>
      </c>
      <c r="D18" s="11" t="str">
        <f ca="1" t="shared" si="1"/>
        <v>PDIC2</v>
      </c>
      <c r="E18" s="11" t="str">
        <f ca="1" t="shared" si="1"/>
        <v>Phot</v>
      </c>
      <c r="F18" s="11" t="str">
        <f ca="1" t="shared" si="2"/>
        <v>Hole</v>
      </c>
      <c r="G18" s="12">
        <f ca="1" t="shared" si="3"/>
        <v>46</v>
      </c>
      <c r="H18" s="12">
        <f t="shared" si="5"/>
        <v>68</v>
      </c>
      <c r="I18" s="86">
        <f ca="1" t="shared" si="6"/>
        <v>-4.41E-16</v>
      </c>
      <c r="J18" s="86">
        <f ca="1" t="shared" si="6"/>
        <v>-514.997754</v>
      </c>
      <c r="K18" s="86">
        <f ca="1" t="shared" si="6"/>
        <v>-135.640264</v>
      </c>
      <c r="L18" s="86">
        <f ca="1" t="shared" si="6"/>
      </c>
      <c r="M18" s="86">
        <f ca="1" t="shared" si="6"/>
      </c>
      <c r="N18" s="86">
        <f ca="1" t="shared" si="6"/>
      </c>
      <c r="O18" s="86">
        <f ca="1" t="shared" si="6"/>
        <v>-9.569267</v>
      </c>
      <c r="P18" s="86">
        <f ca="1" t="shared" si="6"/>
        <v>-515.227885</v>
      </c>
      <c r="Q18" s="86">
        <f ca="1" t="shared" si="6"/>
        <v>-140.166446</v>
      </c>
      <c r="R18" s="86">
        <f ca="1" t="shared" si="6"/>
        <v>-10.349698</v>
      </c>
      <c r="S18" s="86">
        <f ca="1" t="shared" si="6"/>
        <v>-513.62396</v>
      </c>
      <c r="T18" s="86">
        <f ca="1" t="shared" si="6"/>
        <v>-140.331781</v>
      </c>
    </row>
    <row r="19" spans="3:20" ht="13.5" thickBot="1">
      <c r="C19" s="14">
        <f ca="1" t="shared" si="1"/>
      </c>
      <c r="D19" s="15" t="str">
        <f ca="1" t="shared" si="1"/>
        <v>PMW</v>
      </c>
      <c r="E19" s="15" t="str">
        <f ca="1" t="shared" si="1"/>
        <v>Phot</v>
      </c>
      <c r="F19" s="15" t="str">
        <f ca="1" t="shared" si="2"/>
        <v>Det</v>
      </c>
      <c r="G19" s="16">
        <f ca="1" t="shared" si="3"/>
        <v>51</v>
      </c>
      <c r="H19" s="16">
        <f t="shared" si="5"/>
        <v>73</v>
      </c>
      <c r="I19" s="86">
        <f ca="1" t="shared" si="6"/>
        <v>-65.113778</v>
      </c>
      <c r="J19" s="86">
        <f ca="1" t="shared" si="6"/>
        <v>-521.807023</v>
      </c>
      <c r="K19" s="86">
        <f ca="1" t="shared" si="6"/>
        <v>-81.429289</v>
      </c>
      <c r="L19" s="86">
        <f ca="1" t="shared" si="6"/>
      </c>
      <c r="M19" s="86">
        <f ca="1" t="shared" si="6"/>
      </c>
      <c r="N19" s="86">
        <f ca="1" t="shared" si="6"/>
      </c>
      <c r="O19" s="86">
        <f ca="1" t="shared" si="6"/>
        <v>-72.027431</v>
      </c>
      <c r="P19" s="86">
        <f ca="1" t="shared" si="6"/>
        <v>-521.635326</v>
      </c>
      <c r="Q19" s="86">
        <f ca="1" t="shared" si="6"/>
        <v>-89.711826</v>
      </c>
      <c r="R19" s="86">
        <f ca="1" t="shared" si="6"/>
        <v>-72.58604</v>
      </c>
      <c r="S19" s="86">
        <f ca="1" t="shared" si="6"/>
        <v>-519.847765</v>
      </c>
      <c r="T19" s="86">
        <f ca="1" t="shared" si="6"/>
        <v>-90.158272</v>
      </c>
    </row>
    <row r="20" spans="3:20" ht="13.5" thickBot="1">
      <c r="C20" s="19">
        <f ca="1" t="shared" si="1"/>
      </c>
      <c r="D20" s="19" t="str">
        <f ca="1" t="shared" si="1"/>
        <v>PDIC2</v>
      </c>
      <c r="E20" s="1" t="str">
        <f ca="1" t="shared" si="1"/>
        <v>Phot</v>
      </c>
      <c r="F20" s="1" t="str">
        <f ca="1" t="shared" si="2"/>
        <v>Ignore</v>
      </c>
      <c r="G20" s="8">
        <f ca="1" t="shared" si="3"/>
        <v>46</v>
      </c>
      <c r="H20" s="8">
        <f t="shared" si="5"/>
        <v>68</v>
      </c>
      <c r="I20" s="86">
        <f ca="1" t="shared" si="6"/>
        <v>-4.41E-16</v>
      </c>
      <c r="J20" s="86">
        <f ca="1" t="shared" si="6"/>
        <v>-514.997754</v>
      </c>
      <c r="K20" s="86">
        <f ca="1" t="shared" si="6"/>
        <v>-135.640264</v>
      </c>
      <c r="L20" s="86">
        <f ca="1" t="shared" si="6"/>
      </c>
      <c r="M20" s="86">
        <f ca="1" t="shared" si="6"/>
      </c>
      <c r="N20" s="86">
        <f ca="1" t="shared" si="6"/>
      </c>
      <c r="O20" s="86">
        <f ca="1" t="shared" si="6"/>
        <v>-9.569267</v>
      </c>
      <c r="P20" s="86">
        <f ca="1" t="shared" si="6"/>
        <v>-515.227885</v>
      </c>
      <c r="Q20" s="86">
        <f ca="1" t="shared" si="6"/>
        <v>-140.166446</v>
      </c>
      <c r="R20" s="86">
        <f ca="1" t="shared" si="6"/>
        <v>-10.349698</v>
      </c>
      <c r="S20" s="86">
        <f ca="1" t="shared" si="6"/>
        <v>-513.62396</v>
      </c>
      <c r="T20" s="86">
        <f ca="1" t="shared" si="6"/>
        <v>-140.331781</v>
      </c>
    </row>
    <row r="21" spans="3:20" ht="12.75">
      <c r="C21" s="10" t="str">
        <f ca="1" t="shared" si="1"/>
        <v>Long wave</v>
      </c>
      <c r="D21" s="11" t="str">
        <f ca="1" t="shared" si="1"/>
        <v>PM11</v>
      </c>
      <c r="E21" s="11" t="str">
        <f ca="1" t="shared" si="1"/>
        <v>Phot</v>
      </c>
      <c r="F21" s="11" t="str">
        <f ca="1" t="shared" si="2"/>
        <v>Mirror</v>
      </c>
      <c r="G21" s="12">
        <f ca="1" t="shared" si="3"/>
        <v>57</v>
      </c>
      <c r="H21" s="12">
        <f t="shared" si="5"/>
        <v>79</v>
      </c>
      <c r="I21" s="86">
        <f ca="1" t="shared" si="6"/>
        <v>-4.78E-15</v>
      </c>
      <c r="J21" s="86">
        <f ca="1" t="shared" si="6"/>
        <v>-509.514911</v>
      </c>
      <c r="K21" s="86">
        <f ca="1" t="shared" si="6"/>
        <v>-179.297659</v>
      </c>
      <c r="L21" s="86">
        <f ca="1" t="shared" si="6"/>
      </c>
      <c r="M21" s="86">
        <f ca="1" t="shared" si="6"/>
      </c>
      <c r="N21" s="86">
        <f ca="1" t="shared" si="6"/>
      </c>
      <c r="O21" s="86">
        <f ca="1" t="shared" si="6"/>
        <v>-10.137949</v>
      </c>
      <c r="P21" s="86">
        <f ca="1" t="shared" si="6"/>
        <v>-510.45071</v>
      </c>
      <c r="Q21" s="86">
        <f ca="1" t="shared" si="6"/>
        <v>-178.47202</v>
      </c>
      <c r="R21" s="86">
        <f ca="1" t="shared" si="6"/>
        <v>-10.987456</v>
      </c>
      <c r="S21" s="86">
        <f ca="1" t="shared" si="6"/>
        <v>-508.588478</v>
      </c>
      <c r="T21" s="86">
        <f ca="1" t="shared" si="6"/>
        <v>-180.115035</v>
      </c>
    </row>
    <row r="22" spans="3:20" ht="13.5" thickBot="1">
      <c r="C22" s="14">
        <f aca="true" ca="1" t="shared" si="7" ref="C22:E41">IF(INDIRECT("SurfaceList!"&amp;ThisCol)="","",INDIRECT("SurfaceList!"&amp;ThisCol))</f>
      </c>
      <c r="D22" s="15" t="str">
        <f ca="1" t="shared" si="7"/>
        <v>PLW</v>
      </c>
      <c r="E22" s="15" t="str">
        <f ca="1" t="shared" si="7"/>
        <v>Phot</v>
      </c>
      <c r="F22" s="15" t="str">
        <f ca="1" t="shared" si="2"/>
        <v>Det</v>
      </c>
      <c r="G22" s="16">
        <f ca="1" t="shared" si="3"/>
        <v>59</v>
      </c>
      <c r="H22" s="16">
        <f t="shared" si="5"/>
        <v>81</v>
      </c>
      <c r="I22" s="86">
        <f aca="true" ca="1" t="shared" si="8" ref="I22:T31">IF(OR(System="Common",System=Syst,Ray="Cent"),INDIRECT(Syst&amp;Ray&amp;"Ray!"&amp;INDIRECT(Axe&amp;"col")&amp;FIXED(Line,0)),"")</f>
        <v>9.28E-15</v>
      </c>
      <c r="J22" s="86">
        <f ca="1" t="shared" si="8"/>
        <v>-468.515249</v>
      </c>
      <c r="K22" s="86">
        <f ca="1" t="shared" si="8"/>
        <v>-179.298363</v>
      </c>
      <c r="L22" s="86">
        <f ca="1" t="shared" si="8"/>
      </c>
      <c r="M22" s="86">
        <f ca="1" t="shared" si="8"/>
      </c>
      <c r="N22" s="86">
        <f ca="1" t="shared" si="8"/>
      </c>
      <c r="O22" s="86">
        <f ca="1" t="shared" si="8"/>
        <v>-10.755735</v>
      </c>
      <c r="P22" s="86">
        <f ca="1" t="shared" si="8"/>
        <v>-468.515228</v>
      </c>
      <c r="Q22" s="86">
        <f ca="1" t="shared" si="8"/>
        <v>-178.436583</v>
      </c>
      <c r="R22" s="86">
        <f ca="1" t="shared" si="8"/>
        <v>-11.624777</v>
      </c>
      <c r="S22" s="86">
        <f ca="1" t="shared" si="8"/>
        <v>-468.51527</v>
      </c>
      <c r="T22" s="86">
        <f ca="1" t="shared" si="8"/>
        <v>-180.154575</v>
      </c>
    </row>
    <row r="23" spans="3:28" ht="13.5" thickBot="1">
      <c r="C23" s="19">
        <f ca="1" t="shared" si="7"/>
      </c>
      <c r="D23" s="19" t="str">
        <f ca="1" t="shared" si="7"/>
        <v>CM5</v>
      </c>
      <c r="E23" s="19" t="str">
        <f ca="1" t="shared" si="7"/>
        <v>Spec</v>
      </c>
      <c r="F23" s="15" t="str">
        <f ca="1" t="shared" si="2"/>
        <v>Ignore</v>
      </c>
      <c r="G23" s="20">
        <f ca="1" t="shared" si="3"/>
        <v>17</v>
      </c>
      <c r="H23" s="20">
        <f aca="true" t="shared" si="9" ref="H23:H49">SurfNum+Line0</f>
        <v>39</v>
      </c>
      <c r="I23" s="86">
        <f ca="1" t="shared" si="8"/>
      </c>
      <c r="J23" s="86">
        <f ca="1" t="shared" si="8"/>
      </c>
      <c r="K23" s="86">
        <f ca="1" t="shared" si="8"/>
      </c>
      <c r="L23" s="86">
        <f ca="1" t="shared" si="8"/>
        <v>58.001413</v>
      </c>
      <c r="M23" s="86">
        <f ca="1" t="shared" si="8"/>
        <v>-183.378925</v>
      </c>
      <c r="N23" s="86">
        <f ca="1" t="shared" si="8"/>
        <v>76.879467</v>
      </c>
      <c r="O23" s="86">
        <f ca="1" t="shared" si="8"/>
        <v>18.0297</v>
      </c>
      <c r="P23" s="86">
        <f ca="1" t="shared" si="8"/>
        <v>-178.482563</v>
      </c>
      <c r="Q23" s="86">
        <f ca="1" t="shared" si="8"/>
        <v>81.282101</v>
      </c>
      <c r="R23" s="86">
        <f ca="1" t="shared" si="8"/>
        <v>19.499867</v>
      </c>
      <c r="S23" s="86">
        <f ca="1" t="shared" si="8"/>
        <v>-181.314796</v>
      </c>
      <c r="T23" s="86">
        <f ca="1" t="shared" si="8"/>
        <v>81.945342</v>
      </c>
      <c r="U23" s="19"/>
      <c r="V23" s="19"/>
      <c r="W23" s="19"/>
      <c r="X23" s="19"/>
      <c r="Y23" s="19"/>
      <c r="Z23" s="19"/>
      <c r="AA23" s="19"/>
      <c r="AB23" s="19"/>
    </row>
    <row r="24" spans="3:28" ht="12.75">
      <c r="C24" s="10" t="str">
        <f ca="1" t="shared" si="7"/>
        <v>Spectrometer optics</v>
      </c>
      <c r="D24" s="11" t="str">
        <f ca="1" t="shared" si="7"/>
        <v>SM6</v>
      </c>
      <c r="E24" s="11" t="str">
        <f ca="1" t="shared" si="7"/>
        <v>Spec</v>
      </c>
      <c r="F24" s="11" t="str">
        <f ca="1" t="shared" si="2"/>
        <v>Mirror</v>
      </c>
      <c r="G24" s="12">
        <f ca="1" t="shared" si="3"/>
        <v>22</v>
      </c>
      <c r="H24" s="20">
        <f t="shared" si="9"/>
        <v>44</v>
      </c>
      <c r="I24" s="86">
        <f ca="1" t="shared" si="8"/>
      </c>
      <c r="J24" s="86">
        <f ca="1" t="shared" si="8"/>
      </c>
      <c r="K24" s="86">
        <f ca="1" t="shared" si="8"/>
      </c>
      <c r="L24" s="86">
        <f ca="1" t="shared" si="8"/>
        <v>33.819095</v>
      </c>
      <c r="M24" s="86">
        <f ca="1" t="shared" si="8"/>
        <v>-263.977827</v>
      </c>
      <c r="N24" s="86">
        <f ca="1" t="shared" si="8"/>
        <v>-104.147355</v>
      </c>
      <c r="O24" s="86">
        <f ca="1" t="shared" si="8"/>
        <v>15.521875</v>
      </c>
      <c r="P24" s="86">
        <f ca="1" t="shared" si="8"/>
        <v>-277.506548</v>
      </c>
      <c r="Q24" s="86">
        <f ca="1" t="shared" si="8"/>
        <v>106.787347</v>
      </c>
      <c r="R24" s="86">
        <f ca="1" t="shared" si="8"/>
        <v>16.690589</v>
      </c>
      <c r="S24" s="86">
        <f ca="1" t="shared" si="8"/>
        <v>-280.923961</v>
      </c>
      <c r="T24" s="86">
        <f ca="1" t="shared" si="8"/>
        <v>107.75419</v>
      </c>
      <c r="U24" s="19"/>
      <c r="V24" s="19"/>
      <c r="W24" s="19"/>
      <c r="X24" s="19"/>
      <c r="Y24" s="19"/>
      <c r="Z24" s="19"/>
      <c r="AA24" s="19"/>
      <c r="AB24" s="19"/>
    </row>
    <row r="25" spans="3:28" ht="12.75">
      <c r="C25" s="18">
        <f ca="1" t="shared" si="7"/>
      </c>
      <c r="D25" s="19" t="str">
        <f ca="1" t="shared" si="7"/>
        <v>SCS</v>
      </c>
      <c r="E25" s="19" t="str">
        <f ca="1" t="shared" si="7"/>
        <v>Spec</v>
      </c>
      <c r="F25" s="19" t="str">
        <f ca="1" t="shared" si="2"/>
        <v>Hole</v>
      </c>
      <c r="G25" s="20">
        <f ca="1" t="shared" si="3"/>
        <v>26</v>
      </c>
      <c r="H25" s="20">
        <f t="shared" si="9"/>
        <v>48</v>
      </c>
      <c r="I25" s="86">
        <f ca="1" t="shared" si="8"/>
      </c>
      <c r="J25" s="86">
        <f ca="1" t="shared" si="8"/>
      </c>
      <c r="K25" s="86">
        <f ca="1" t="shared" si="8"/>
      </c>
      <c r="L25" s="86">
        <f ca="1" t="shared" si="8"/>
        <v>141.695796</v>
      </c>
      <c r="M25" s="86">
        <f ca="1" t="shared" si="8"/>
        <v>-233.044025</v>
      </c>
      <c r="N25" s="86">
        <f ca="1" t="shared" si="8"/>
        <v>-112.984032</v>
      </c>
      <c r="O25" s="86">
        <f ca="1" t="shared" si="8"/>
        <v>0.087781</v>
      </c>
      <c r="P25" s="86">
        <f ca="1" t="shared" si="8"/>
        <v>-448.950976</v>
      </c>
      <c r="Q25" s="86">
        <f ca="1" t="shared" si="8"/>
        <v>9.143638</v>
      </c>
      <c r="R25" s="86">
        <f ca="1" t="shared" si="8"/>
        <v>0.080828</v>
      </c>
      <c r="S25" s="86">
        <f ca="1" t="shared" si="8"/>
        <v>-448.947719</v>
      </c>
      <c r="T25" s="86">
        <f ca="1" t="shared" si="8"/>
        <v>9.14715</v>
      </c>
      <c r="U25" s="19"/>
      <c r="V25" s="19"/>
      <c r="W25" s="19"/>
      <c r="X25" s="19"/>
      <c r="Y25" s="19"/>
      <c r="Z25" s="19"/>
      <c r="AA25" s="19"/>
      <c r="AB25" s="19"/>
    </row>
    <row r="26" spans="3:28" ht="12.75">
      <c r="C26" s="18">
        <f ca="1" t="shared" si="7"/>
      </c>
      <c r="D26" s="19" t="str">
        <f ca="1" t="shared" si="7"/>
        <v>SM7</v>
      </c>
      <c r="E26" s="19" t="str">
        <f ca="1" t="shared" si="7"/>
        <v>Spec</v>
      </c>
      <c r="F26" s="19" t="str">
        <f ca="1" t="shared" si="2"/>
        <v>Mirror</v>
      </c>
      <c r="G26" s="20">
        <f ca="1" t="shared" si="3"/>
        <v>30</v>
      </c>
      <c r="H26" s="20">
        <f t="shared" si="9"/>
        <v>52</v>
      </c>
      <c r="I26" s="86">
        <f ca="1" t="shared" si="8"/>
      </c>
      <c r="J26" s="86">
        <f ca="1" t="shared" si="8"/>
      </c>
      <c r="K26" s="86">
        <f ca="1" t="shared" si="8"/>
      </c>
      <c r="L26" s="86">
        <f ca="1" t="shared" si="8"/>
        <v>170.85951</v>
      </c>
      <c r="M26" s="86">
        <f ca="1" t="shared" si="8"/>
        <v>-224.681288</v>
      </c>
      <c r="N26" s="86">
        <f ca="1" t="shared" si="8"/>
        <v>-115.372966</v>
      </c>
      <c r="O26" s="86">
        <f ca="1" t="shared" si="8"/>
        <v>-10.755735</v>
      </c>
      <c r="P26" s="86">
        <f ca="1" t="shared" si="8"/>
        <v>-505.261042</v>
      </c>
      <c r="Q26" s="86">
        <f ca="1" t="shared" si="8"/>
        <v>-220.085158</v>
      </c>
      <c r="R26" s="86">
        <f ca="1" t="shared" si="8"/>
        <v>-11.624777</v>
      </c>
      <c r="S26" s="86">
        <f ca="1" t="shared" si="8"/>
        <v>-503.556441</v>
      </c>
      <c r="T26" s="86">
        <f ca="1" t="shared" si="8"/>
        <v>-219.871068</v>
      </c>
      <c r="U26" s="19"/>
      <c r="V26" s="19"/>
      <c r="W26" s="19"/>
      <c r="X26" s="19"/>
      <c r="Y26" s="19"/>
      <c r="Z26" s="19"/>
      <c r="AA26" s="19"/>
      <c r="AB26" s="19"/>
    </row>
    <row r="27" spans="3:28" ht="13.5" thickBot="1">
      <c r="C27" s="14">
        <f ca="1" t="shared" si="7"/>
      </c>
      <c r="D27" s="15" t="str">
        <f ca="1" t="shared" si="7"/>
        <v>SM8A</v>
      </c>
      <c r="E27" s="15" t="str">
        <f ca="1" t="shared" si="7"/>
        <v>Spec</v>
      </c>
      <c r="F27" s="15" t="str">
        <f ca="1" t="shared" si="2"/>
        <v>Mirror</v>
      </c>
      <c r="G27" s="20">
        <f ca="1" t="shared" si="3"/>
        <v>36</v>
      </c>
      <c r="H27" s="20">
        <f t="shared" si="9"/>
        <v>58</v>
      </c>
      <c r="I27" s="86">
        <f ca="1" t="shared" si="8"/>
      </c>
      <c r="J27" s="86">
        <f ca="1" t="shared" si="8"/>
      </c>
      <c r="K27" s="86">
        <f ca="1" t="shared" si="8"/>
      </c>
      <c r="L27" s="86">
        <f ca="1" t="shared" si="8"/>
        <v>170.860517</v>
      </c>
      <c r="M27" s="86">
        <f ca="1" t="shared" si="8"/>
        <v>-234.578711</v>
      </c>
      <c r="N27" s="86">
        <f ca="1" t="shared" si="8"/>
        <v>-171.504392</v>
      </c>
      <c r="O27" s="86">
        <f ca="1" t="shared" si="8"/>
        <v>-10.168951</v>
      </c>
      <c r="P27" s="86">
        <f ca="1" t="shared" si="8"/>
        <v>-627.36187</v>
      </c>
      <c r="Q27" s="86">
        <f ca="1" t="shared" si="8"/>
        <v>68.909762</v>
      </c>
      <c r="R27" s="86">
        <f ca="1" t="shared" si="8"/>
        <v>-11.004597</v>
      </c>
      <c r="S27" s="86">
        <f ca="1" t="shared" si="8"/>
        <v>-626.732892</v>
      </c>
      <c r="T27" s="86">
        <f ca="1" t="shared" si="8"/>
        <v>70.64512</v>
      </c>
      <c r="U27" s="19"/>
      <c r="V27" s="19"/>
      <c r="W27" s="19"/>
      <c r="X27" s="19"/>
      <c r="Y27" s="19"/>
      <c r="Z27" s="19"/>
      <c r="AA27" s="19"/>
      <c r="AB27" s="19"/>
    </row>
    <row r="28" spans="3:28" ht="12.75">
      <c r="C28" s="10" t="str">
        <f ca="1" t="shared" si="7"/>
        <v>Upper arm</v>
      </c>
      <c r="D28" s="11" t="str">
        <f ca="1" t="shared" si="7"/>
        <v>SBS1</v>
      </c>
      <c r="E28" s="11" t="str">
        <f ca="1" t="shared" si="7"/>
        <v>Spec</v>
      </c>
      <c r="F28" s="11" t="str">
        <f ca="1" t="shared" si="2"/>
        <v>Hole</v>
      </c>
      <c r="G28" s="12">
        <f ca="1" t="shared" si="3"/>
        <v>39</v>
      </c>
      <c r="H28" s="20">
        <f t="shared" si="9"/>
        <v>61</v>
      </c>
      <c r="I28" s="86">
        <f ca="1" t="shared" si="8"/>
      </c>
      <c r="J28" s="86">
        <f ca="1" t="shared" si="8"/>
      </c>
      <c r="K28" s="86">
        <f ca="1" t="shared" si="8"/>
      </c>
      <c r="L28" s="86">
        <f ca="1" t="shared" si="8"/>
        <v>170.857397</v>
      </c>
      <c r="M28" s="86">
        <f ca="1" t="shared" si="8"/>
        <v>-321.3983</v>
      </c>
      <c r="N28" s="86">
        <f ca="1" t="shared" si="8"/>
        <v>-21.12771</v>
      </c>
      <c r="O28" s="86">
        <f ca="1" t="shared" si="8"/>
        <v>-34.14</v>
      </c>
      <c r="P28" s="86">
        <f ca="1" t="shared" si="8"/>
        <v>-627.618626</v>
      </c>
      <c r="Q28" s="86">
        <f ca="1" t="shared" si="8"/>
        <v>69.153106</v>
      </c>
      <c r="R28" s="86">
        <f ca="1" t="shared" si="8"/>
        <v>-34.14</v>
      </c>
      <c r="S28" s="86">
        <f ca="1" t="shared" si="8"/>
        <v>-626.968333</v>
      </c>
      <c r="T28" s="86">
        <f ca="1" t="shared" si="8"/>
        <v>70.928749</v>
      </c>
      <c r="U28" s="19"/>
      <c r="V28" s="19"/>
      <c r="W28" s="19"/>
      <c r="X28" s="19"/>
      <c r="Y28" s="19"/>
      <c r="Z28" s="19"/>
      <c r="AA28" s="19"/>
      <c r="AB28" s="19"/>
    </row>
    <row r="29" spans="3:28" ht="12.75">
      <c r="C29" s="18">
        <f ca="1" t="shared" si="7"/>
      </c>
      <c r="D29" s="19" t="str">
        <f ca="1" t="shared" si="7"/>
        <v>SM9A</v>
      </c>
      <c r="E29" s="19" t="str">
        <f ca="1" t="shared" si="7"/>
        <v>Spec</v>
      </c>
      <c r="F29" s="19" t="str">
        <f ca="1" t="shared" si="2"/>
        <v>Mirror</v>
      </c>
      <c r="G29" s="20">
        <f ca="1" t="shared" si="3"/>
        <v>43</v>
      </c>
      <c r="H29" s="20">
        <f t="shared" si="9"/>
        <v>65</v>
      </c>
      <c r="I29" s="86">
        <f ca="1" t="shared" si="8"/>
      </c>
      <c r="J29" s="86">
        <f ca="1" t="shared" si="8"/>
      </c>
      <c r="K29" s="86">
        <f ca="1" t="shared" si="8"/>
      </c>
      <c r="L29" s="86">
        <f ca="1" t="shared" si="8"/>
        <v>170.854284</v>
      </c>
      <c r="M29" s="86">
        <f ca="1" t="shared" si="8"/>
        <v>-407.99796</v>
      </c>
      <c r="N29" s="86">
        <f ca="1" t="shared" si="8"/>
        <v>-171.123463</v>
      </c>
      <c r="O29" s="86">
        <f ca="1" t="shared" si="8"/>
        <v>-10.019144</v>
      </c>
      <c r="P29" s="86">
        <f ca="1" t="shared" si="8"/>
        <v>-620.399652</v>
      </c>
      <c r="Q29" s="86">
        <f ca="1" t="shared" si="8"/>
        <v>61.497935</v>
      </c>
      <c r="R29" s="86">
        <f ca="1" t="shared" si="8"/>
        <v>-10.829581</v>
      </c>
      <c r="S29" s="86">
        <f ca="1" t="shared" si="8"/>
        <v>-619.213249</v>
      </c>
      <c r="T29" s="86">
        <f ca="1" t="shared" si="8"/>
        <v>62.610429</v>
      </c>
      <c r="U29" s="19"/>
      <c r="V29" s="19"/>
      <c r="W29" s="19"/>
      <c r="X29" s="19"/>
      <c r="Y29" s="19"/>
      <c r="Z29" s="19"/>
      <c r="AA29" s="19"/>
      <c r="AB29" s="19"/>
    </row>
    <row r="30" spans="3:28" ht="12.75">
      <c r="C30" s="18">
        <f ca="1" t="shared" si="7"/>
      </c>
      <c r="D30" s="19" t="str">
        <f ca="1" t="shared" si="7"/>
        <v>SRTA1</v>
      </c>
      <c r="E30" s="19" t="str">
        <f ca="1" t="shared" si="7"/>
        <v>Spec</v>
      </c>
      <c r="F30" s="19" t="str">
        <f ca="1" t="shared" si="2"/>
        <v>Mirror</v>
      </c>
      <c r="G30" s="20">
        <f ca="1" t="shared" si="3"/>
        <v>46</v>
      </c>
      <c r="H30" s="20">
        <f t="shared" si="9"/>
        <v>68</v>
      </c>
      <c r="I30" s="86">
        <f ca="1" t="shared" si="8"/>
      </c>
      <c r="J30" s="86">
        <f ca="1" t="shared" si="8"/>
      </c>
      <c r="K30" s="86">
        <f ca="1" t="shared" si="8"/>
      </c>
      <c r="L30" s="86">
        <f ca="1" t="shared" si="8"/>
        <v>170.854265</v>
      </c>
      <c r="M30" s="86">
        <f ca="1" t="shared" si="8"/>
        <v>-407.998264</v>
      </c>
      <c r="N30" s="86">
        <f ca="1" t="shared" si="8"/>
        <v>-46.123579</v>
      </c>
      <c r="O30" s="86">
        <f ca="1" t="shared" si="8"/>
        <v>-9.569267</v>
      </c>
      <c r="P30" s="86">
        <f ca="1" t="shared" si="8"/>
        <v>-515.227885</v>
      </c>
      <c r="Q30" s="86">
        <f ca="1" t="shared" si="8"/>
        <v>-140.166446</v>
      </c>
      <c r="R30" s="86">
        <f ca="1" t="shared" si="8"/>
        <v>-10.349698</v>
      </c>
      <c r="S30" s="86">
        <f ca="1" t="shared" si="8"/>
        <v>-513.62396</v>
      </c>
      <c r="T30" s="86">
        <f ca="1" t="shared" si="8"/>
        <v>-140.331781</v>
      </c>
      <c r="U30" s="19"/>
      <c r="V30" s="19"/>
      <c r="W30" s="19"/>
      <c r="X30" s="19"/>
      <c r="Y30" s="19"/>
      <c r="Z30" s="19"/>
      <c r="AA30" s="19"/>
      <c r="AB30" s="19"/>
    </row>
    <row r="31" spans="3:28" ht="12.75">
      <c r="C31" s="18">
        <f ca="1" t="shared" si="7"/>
      </c>
      <c r="D31" s="19" t="str">
        <f ca="1" t="shared" si="7"/>
        <v>SRTA2</v>
      </c>
      <c r="E31" s="19" t="str">
        <f ca="1" t="shared" si="7"/>
        <v>Spec</v>
      </c>
      <c r="F31" s="19" t="str">
        <f ca="1" t="shared" si="2"/>
        <v>Mirror</v>
      </c>
      <c r="G31" s="20">
        <f ca="1" t="shared" si="3"/>
        <v>51</v>
      </c>
      <c r="H31" s="20">
        <f t="shared" si="9"/>
        <v>73</v>
      </c>
      <c r="I31" s="86">
        <f ca="1" t="shared" si="8"/>
      </c>
      <c r="J31" s="86">
        <f ca="1" t="shared" si="8"/>
      </c>
      <c r="K31" s="86">
        <f ca="1" t="shared" si="8"/>
      </c>
      <c r="L31" s="86">
        <f ca="1" t="shared" si="8"/>
        <v>170.854258</v>
      </c>
      <c r="M31" s="86">
        <f ca="1" t="shared" si="8"/>
        <v>-457.998681</v>
      </c>
      <c r="N31" s="86">
        <f ca="1" t="shared" si="8"/>
        <v>-46.123457</v>
      </c>
      <c r="O31" s="86">
        <f ca="1" t="shared" si="8"/>
        <v>-72.027431</v>
      </c>
      <c r="P31" s="86">
        <f ca="1" t="shared" si="8"/>
        <v>-521.635326</v>
      </c>
      <c r="Q31" s="86">
        <f ca="1" t="shared" si="8"/>
        <v>-89.711826</v>
      </c>
      <c r="R31" s="86">
        <f ca="1" t="shared" si="8"/>
        <v>-72.58604</v>
      </c>
      <c r="S31" s="86">
        <f ca="1" t="shared" si="8"/>
        <v>-519.847765</v>
      </c>
      <c r="T31" s="86">
        <f ca="1" t="shared" si="8"/>
        <v>-90.158272</v>
      </c>
      <c r="U31" s="19"/>
      <c r="V31" s="19"/>
      <c r="W31" s="19"/>
      <c r="X31" s="19"/>
      <c r="Y31" s="19"/>
      <c r="Z31" s="19"/>
      <c r="AA31" s="19"/>
      <c r="AB31" s="19"/>
    </row>
    <row r="32" spans="3:28" ht="12.75">
      <c r="C32" s="18">
        <f ca="1" t="shared" si="7"/>
      </c>
      <c r="D32" s="19" t="str">
        <f ca="1" t="shared" si="7"/>
        <v>SM10A</v>
      </c>
      <c r="E32" s="19" t="str">
        <f ca="1" t="shared" si="7"/>
        <v>Spec</v>
      </c>
      <c r="F32" s="19" t="str">
        <f ca="1" t="shared" si="2"/>
        <v>Mirror</v>
      </c>
      <c r="G32" s="20">
        <f ca="1" t="shared" si="3"/>
        <v>56</v>
      </c>
      <c r="H32" s="20">
        <f t="shared" si="9"/>
        <v>78</v>
      </c>
      <c r="I32" s="86">
        <f aca="true" ca="1" t="shared" si="10" ref="I32:T41">IF(OR(System="Common",System=Syst,Ray="Cent"),INDIRECT(Syst&amp;Ray&amp;"Ray!"&amp;INDIRECT(Axe&amp;"col")&amp;FIXED(Line,0)),"")</f>
      </c>
      <c r="J32" s="86">
        <f ca="1" t="shared" si="10"/>
      </c>
      <c r="K32" s="86">
        <f ca="1" t="shared" si="10"/>
      </c>
      <c r="L32" s="86">
        <f ca="1" t="shared" si="10"/>
        <v>170.854239</v>
      </c>
      <c r="M32" s="86">
        <f ca="1" t="shared" si="10"/>
        <v>-457.998377</v>
      </c>
      <c r="N32" s="86">
        <f ca="1" t="shared" si="10"/>
        <v>-171.123268</v>
      </c>
      <c r="O32" s="86">
        <f ca="1" t="shared" si="10"/>
        <v>-9.503531</v>
      </c>
      <c r="P32" s="86">
        <f ca="1" t="shared" si="10"/>
        <v>-515.780101</v>
      </c>
      <c r="Q32" s="86">
        <f ca="1" t="shared" si="10"/>
        <v>-135.738523</v>
      </c>
      <c r="R32" s="86">
        <f ca="1" t="shared" si="10"/>
        <v>-10.272944</v>
      </c>
      <c r="S32" s="86">
        <f ca="1" t="shared" si="10"/>
        <v>-514.229985</v>
      </c>
      <c r="T32" s="86">
        <f ca="1" t="shared" si="10"/>
        <v>-135.543836</v>
      </c>
      <c r="U32" s="19"/>
      <c r="V32" s="19"/>
      <c r="W32" s="19"/>
      <c r="X32" s="19"/>
      <c r="Y32" s="19"/>
      <c r="Z32" s="19"/>
      <c r="AA32" s="19"/>
      <c r="AB32" s="19"/>
    </row>
    <row r="33" spans="3:28" ht="12.75">
      <c r="C33" s="18">
        <f ca="1" t="shared" si="7"/>
      </c>
      <c r="D33" s="19" t="str">
        <f ca="1" t="shared" si="7"/>
        <v>SBS2</v>
      </c>
      <c r="E33" s="19" t="str">
        <f ca="1" t="shared" si="7"/>
        <v>Spec</v>
      </c>
      <c r="F33" s="19" t="str">
        <f ca="1" t="shared" si="2"/>
        <v>Hole</v>
      </c>
      <c r="G33" s="20">
        <f ca="1" t="shared" si="3"/>
        <v>60</v>
      </c>
      <c r="H33" s="20">
        <f t="shared" si="9"/>
        <v>82</v>
      </c>
      <c r="I33" s="86">
        <f ca="1" t="shared" si="10"/>
      </c>
      <c r="J33" s="86">
        <f ca="1" t="shared" si="10"/>
      </c>
      <c r="K33" s="86">
        <f ca="1" t="shared" si="10"/>
      </c>
      <c r="L33" s="86">
        <f ca="1" t="shared" si="10"/>
        <v>170.857352</v>
      </c>
      <c r="M33" s="86">
        <f ca="1" t="shared" si="10"/>
        <v>-544.598115</v>
      </c>
      <c r="N33" s="86">
        <f ca="1" t="shared" si="10"/>
        <v>-21.12771</v>
      </c>
      <c r="O33" s="86">
        <f ca="1" t="shared" si="10"/>
        <v>-10.623296</v>
      </c>
      <c r="P33" s="86">
        <f ca="1" t="shared" si="10"/>
        <v>-477.505228</v>
      </c>
      <c r="Q33" s="86">
        <f ca="1" t="shared" si="10"/>
        <v>-178.44418</v>
      </c>
      <c r="R33" s="86">
        <f ca="1" t="shared" si="10"/>
        <v>-11.481801</v>
      </c>
      <c r="S33" s="86">
        <f ca="1" t="shared" si="10"/>
        <v>-477.50527</v>
      </c>
      <c r="T33" s="86">
        <f ca="1" t="shared" si="10"/>
        <v>-180.145705</v>
      </c>
      <c r="U33" s="19"/>
      <c r="V33" s="19"/>
      <c r="W33" s="19"/>
      <c r="X33" s="19"/>
      <c r="Y33" s="19"/>
      <c r="Z33" s="19"/>
      <c r="AA33" s="19"/>
      <c r="AB33" s="19"/>
    </row>
    <row r="34" spans="3:28" ht="12.75">
      <c r="C34" s="18">
        <f ca="1" t="shared" si="7"/>
      </c>
      <c r="D34" s="19" t="str">
        <f ca="1" t="shared" si="7"/>
        <v>SM11A</v>
      </c>
      <c r="E34" s="19" t="str">
        <f ca="1" t="shared" si="7"/>
        <v>Spec</v>
      </c>
      <c r="F34" s="19" t="str">
        <f ca="1" t="shared" si="2"/>
        <v>Mirror</v>
      </c>
      <c r="G34" s="20">
        <f ca="1" t="shared" si="3"/>
        <v>63</v>
      </c>
      <c r="H34" s="20">
        <f t="shared" si="9"/>
        <v>85</v>
      </c>
      <c r="I34" s="86">
        <f ca="1" t="shared" si="10"/>
      </c>
      <c r="J34" s="86">
        <f ca="1" t="shared" si="10"/>
      </c>
      <c r="K34" s="86">
        <f ca="1" t="shared" si="10"/>
      </c>
      <c r="L34" s="86">
        <f ca="1" t="shared" si="10"/>
        <v>170.860083</v>
      </c>
      <c r="M34" s="86">
        <f ca="1" t="shared" si="10"/>
        <v>-620.587965</v>
      </c>
      <c r="N34" s="86">
        <f ca="1" t="shared" si="10"/>
        <v>-152.74635</v>
      </c>
      <c r="O34" s="86">
        <f ca="1" t="shared" si="10"/>
        <v>-10.755735</v>
      </c>
      <c r="P34" s="86">
        <f ca="1" t="shared" si="10"/>
        <v>-468.515228</v>
      </c>
      <c r="Q34" s="86">
        <f ca="1" t="shared" si="10"/>
        <v>-178.436583</v>
      </c>
      <c r="R34" s="86">
        <f ca="1" t="shared" si="10"/>
        <v>-11.624777</v>
      </c>
      <c r="S34" s="86">
        <f ca="1" t="shared" si="10"/>
        <v>-468.51527</v>
      </c>
      <c r="T34" s="86">
        <f ca="1" t="shared" si="10"/>
        <v>-180.154575</v>
      </c>
      <c r="U34" s="19"/>
      <c r="V34" s="19"/>
      <c r="W34" s="19"/>
      <c r="X34" s="19"/>
      <c r="Y34" s="19"/>
      <c r="Z34" s="19"/>
      <c r="AA34" s="19"/>
      <c r="AB34" s="19"/>
    </row>
    <row r="35" spans="3:28" ht="12.75">
      <c r="C35" s="18">
        <f ca="1" t="shared" si="7"/>
      </c>
      <c r="D35" s="19" t="str">
        <f ca="1" t="shared" si="7"/>
        <v>SM12A</v>
      </c>
      <c r="E35" s="19" t="str">
        <f ca="1" t="shared" si="7"/>
        <v>Spec</v>
      </c>
      <c r="F35" s="19" t="str">
        <f ca="1" t="shared" si="2"/>
        <v>Mirror</v>
      </c>
      <c r="G35" s="20">
        <f ca="1" t="shared" si="3"/>
        <v>67</v>
      </c>
      <c r="H35" s="20">
        <f t="shared" si="9"/>
        <v>89</v>
      </c>
      <c r="I35" s="86">
        <f ca="1" t="shared" si="10"/>
      </c>
      <c r="J35" s="86">
        <f ca="1" t="shared" si="10"/>
      </c>
      <c r="K35" s="86">
        <f ca="1" t="shared" si="10"/>
      </c>
      <c r="L35" s="86">
        <f ca="1" t="shared" si="10"/>
        <v>170.858259</v>
      </c>
      <c r="M35" s="86">
        <f ca="1" t="shared" si="10"/>
        <v>-636.663312</v>
      </c>
      <c r="N35" s="86">
        <f ca="1" t="shared" si="10"/>
        <v>-61.581021</v>
      </c>
      <c r="O35" s="86">
        <f ca="1" t="shared" si="10"/>
        <v>0</v>
      </c>
      <c r="P35" s="86">
        <f ca="1" t="shared" si="10"/>
        <v>0</v>
      </c>
      <c r="Q35" s="86">
        <f ca="1" t="shared" si="10"/>
        <v>0</v>
      </c>
      <c r="R35" s="86">
        <f ca="1" t="shared" si="10"/>
        <v>0</v>
      </c>
      <c r="S35" s="86">
        <f ca="1" t="shared" si="10"/>
        <v>0</v>
      </c>
      <c r="T35" s="86">
        <f ca="1" t="shared" si="10"/>
        <v>0</v>
      </c>
      <c r="U35" s="19"/>
      <c r="V35" s="19"/>
      <c r="W35" s="19"/>
      <c r="X35" s="19"/>
      <c r="Y35" s="19"/>
      <c r="Z35" s="19"/>
      <c r="AA35" s="19"/>
      <c r="AB35" s="19"/>
    </row>
    <row r="36" spans="3:28" ht="12.75">
      <c r="C36" s="18">
        <f ca="1" t="shared" si="7"/>
      </c>
      <c r="D36" s="19" t="str">
        <f ca="1" t="shared" si="7"/>
        <v>SFLA</v>
      </c>
      <c r="E36" s="19" t="str">
        <f ca="1" t="shared" si="7"/>
        <v>Spec</v>
      </c>
      <c r="F36" s="19" t="str">
        <f ca="1" t="shared" si="2"/>
        <v>Hole</v>
      </c>
      <c r="G36" s="20">
        <f ca="1" t="shared" si="3"/>
        <v>69</v>
      </c>
      <c r="H36" s="20">
        <f t="shared" si="9"/>
        <v>91</v>
      </c>
      <c r="I36" s="86">
        <f ca="1" t="shared" si="10"/>
      </c>
      <c r="J36" s="86">
        <f ca="1" t="shared" si="10"/>
      </c>
      <c r="K36" s="86">
        <f ca="1" t="shared" si="10"/>
      </c>
      <c r="L36" s="86">
        <f ca="1" t="shared" si="10"/>
        <v>236.756678</v>
      </c>
      <c r="M36" s="86">
        <f ca="1" t="shared" si="10"/>
        <v>-636.663389</v>
      </c>
      <c r="N36" s="86">
        <f ca="1" t="shared" si="10"/>
        <v>-61.582353</v>
      </c>
      <c r="O36" s="86">
        <f ca="1" t="shared" si="10"/>
        <v>0</v>
      </c>
      <c r="P36" s="86">
        <f ca="1" t="shared" si="10"/>
        <v>0</v>
      </c>
      <c r="Q36" s="86">
        <f ca="1" t="shared" si="10"/>
        <v>0</v>
      </c>
      <c r="R36" s="86">
        <f ca="1" t="shared" si="10"/>
        <v>0</v>
      </c>
      <c r="S36" s="86">
        <f ca="1" t="shared" si="10"/>
        <v>0</v>
      </c>
      <c r="T36" s="86">
        <f ca="1" t="shared" si="10"/>
        <v>0</v>
      </c>
      <c r="U36" s="19"/>
      <c r="V36" s="19"/>
      <c r="W36" s="19"/>
      <c r="X36" s="19"/>
      <c r="Y36" s="19"/>
      <c r="Z36" s="19"/>
      <c r="AA36" s="19"/>
      <c r="AB36" s="19"/>
    </row>
    <row r="37" spans="3:28" ht="13.5" thickBot="1">
      <c r="C37" s="14">
        <f ca="1" t="shared" si="7"/>
      </c>
      <c r="D37" s="15" t="str">
        <f ca="1" t="shared" si="7"/>
        <v>SSW</v>
      </c>
      <c r="E37" s="15" t="str">
        <f ca="1" t="shared" si="7"/>
        <v>Spec</v>
      </c>
      <c r="F37" s="15" t="str">
        <f ca="1" t="shared" si="2"/>
        <v>Det</v>
      </c>
      <c r="G37" s="16">
        <f ca="1" t="shared" si="3"/>
        <v>71</v>
      </c>
      <c r="H37" s="20">
        <f t="shared" si="9"/>
        <v>93</v>
      </c>
      <c r="I37" s="86">
        <f ca="1" t="shared" si="10"/>
      </c>
      <c r="J37" s="86">
        <f ca="1" t="shared" si="10"/>
      </c>
      <c r="K37" s="86">
        <f ca="1" t="shared" si="10"/>
      </c>
      <c r="L37" s="86">
        <f ca="1" t="shared" si="10"/>
        <v>250.856678</v>
      </c>
      <c r="M37" s="86">
        <f ca="1" t="shared" si="10"/>
        <v>-636.663366</v>
      </c>
      <c r="N37" s="86">
        <f ca="1" t="shared" si="10"/>
        <v>-61.582671</v>
      </c>
      <c r="O37" s="86">
        <f ca="1" t="shared" si="10"/>
        <v>0</v>
      </c>
      <c r="P37" s="86">
        <f ca="1" t="shared" si="10"/>
        <v>0</v>
      </c>
      <c r="Q37" s="86">
        <f ca="1" t="shared" si="10"/>
        <v>0</v>
      </c>
      <c r="R37" s="86">
        <f ca="1" t="shared" si="10"/>
        <v>0</v>
      </c>
      <c r="S37" s="86">
        <f ca="1" t="shared" si="10"/>
        <v>0</v>
      </c>
      <c r="T37" s="86">
        <f ca="1" t="shared" si="10"/>
        <v>0</v>
      </c>
      <c r="U37" s="19"/>
      <c r="V37" s="19"/>
      <c r="W37" s="19"/>
      <c r="X37" s="19"/>
      <c r="Y37" s="19"/>
      <c r="Z37" s="19"/>
      <c r="AA37" s="19"/>
      <c r="AB37" s="19"/>
    </row>
    <row r="38" spans="3:28" ht="12.75">
      <c r="C38" s="10" t="str">
        <f ca="1" t="shared" si="7"/>
        <v>Lower arm</v>
      </c>
      <c r="D38" s="11" t="str">
        <f ca="1" t="shared" si="7"/>
        <v>SCAL</v>
      </c>
      <c r="E38" s="11" t="str">
        <f ca="1" t="shared" si="7"/>
        <v>Spec</v>
      </c>
      <c r="F38" s="11" t="str">
        <f ca="1" t="shared" si="2"/>
        <v>Hole</v>
      </c>
      <c r="G38" s="12">
        <f ca="1" t="shared" si="3"/>
        <v>102</v>
      </c>
      <c r="H38" s="20">
        <f t="shared" si="9"/>
        <v>124</v>
      </c>
      <c r="I38" s="86">
        <f ca="1" t="shared" si="10"/>
      </c>
      <c r="J38" s="86">
        <f ca="1" t="shared" si="10"/>
      </c>
      <c r="K38" s="86">
        <f ca="1" t="shared" si="10"/>
      </c>
      <c r="L38" s="86">
        <f ca="1" t="shared" si="10"/>
        <v>170.858972</v>
      </c>
      <c r="M38" s="86">
        <f ca="1" t="shared" si="10"/>
        <v>-219.396733</v>
      </c>
      <c r="N38" s="86">
        <f ca="1" t="shared" si="10"/>
        <v>43.147154</v>
      </c>
      <c r="O38" s="86">
        <f ca="1" t="shared" si="10"/>
        <v>0</v>
      </c>
      <c r="P38" s="86">
        <f ca="1" t="shared" si="10"/>
        <v>0</v>
      </c>
      <c r="Q38" s="86">
        <f ca="1" t="shared" si="10"/>
        <v>0</v>
      </c>
      <c r="R38" s="86">
        <f ca="1" t="shared" si="10"/>
        <v>0</v>
      </c>
      <c r="S38" s="86">
        <f ca="1" t="shared" si="10"/>
        <v>0</v>
      </c>
      <c r="T38" s="86">
        <f ca="1" t="shared" si="10"/>
        <v>0</v>
      </c>
      <c r="U38" s="19"/>
      <c r="V38" s="19"/>
      <c r="W38" s="19"/>
      <c r="X38" s="19"/>
      <c r="Y38" s="19"/>
      <c r="Z38" s="19"/>
      <c r="AA38" s="19"/>
      <c r="AB38" s="19"/>
    </row>
    <row r="39" spans="3:28" ht="12.75">
      <c r="C39" s="18">
        <f ca="1" t="shared" si="7"/>
      </c>
      <c r="D39" s="19" t="str">
        <f ca="1" t="shared" si="7"/>
        <v>SM8B</v>
      </c>
      <c r="E39" s="19" t="str">
        <f ca="1" t="shared" si="7"/>
        <v>Spec</v>
      </c>
      <c r="F39" s="19" t="str">
        <f ca="1" t="shared" si="2"/>
        <v>Mirror</v>
      </c>
      <c r="G39" s="20">
        <f ca="1" t="shared" si="3"/>
        <v>98</v>
      </c>
      <c r="H39" s="20">
        <f t="shared" si="9"/>
        <v>120</v>
      </c>
      <c r="I39" s="86">
        <f ca="1" t="shared" si="10"/>
      </c>
      <c r="J39" s="86">
        <f ca="1" t="shared" si="10"/>
      </c>
      <c r="K39" s="86">
        <f ca="1" t="shared" si="10"/>
      </c>
      <c r="L39" s="86">
        <f ca="1" t="shared" si="10"/>
        <v>170.860517</v>
      </c>
      <c r="M39" s="86">
        <f ca="1" t="shared" si="10"/>
        <v>-234.578711</v>
      </c>
      <c r="N39" s="86">
        <f ca="1" t="shared" si="10"/>
        <v>129.248973</v>
      </c>
      <c r="O39" s="86">
        <f ca="1" t="shared" si="10"/>
        <v>0</v>
      </c>
      <c r="P39" s="86">
        <f ca="1" t="shared" si="10"/>
        <v>0</v>
      </c>
      <c r="Q39" s="86">
        <f ca="1" t="shared" si="10"/>
        <v>0</v>
      </c>
      <c r="R39" s="86">
        <f ca="1" t="shared" si="10"/>
        <v>0</v>
      </c>
      <c r="S39" s="86">
        <f ca="1" t="shared" si="10"/>
        <v>0</v>
      </c>
      <c r="T39" s="86">
        <f ca="1" t="shared" si="10"/>
        <v>0</v>
      </c>
      <c r="U39" s="19"/>
      <c r="V39" s="19"/>
      <c r="W39" s="19"/>
      <c r="X39" s="19"/>
      <c r="Y39" s="19"/>
      <c r="Z39" s="19"/>
      <c r="AA39" s="19"/>
      <c r="AB39" s="19"/>
    </row>
    <row r="40" spans="3:28" ht="12.75">
      <c r="C40" s="18">
        <f ca="1" t="shared" si="7"/>
      </c>
      <c r="D40" s="19" t="str">
        <f ca="1" t="shared" si="7"/>
        <v>SBS1</v>
      </c>
      <c r="E40" s="19" t="str">
        <f ca="1" t="shared" si="7"/>
        <v>Spec</v>
      </c>
      <c r="F40" s="19" t="str">
        <f ca="1" t="shared" si="2"/>
        <v>Hole</v>
      </c>
      <c r="G40" s="20">
        <f ca="1" t="shared" si="3"/>
        <v>39</v>
      </c>
      <c r="H40" s="20">
        <f t="shared" si="9"/>
        <v>61</v>
      </c>
      <c r="I40" s="86">
        <f ca="1" t="shared" si="10"/>
      </c>
      <c r="J40" s="86">
        <f ca="1" t="shared" si="10"/>
      </c>
      <c r="K40" s="86">
        <f ca="1" t="shared" si="10"/>
      </c>
      <c r="L40" s="86">
        <f ca="1" t="shared" si="10"/>
        <v>170.857397</v>
      </c>
      <c r="M40" s="86">
        <f ca="1" t="shared" si="10"/>
        <v>-321.3983</v>
      </c>
      <c r="N40" s="86">
        <f ca="1" t="shared" si="10"/>
        <v>-21.12771</v>
      </c>
      <c r="O40" s="86">
        <f ca="1" t="shared" si="10"/>
        <v>-34.14</v>
      </c>
      <c r="P40" s="86">
        <f ca="1" t="shared" si="10"/>
        <v>-627.618626</v>
      </c>
      <c r="Q40" s="86">
        <f ca="1" t="shared" si="10"/>
        <v>69.153106</v>
      </c>
      <c r="R40" s="86">
        <f ca="1" t="shared" si="10"/>
        <v>-34.14</v>
      </c>
      <c r="S40" s="86">
        <f ca="1" t="shared" si="10"/>
        <v>-626.968333</v>
      </c>
      <c r="T40" s="86">
        <f ca="1" t="shared" si="10"/>
        <v>70.928749</v>
      </c>
      <c r="U40" s="19"/>
      <c r="V40" s="19"/>
      <c r="W40" s="19"/>
      <c r="X40" s="19"/>
      <c r="Y40" s="19"/>
      <c r="Z40" s="19"/>
      <c r="AA40" s="19"/>
      <c r="AB40" s="19"/>
    </row>
    <row r="41" spans="3:28" ht="12.75">
      <c r="C41" s="18">
        <f ca="1" t="shared" si="7"/>
      </c>
      <c r="D41" s="19" t="str">
        <f ca="1" t="shared" si="7"/>
        <v>SM9B</v>
      </c>
      <c r="E41" s="19" t="str">
        <f ca="1" t="shared" si="7"/>
        <v>Spec</v>
      </c>
      <c r="F41" s="19" t="str">
        <f ca="1" t="shared" si="2"/>
        <v>Mirror</v>
      </c>
      <c r="G41" s="20">
        <f ca="1" t="shared" si="3"/>
        <v>111</v>
      </c>
      <c r="H41" s="20">
        <f t="shared" si="9"/>
        <v>133</v>
      </c>
      <c r="I41" s="86">
        <f ca="1" t="shared" si="10"/>
      </c>
      <c r="J41" s="86">
        <f ca="1" t="shared" si="10"/>
      </c>
      <c r="K41" s="86">
        <f ca="1" t="shared" si="10"/>
      </c>
      <c r="L41" s="86">
        <f ca="1" t="shared" si="10"/>
        <v>170.854284</v>
      </c>
      <c r="M41" s="86">
        <f ca="1" t="shared" si="10"/>
        <v>-407.99796</v>
      </c>
      <c r="N41" s="86">
        <f ca="1" t="shared" si="10"/>
        <v>128.868044</v>
      </c>
      <c r="O41" s="86">
        <f ca="1" t="shared" si="10"/>
        <v>0</v>
      </c>
      <c r="P41" s="86">
        <f ca="1" t="shared" si="10"/>
        <v>0</v>
      </c>
      <c r="Q41" s="86">
        <f ca="1" t="shared" si="10"/>
        <v>0</v>
      </c>
      <c r="R41" s="86">
        <f ca="1" t="shared" si="10"/>
        <v>0</v>
      </c>
      <c r="S41" s="86">
        <f ca="1" t="shared" si="10"/>
        <v>0</v>
      </c>
      <c r="T41" s="86">
        <f ca="1" t="shared" si="10"/>
        <v>0</v>
      </c>
      <c r="U41" s="19"/>
      <c r="V41" s="19"/>
      <c r="W41" s="19"/>
      <c r="X41" s="19"/>
      <c r="Y41" s="19"/>
      <c r="Z41" s="19"/>
      <c r="AA41" s="19"/>
      <c r="AB41" s="19"/>
    </row>
    <row r="42" spans="3:28" ht="12.75">
      <c r="C42" s="18">
        <f aca="true" ca="1" t="shared" si="11" ref="C42:E49">IF(INDIRECT("SurfaceList!"&amp;ThisCol)="","",INDIRECT("SurfaceList!"&amp;ThisCol))</f>
      </c>
      <c r="D42" s="19" t="str">
        <f ca="1" t="shared" si="11"/>
        <v>SRTB1</v>
      </c>
      <c r="E42" s="19" t="str">
        <f ca="1" t="shared" si="11"/>
        <v>Spec</v>
      </c>
      <c r="F42" s="19" t="str">
        <f ca="1" t="shared" si="2"/>
        <v>Mirror</v>
      </c>
      <c r="G42" s="20">
        <f ca="1" t="shared" si="3"/>
        <v>114</v>
      </c>
      <c r="H42" s="20">
        <f t="shared" si="9"/>
        <v>136</v>
      </c>
      <c r="I42" s="86">
        <f aca="true" ca="1" t="shared" si="12" ref="I42:T49">IF(OR(System="Common",System=Syst,Ray="Cent"),INDIRECT(Syst&amp;Ray&amp;"Ray!"&amp;INDIRECT(Axe&amp;"col")&amp;FIXED(Line,0)),"")</f>
      </c>
      <c r="J42" s="86">
        <f ca="1" t="shared" si="12"/>
      </c>
      <c r="K42" s="86">
        <f ca="1" t="shared" si="12"/>
      </c>
      <c r="L42" s="86">
        <f ca="1" t="shared" si="12"/>
        <v>170.854265</v>
      </c>
      <c r="M42" s="86">
        <f ca="1" t="shared" si="12"/>
        <v>-407.998264</v>
      </c>
      <c r="N42" s="86">
        <f ca="1" t="shared" si="12"/>
        <v>3.868159</v>
      </c>
      <c r="O42" s="86">
        <f ca="1" t="shared" si="12"/>
        <v>0</v>
      </c>
      <c r="P42" s="86">
        <f ca="1" t="shared" si="12"/>
        <v>0</v>
      </c>
      <c r="Q42" s="86">
        <f ca="1" t="shared" si="12"/>
        <v>0</v>
      </c>
      <c r="R42" s="86">
        <f ca="1" t="shared" si="12"/>
        <v>0</v>
      </c>
      <c r="S42" s="86">
        <f ca="1" t="shared" si="12"/>
        <v>0</v>
      </c>
      <c r="T42" s="86">
        <f ca="1" t="shared" si="12"/>
        <v>0</v>
      </c>
      <c r="U42" s="19"/>
      <c r="V42" s="19"/>
      <c r="W42" s="19"/>
      <c r="X42" s="19"/>
      <c r="Y42" s="19"/>
      <c r="Z42" s="19"/>
      <c r="AA42" s="19"/>
      <c r="AB42" s="19"/>
    </row>
    <row r="43" spans="3:28" ht="12.75">
      <c r="C43" s="18">
        <f ca="1" t="shared" si="11"/>
      </c>
      <c r="D43" s="19" t="str">
        <f ca="1" t="shared" si="11"/>
        <v>SRTB2</v>
      </c>
      <c r="E43" s="19" t="str">
        <f ca="1" t="shared" si="11"/>
        <v>Spec</v>
      </c>
      <c r="F43" s="19" t="str">
        <f ca="1" t="shared" si="2"/>
        <v>Mirror</v>
      </c>
      <c r="G43" s="20">
        <f ca="1" t="shared" si="3"/>
        <v>119</v>
      </c>
      <c r="H43" s="20">
        <f t="shared" si="9"/>
        <v>141</v>
      </c>
      <c r="I43" s="86">
        <f ca="1" t="shared" si="12"/>
      </c>
      <c r="J43" s="86">
        <f ca="1" t="shared" si="12"/>
      </c>
      <c r="K43" s="86">
        <f ca="1" t="shared" si="12"/>
      </c>
      <c r="L43" s="86">
        <f ca="1" t="shared" si="12"/>
        <v>170.854258</v>
      </c>
      <c r="M43" s="86">
        <f ca="1" t="shared" si="12"/>
        <v>-457.998681</v>
      </c>
      <c r="N43" s="86">
        <f ca="1" t="shared" si="12"/>
        <v>3.868038</v>
      </c>
      <c r="O43" s="86">
        <f ca="1" t="shared" si="12"/>
        <v>0</v>
      </c>
      <c r="P43" s="86">
        <f ca="1" t="shared" si="12"/>
        <v>0</v>
      </c>
      <c r="Q43" s="86">
        <f ca="1" t="shared" si="12"/>
        <v>0</v>
      </c>
      <c r="R43" s="86">
        <f ca="1" t="shared" si="12"/>
        <v>0</v>
      </c>
      <c r="S43" s="86">
        <f ca="1" t="shared" si="12"/>
        <v>0</v>
      </c>
      <c r="T43" s="86">
        <f ca="1" t="shared" si="12"/>
        <v>0</v>
      </c>
      <c r="U43" s="19"/>
      <c r="V43" s="19"/>
      <c r="W43" s="19"/>
      <c r="X43" s="19"/>
      <c r="Y43" s="19"/>
      <c r="Z43" s="19"/>
      <c r="AA43" s="19"/>
      <c r="AB43" s="19"/>
    </row>
    <row r="44" spans="3:28" ht="12.75">
      <c r="C44" s="18">
        <f ca="1" t="shared" si="11"/>
      </c>
      <c r="D44" s="19" t="str">
        <f ca="1" t="shared" si="11"/>
        <v>SM10B</v>
      </c>
      <c r="E44" s="19" t="str">
        <f ca="1" t="shared" si="11"/>
        <v>Spec</v>
      </c>
      <c r="F44" s="19" t="str">
        <f ca="1" t="shared" si="2"/>
        <v>Mirror</v>
      </c>
      <c r="G44" s="20">
        <f ca="1" t="shared" si="3"/>
        <v>124</v>
      </c>
      <c r="H44" s="20">
        <f t="shared" si="9"/>
        <v>146</v>
      </c>
      <c r="I44" s="86">
        <f ca="1" t="shared" si="12"/>
      </c>
      <c r="J44" s="86">
        <f ca="1" t="shared" si="12"/>
      </c>
      <c r="K44" s="86">
        <f ca="1" t="shared" si="12"/>
      </c>
      <c r="L44" s="86">
        <f ca="1" t="shared" si="12"/>
        <v>170.854239</v>
      </c>
      <c r="M44" s="86">
        <f ca="1" t="shared" si="12"/>
        <v>-457.998377</v>
      </c>
      <c r="N44" s="86">
        <f ca="1" t="shared" si="12"/>
        <v>128.867848</v>
      </c>
      <c r="O44" s="86">
        <f ca="1" t="shared" si="12"/>
        <v>0</v>
      </c>
      <c r="P44" s="86">
        <f ca="1" t="shared" si="12"/>
        <v>0</v>
      </c>
      <c r="Q44" s="86">
        <f ca="1" t="shared" si="12"/>
        <v>0</v>
      </c>
      <c r="R44" s="86">
        <f ca="1" t="shared" si="12"/>
        <v>0</v>
      </c>
      <c r="S44" s="86">
        <f ca="1" t="shared" si="12"/>
        <v>0</v>
      </c>
      <c r="T44" s="86">
        <f ca="1" t="shared" si="12"/>
        <v>0</v>
      </c>
      <c r="U44" s="19"/>
      <c r="V44" s="19"/>
      <c r="W44" s="19"/>
      <c r="X44" s="19"/>
      <c r="Y44" s="19"/>
      <c r="Z44" s="19"/>
      <c r="AA44" s="19"/>
      <c r="AB44" s="19"/>
    </row>
    <row r="45" spans="3:28" ht="12.75">
      <c r="C45" s="18">
        <f ca="1" t="shared" si="11"/>
      </c>
      <c r="D45" s="19" t="str">
        <f ca="1" t="shared" si="11"/>
        <v>SBS2</v>
      </c>
      <c r="E45" s="19" t="str">
        <f ca="1" t="shared" si="11"/>
        <v>Spec</v>
      </c>
      <c r="F45" s="19" t="str">
        <f ca="1" t="shared" si="2"/>
        <v>Hole</v>
      </c>
      <c r="G45" s="20">
        <f ca="1" t="shared" si="3"/>
        <v>60</v>
      </c>
      <c r="H45" s="20">
        <f t="shared" si="9"/>
        <v>82</v>
      </c>
      <c r="I45" s="86">
        <f ca="1" t="shared" si="12"/>
      </c>
      <c r="J45" s="86">
        <f ca="1" t="shared" si="12"/>
      </c>
      <c r="K45" s="86">
        <f ca="1" t="shared" si="12"/>
      </c>
      <c r="L45" s="86">
        <f ca="1" t="shared" si="12"/>
        <v>170.857352</v>
      </c>
      <c r="M45" s="86">
        <f ca="1" t="shared" si="12"/>
        <v>-544.598115</v>
      </c>
      <c r="N45" s="86">
        <f ca="1" t="shared" si="12"/>
        <v>-21.12771</v>
      </c>
      <c r="O45" s="86">
        <f ca="1" t="shared" si="12"/>
        <v>-10.623296</v>
      </c>
      <c r="P45" s="86">
        <f ca="1" t="shared" si="12"/>
        <v>-477.505228</v>
      </c>
      <c r="Q45" s="86">
        <f ca="1" t="shared" si="12"/>
        <v>-178.44418</v>
      </c>
      <c r="R45" s="86">
        <f ca="1" t="shared" si="12"/>
        <v>-11.481801</v>
      </c>
      <c r="S45" s="86">
        <f ca="1" t="shared" si="12"/>
        <v>-477.50527</v>
      </c>
      <c r="T45" s="86">
        <f ca="1" t="shared" si="12"/>
        <v>-180.145705</v>
      </c>
      <c r="U45" s="19"/>
      <c r="V45" s="19"/>
      <c r="W45" s="19"/>
      <c r="X45" s="19"/>
      <c r="Y45" s="19"/>
      <c r="Z45" s="19"/>
      <c r="AA45" s="19"/>
      <c r="AB45" s="19"/>
    </row>
    <row r="46" spans="3:28" ht="12.75">
      <c r="C46" s="18">
        <f ca="1" t="shared" si="11"/>
      </c>
      <c r="D46" s="19" t="str">
        <f ca="1" t="shared" si="11"/>
        <v>SM11B</v>
      </c>
      <c r="E46" s="19" t="str">
        <f ca="1" t="shared" si="11"/>
        <v>Spec</v>
      </c>
      <c r="F46" s="19" t="str">
        <f ca="1" t="shared" si="2"/>
        <v>Mirror</v>
      </c>
      <c r="G46" s="20">
        <f ca="1" t="shared" si="3"/>
        <v>131</v>
      </c>
      <c r="H46" s="20">
        <f t="shared" si="9"/>
        <v>153</v>
      </c>
      <c r="I46" s="86">
        <f ca="1" t="shared" si="12"/>
      </c>
      <c r="J46" s="86">
        <f ca="1" t="shared" si="12"/>
      </c>
      <c r="K46" s="86">
        <f ca="1" t="shared" si="12"/>
      </c>
      <c r="L46" s="86">
        <f ca="1" t="shared" si="12"/>
        <v>170.860083</v>
      </c>
      <c r="M46" s="86">
        <f ca="1" t="shared" si="12"/>
        <v>-620.587965</v>
      </c>
      <c r="N46" s="86">
        <f ca="1" t="shared" si="12"/>
        <v>110.490931</v>
      </c>
      <c r="O46" s="86">
        <f ca="1" t="shared" si="12"/>
        <v>0</v>
      </c>
      <c r="P46" s="86">
        <f ca="1" t="shared" si="12"/>
        <v>0</v>
      </c>
      <c r="Q46" s="86">
        <f ca="1" t="shared" si="12"/>
        <v>0</v>
      </c>
      <c r="R46" s="86">
        <f ca="1" t="shared" si="12"/>
        <v>0</v>
      </c>
      <c r="S46" s="86">
        <f ca="1" t="shared" si="12"/>
        <v>0</v>
      </c>
      <c r="T46" s="86">
        <f ca="1" t="shared" si="12"/>
        <v>0</v>
      </c>
      <c r="U46" s="19"/>
      <c r="V46" s="19"/>
      <c r="W46" s="19"/>
      <c r="X46" s="19"/>
      <c r="Y46" s="19"/>
      <c r="Z46" s="19"/>
      <c r="AA46" s="19"/>
      <c r="AB46" s="19"/>
    </row>
    <row r="47" spans="3:28" ht="12.75">
      <c r="C47" s="18">
        <f ca="1" t="shared" si="11"/>
      </c>
      <c r="D47" s="19" t="str">
        <f ca="1" t="shared" si="11"/>
        <v>SM12B</v>
      </c>
      <c r="E47" s="19" t="str">
        <f ca="1" t="shared" si="11"/>
        <v>Spec</v>
      </c>
      <c r="F47" s="19" t="str">
        <f ca="1" t="shared" si="2"/>
        <v>Mirror</v>
      </c>
      <c r="G47" s="20">
        <f ca="1" t="shared" si="3"/>
        <v>136</v>
      </c>
      <c r="H47" s="20">
        <f t="shared" si="9"/>
        <v>158</v>
      </c>
      <c r="I47" s="86">
        <f ca="1" t="shared" si="12"/>
      </c>
      <c r="J47" s="86">
        <f ca="1" t="shared" si="12"/>
      </c>
      <c r="K47" s="86">
        <f ca="1" t="shared" si="12"/>
      </c>
      <c r="L47" s="86">
        <f ca="1" t="shared" si="12"/>
        <v>170.858259</v>
      </c>
      <c r="M47" s="86">
        <f ca="1" t="shared" si="12"/>
        <v>-636.663312</v>
      </c>
      <c r="N47" s="86">
        <f ca="1" t="shared" si="12"/>
        <v>19.325602</v>
      </c>
      <c r="O47" s="86">
        <f ca="1" t="shared" si="12"/>
        <v>0</v>
      </c>
      <c r="P47" s="86">
        <f ca="1" t="shared" si="12"/>
        <v>0</v>
      </c>
      <c r="Q47" s="86">
        <f ca="1" t="shared" si="12"/>
        <v>0</v>
      </c>
      <c r="R47" s="86">
        <f ca="1" t="shared" si="12"/>
        <v>0</v>
      </c>
      <c r="S47" s="86">
        <f ca="1" t="shared" si="12"/>
        <v>0</v>
      </c>
      <c r="T47" s="86">
        <f ca="1" t="shared" si="12"/>
        <v>0</v>
      </c>
      <c r="U47" s="19"/>
      <c r="V47" s="19"/>
      <c r="W47" s="19"/>
      <c r="X47" s="19"/>
      <c r="Y47" s="19"/>
      <c r="Z47" s="19"/>
      <c r="AA47" s="19"/>
      <c r="AB47" s="19"/>
    </row>
    <row r="48" spans="3:28" ht="12.75">
      <c r="C48" s="18"/>
      <c r="D48" s="19" t="str">
        <f ca="1" t="shared" si="11"/>
        <v>SFLB</v>
      </c>
      <c r="E48" s="19" t="str">
        <f ca="1" t="shared" si="11"/>
        <v>Spec</v>
      </c>
      <c r="F48" s="19" t="str">
        <f ca="1" t="shared" si="2"/>
        <v>Hole</v>
      </c>
      <c r="G48" s="20">
        <f ca="1" t="shared" si="3"/>
        <v>138</v>
      </c>
      <c r="H48" s="20">
        <f t="shared" si="9"/>
        <v>160</v>
      </c>
      <c r="I48" s="86">
        <f ca="1" t="shared" si="12"/>
      </c>
      <c r="J48" s="86">
        <f ca="1" t="shared" si="12"/>
      </c>
      <c r="K48" s="86">
        <f ca="1" t="shared" si="12"/>
      </c>
      <c r="L48" s="86">
        <f ca="1" t="shared" si="12"/>
        <v>246.956678</v>
      </c>
      <c r="M48" s="86">
        <f ca="1" t="shared" si="12"/>
        <v>-636.663401</v>
      </c>
      <c r="N48" s="86">
        <f ca="1" t="shared" si="12"/>
        <v>19.32714</v>
      </c>
      <c r="O48" s="86">
        <f ca="1" t="shared" si="12"/>
        <v>0</v>
      </c>
      <c r="P48" s="86">
        <f ca="1" t="shared" si="12"/>
        <v>0</v>
      </c>
      <c r="Q48" s="86">
        <f ca="1" t="shared" si="12"/>
        <v>0</v>
      </c>
      <c r="R48" s="86">
        <f ca="1" t="shared" si="12"/>
        <v>0</v>
      </c>
      <c r="S48" s="86">
        <f ca="1" t="shared" si="12"/>
        <v>0</v>
      </c>
      <c r="T48" s="86">
        <f ca="1" t="shared" si="12"/>
        <v>0</v>
      </c>
      <c r="U48" s="19"/>
      <c r="V48" s="19"/>
      <c r="W48" s="19"/>
      <c r="X48" s="19"/>
      <c r="Y48" s="19"/>
      <c r="Z48" s="19"/>
      <c r="AA48" s="19"/>
      <c r="AB48" s="19"/>
    </row>
    <row r="49" spans="3:28" ht="13.5" thickBot="1">
      <c r="C49" s="14">
        <f ca="1" t="shared" si="11"/>
      </c>
      <c r="D49" s="15" t="str">
        <f ca="1" t="shared" si="11"/>
        <v>SLW</v>
      </c>
      <c r="E49" s="15" t="str">
        <f ca="1" t="shared" si="11"/>
        <v>Spec</v>
      </c>
      <c r="F49" s="15" t="str">
        <f ca="1" t="shared" si="2"/>
        <v>Det</v>
      </c>
      <c r="G49" s="16">
        <f ca="1" t="shared" si="3"/>
        <v>140</v>
      </c>
      <c r="H49" s="20">
        <f t="shared" si="9"/>
        <v>162</v>
      </c>
      <c r="I49" s="86">
        <f ca="1" t="shared" si="12"/>
      </c>
      <c r="J49" s="86">
        <f ca="1" t="shared" si="12"/>
      </c>
      <c r="K49" s="86">
        <f ca="1" t="shared" si="12"/>
      </c>
      <c r="L49" s="86">
        <f ca="1" t="shared" si="12"/>
        <v>250.856678</v>
      </c>
      <c r="M49" s="86">
        <f ca="1" t="shared" si="12"/>
        <v>-636.663396</v>
      </c>
      <c r="N49" s="86">
        <f ca="1" t="shared" si="12"/>
        <v>19.327213</v>
      </c>
      <c r="O49" s="86">
        <f ca="1" t="shared" si="12"/>
        <v>0</v>
      </c>
      <c r="P49" s="86">
        <f ca="1" t="shared" si="12"/>
        <v>0</v>
      </c>
      <c r="Q49" s="86">
        <f ca="1" t="shared" si="12"/>
        <v>0</v>
      </c>
      <c r="R49" s="86">
        <f ca="1" t="shared" si="12"/>
        <v>0</v>
      </c>
      <c r="S49" s="86">
        <f ca="1" t="shared" si="12"/>
        <v>0</v>
      </c>
      <c r="T49" s="86">
        <f ca="1" t="shared" si="12"/>
        <v>0</v>
      </c>
      <c r="U49" s="19"/>
      <c r="V49" s="19"/>
      <c r="W49" s="19"/>
      <c r="X49" s="19"/>
      <c r="Y49" s="19"/>
      <c r="Z49" s="19"/>
      <c r="AA49" s="19"/>
      <c r="AB49" s="19"/>
    </row>
    <row r="50" spans="5:28" ht="12.75">
      <c r="E50" s="19"/>
      <c r="F50" s="19"/>
      <c r="G50" s="25" t="s">
        <v>442</v>
      </c>
      <c r="H50" s="20"/>
      <c r="I50" s="21" t="s">
        <v>14</v>
      </c>
      <c r="J50" s="21" t="s">
        <v>69</v>
      </c>
      <c r="K50" s="21" t="s">
        <v>70</v>
      </c>
      <c r="L50" s="21" t="s">
        <v>14</v>
      </c>
      <c r="M50" s="21" t="s">
        <v>69</v>
      </c>
      <c r="N50" s="21" t="s">
        <v>70</v>
      </c>
      <c r="O50" s="21" t="s">
        <v>14</v>
      </c>
      <c r="P50" s="21" t="s">
        <v>69</v>
      </c>
      <c r="Q50" s="21" t="s">
        <v>70</v>
      </c>
      <c r="R50" s="21" t="s">
        <v>14</v>
      </c>
      <c r="S50" s="21" t="s">
        <v>69</v>
      </c>
      <c r="T50" s="21" t="s">
        <v>70</v>
      </c>
      <c r="U50" s="19"/>
      <c r="V50" s="19"/>
      <c r="W50" s="19"/>
      <c r="X50" s="19"/>
      <c r="Y50" s="19"/>
      <c r="Z50" s="19"/>
      <c r="AA50" s="19"/>
      <c r="AB50" s="19"/>
    </row>
    <row r="51" spans="5:28" ht="12.75">
      <c r="E51" s="19"/>
      <c r="F51" s="19"/>
      <c r="G51" s="5" t="s">
        <v>444</v>
      </c>
      <c r="H51" s="20"/>
      <c r="I51" s="21" t="s">
        <v>430</v>
      </c>
      <c r="J51" s="21" t="s">
        <v>430</v>
      </c>
      <c r="K51" s="21" t="s">
        <v>430</v>
      </c>
      <c r="L51" s="21" t="s">
        <v>546</v>
      </c>
      <c r="M51" s="21" t="s">
        <v>546</v>
      </c>
      <c r="N51" s="21" t="s">
        <v>546</v>
      </c>
      <c r="O51" s="20" t="s">
        <v>84</v>
      </c>
      <c r="P51" s="20" t="s">
        <v>84</v>
      </c>
      <c r="Q51" s="20" t="s">
        <v>84</v>
      </c>
      <c r="R51" s="20" t="s">
        <v>87</v>
      </c>
      <c r="S51" s="20" t="s">
        <v>87</v>
      </c>
      <c r="T51" s="20" t="s">
        <v>87</v>
      </c>
      <c r="U51" s="19"/>
      <c r="V51" s="19"/>
      <c r="W51" s="19"/>
      <c r="X51" s="19"/>
      <c r="Y51" s="19"/>
      <c r="Z51" s="19"/>
      <c r="AA51" s="19"/>
      <c r="AB51" s="19"/>
    </row>
    <row r="52" spans="3:28" ht="12.75">
      <c r="C52" s="23" t="s">
        <v>124</v>
      </c>
      <c r="D52" s="1"/>
      <c r="G52" s="25" t="s">
        <v>3</v>
      </c>
      <c r="H52" s="20"/>
      <c r="I52" s="21" t="s">
        <v>136</v>
      </c>
      <c r="J52" s="21" t="s">
        <v>136</v>
      </c>
      <c r="K52" s="21" t="s">
        <v>136</v>
      </c>
      <c r="L52" s="21" t="s">
        <v>136</v>
      </c>
      <c r="M52" s="21" t="s">
        <v>136</v>
      </c>
      <c r="N52" s="21" t="s">
        <v>136</v>
      </c>
      <c r="O52" s="20" t="s">
        <v>445</v>
      </c>
      <c r="P52" s="20" t="s">
        <v>445</v>
      </c>
      <c r="Q52" s="20" t="s">
        <v>445</v>
      </c>
      <c r="R52" s="20" t="s">
        <v>445</v>
      </c>
      <c r="S52" s="20" t="s">
        <v>445</v>
      </c>
      <c r="T52" s="20" t="s">
        <v>445</v>
      </c>
      <c r="U52" s="19"/>
      <c r="V52" s="19"/>
      <c r="W52" s="19"/>
      <c r="X52" s="19"/>
      <c r="Y52" s="19"/>
      <c r="Z52" s="19"/>
      <c r="AA52" s="19"/>
      <c r="AB52" s="19"/>
    </row>
    <row r="53" spans="3:28" ht="12.75">
      <c r="C53" s="1" t="s">
        <v>14</v>
      </c>
      <c r="D53" s="1" t="str">
        <f>"-Zsyno"</f>
        <v>-Zsyno</v>
      </c>
      <c r="E53" s="1" t="s">
        <v>117</v>
      </c>
      <c r="G53" s="20"/>
      <c r="H53" s="20"/>
      <c r="I53" s="21"/>
      <c r="J53" s="21"/>
      <c r="K53" s="21"/>
      <c r="L53" s="21"/>
      <c r="M53" s="21"/>
      <c r="N53" s="21"/>
      <c r="O53" s="19"/>
      <c r="P53" s="19"/>
      <c r="Q53" s="19"/>
      <c r="R53" s="19"/>
      <c r="S53" s="19"/>
      <c r="T53" s="19"/>
      <c r="U53" s="19"/>
      <c r="V53" s="19"/>
      <c r="W53" s="19"/>
      <c r="X53" s="19"/>
      <c r="Y53" s="19"/>
      <c r="Z53" s="19"/>
      <c r="AA53" s="19"/>
      <c r="AB53" s="19"/>
    </row>
    <row r="54" spans="3:28" ht="12.75">
      <c r="C54" s="1" t="s">
        <v>69</v>
      </c>
      <c r="D54" s="1" t="s">
        <v>120</v>
      </c>
      <c r="E54" s="1" t="s">
        <v>118</v>
      </c>
      <c r="G54" s="20"/>
      <c r="H54" s="20"/>
      <c r="I54" s="21"/>
      <c r="J54" s="21"/>
      <c r="K54" s="21"/>
      <c r="L54" s="21"/>
      <c r="M54" s="21"/>
      <c r="N54" s="21"/>
      <c r="O54" s="19"/>
      <c r="P54" s="19"/>
      <c r="Q54" s="19"/>
      <c r="R54" s="19"/>
      <c r="S54" s="19"/>
      <c r="T54" s="19"/>
      <c r="U54" s="19"/>
      <c r="V54" s="19"/>
      <c r="W54" s="19"/>
      <c r="X54" s="19"/>
      <c r="Y54" s="19"/>
      <c r="Z54" s="19"/>
      <c r="AA54" s="19"/>
      <c r="AB54" s="19"/>
    </row>
    <row r="55" spans="3:28" ht="12.75">
      <c r="C55" s="1" t="s">
        <v>70</v>
      </c>
      <c r="D55" s="1" t="s">
        <v>121</v>
      </c>
      <c r="E55" s="1" t="s">
        <v>119</v>
      </c>
      <c r="G55" s="20"/>
      <c r="H55" s="20"/>
      <c r="I55" s="21"/>
      <c r="J55" s="21"/>
      <c r="K55" s="21"/>
      <c r="L55" s="21"/>
      <c r="M55" s="21"/>
      <c r="N55" s="21"/>
      <c r="O55" s="19"/>
      <c r="P55" s="19"/>
      <c r="Q55" s="19"/>
      <c r="R55" s="19"/>
      <c r="S55" s="19"/>
      <c r="T55" s="19"/>
      <c r="U55" s="19"/>
      <c r="V55" s="19"/>
      <c r="W55" s="19"/>
      <c r="X55" s="19"/>
      <c r="Y55" s="19"/>
      <c r="Z55" s="19"/>
      <c r="AA55" s="19"/>
      <c r="AB55" s="19"/>
    </row>
    <row r="56" spans="5:28" ht="12.75">
      <c r="E56" s="19"/>
      <c r="F56" s="19"/>
      <c r="G56" s="20"/>
      <c r="H56" s="20"/>
      <c r="I56" s="21"/>
      <c r="J56" s="21"/>
      <c r="K56" s="21"/>
      <c r="L56" s="21"/>
      <c r="M56" s="21"/>
      <c r="N56" s="21"/>
      <c r="O56" s="19"/>
      <c r="P56" s="19"/>
      <c r="Q56" s="19"/>
      <c r="R56" s="19"/>
      <c r="S56" s="19"/>
      <c r="T56" s="19"/>
      <c r="U56" s="19"/>
      <c r="V56" s="19"/>
      <c r="W56" s="19"/>
      <c r="X56" s="19"/>
      <c r="Y56" s="19"/>
      <c r="Z56" s="19"/>
      <c r="AA56" s="19"/>
      <c r="AB56" s="19"/>
    </row>
  </sheetData>
  <printOptions/>
  <pageMargins left="0.7874015748031497" right="0.7874015748031497"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B1:M410"/>
  <sheetViews>
    <sheetView workbookViewId="0" topLeftCell="A193">
      <selection activeCell="A1" sqref="A1:M410"/>
    </sheetView>
  </sheetViews>
  <sheetFormatPr defaultColWidth="12" defaultRowHeight="12.75"/>
  <cols>
    <col min="1" max="16384" width="12" style="1" customWidth="1"/>
  </cols>
  <sheetData>
    <row r="1" ht="12.75">
      <c r="B1" s="1" t="s">
        <v>28</v>
      </c>
    </row>
    <row r="2" spans="2:3" ht="12.75">
      <c r="B2" s="1" t="s">
        <v>28</v>
      </c>
      <c r="C2" s="1" t="s">
        <v>29</v>
      </c>
    </row>
    <row r="4" spans="2:10" ht="12.75">
      <c r="B4" s="1" t="s">
        <v>30</v>
      </c>
      <c r="C4" s="1" t="s">
        <v>31</v>
      </c>
      <c r="D4" s="1" t="s">
        <v>32</v>
      </c>
      <c r="E4" s="1" t="s">
        <v>33</v>
      </c>
      <c r="F4" s="1" t="s">
        <v>34</v>
      </c>
      <c r="G4" s="1" t="s">
        <v>33</v>
      </c>
      <c r="H4" s="1" t="s">
        <v>35</v>
      </c>
      <c r="I4" s="1" t="s">
        <v>36</v>
      </c>
      <c r="J4" s="1" t="s">
        <v>622</v>
      </c>
    </row>
    <row r="6" spans="2:3" ht="12.75">
      <c r="B6" s="1" t="s">
        <v>28</v>
      </c>
      <c r="C6" s="1" t="s">
        <v>37</v>
      </c>
    </row>
    <row r="7" spans="2:3" ht="12.75">
      <c r="B7" s="2">
        <v>37260</v>
      </c>
      <c r="C7" s="3">
        <v>0.5995138888888889</v>
      </c>
    </row>
    <row r="8" ht="12.75">
      <c r="B8" s="1" t="s">
        <v>28</v>
      </c>
    </row>
    <row r="9" spans="2:10" ht="12.75">
      <c r="B9" s="1" t="s">
        <v>28</v>
      </c>
      <c r="C9" s="1" t="s">
        <v>148</v>
      </c>
      <c r="D9" s="1">
        <v>2</v>
      </c>
      <c r="E9" s="1">
        <v>0</v>
      </c>
      <c r="F9" s="1">
        <v>0</v>
      </c>
      <c r="G9" s="1">
        <v>0</v>
      </c>
      <c r="H9" s="1" t="s">
        <v>39</v>
      </c>
      <c r="I9" s="1">
        <v>0</v>
      </c>
      <c r="J9" s="1" t="s">
        <v>40</v>
      </c>
    </row>
    <row r="10" spans="2:5" ht="12.75">
      <c r="B10" s="1" t="s">
        <v>28</v>
      </c>
      <c r="C10" s="1" t="s">
        <v>149</v>
      </c>
      <c r="D10" s="1" t="s">
        <v>150</v>
      </c>
      <c r="E10" s="1" t="s">
        <v>40</v>
      </c>
    </row>
    <row r="12" spans="2:8" ht="12.75">
      <c r="B12" s="1" t="s">
        <v>33</v>
      </c>
      <c r="C12" s="1" t="s">
        <v>35</v>
      </c>
      <c r="D12" s="1" t="s">
        <v>36</v>
      </c>
      <c r="E12" s="1" t="s">
        <v>622</v>
      </c>
      <c r="F12" s="1">
        <v>288</v>
      </c>
      <c r="G12" s="2">
        <v>37260</v>
      </c>
      <c r="H12" s="3">
        <v>0.5995138888888889</v>
      </c>
    </row>
    <row r="13" spans="2:8" ht="12.75">
      <c r="B13" s="1" t="s">
        <v>151</v>
      </c>
      <c r="C13" s="1" t="s">
        <v>152</v>
      </c>
      <c r="G13" s="2"/>
      <c r="H13" s="3"/>
    </row>
    <row r="15" spans="2:3" ht="12.75">
      <c r="B15" s="1" t="s">
        <v>48</v>
      </c>
      <c r="C15" s="1" t="s">
        <v>153</v>
      </c>
    </row>
    <row r="16" ht="12.75">
      <c r="B16" s="1" t="s">
        <v>154</v>
      </c>
    </row>
    <row r="17" spans="2:9" ht="12.75">
      <c r="B17" s="1" t="s">
        <v>53</v>
      </c>
      <c r="C17" s="1" t="s">
        <v>155</v>
      </c>
      <c r="D17" s="1" t="s">
        <v>156</v>
      </c>
      <c r="E17" s="1" t="s">
        <v>157</v>
      </c>
      <c r="F17" s="1" t="s">
        <v>158</v>
      </c>
      <c r="G17" s="1" t="s">
        <v>159</v>
      </c>
      <c r="H17" s="1" t="s">
        <v>160</v>
      </c>
      <c r="I17" s="1">
        <v>18375.2607</v>
      </c>
    </row>
    <row r="18" spans="2:9" ht="12.75">
      <c r="B18" s="1" t="s">
        <v>53</v>
      </c>
      <c r="C18" s="1" t="s">
        <v>54</v>
      </c>
      <c r="D18" s="1" t="s">
        <v>161</v>
      </c>
      <c r="E18" s="1" t="s">
        <v>157</v>
      </c>
      <c r="F18" s="1" t="s">
        <v>162</v>
      </c>
      <c r="G18" s="1" t="s">
        <v>158</v>
      </c>
      <c r="H18" s="1" t="s">
        <v>159</v>
      </c>
      <c r="I18" s="1">
        <v>16.8202</v>
      </c>
    </row>
    <row r="19" spans="2:10" ht="12.75">
      <c r="B19" s="1" t="s">
        <v>163</v>
      </c>
      <c r="C19" s="1" t="s">
        <v>44</v>
      </c>
      <c r="D19" s="1" t="s">
        <v>54</v>
      </c>
      <c r="E19" s="1" t="s">
        <v>164</v>
      </c>
      <c r="F19" s="1">
        <v>1641.705</v>
      </c>
      <c r="G19" s="1" t="s">
        <v>165</v>
      </c>
      <c r="H19" s="1" t="s">
        <v>155</v>
      </c>
      <c r="I19" s="1" t="s">
        <v>166</v>
      </c>
      <c r="J19" s="1">
        <v>0</v>
      </c>
    </row>
    <row r="20" spans="2:10" ht="12.75">
      <c r="B20" s="1" t="s">
        <v>163</v>
      </c>
      <c r="C20" s="1" t="s">
        <v>44</v>
      </c>
      <c r="D20" s="1" t="s">
        <v>167</v>
      </c>
      <c r="E20" s="1" t="s">
        <v>168</v>
      </c>
      <c r="F20" s="1">
        <v>0</v>
      </c>
      <c r="G20" s="1" t="s">
        <v>169</v>
      </c>
      <c r="H20" s="1" t="s">
        <v>159</v>
      </c>
      <c r="I20" s="1" t="s">
        <v>170</v>
      </c>
      <c r="J20" s="1">
        <v>888.1</v>
      </c>
    </row>
    <row r="21" spans="2:9" ht="12.75">
      <c r="B21" s="1" t="s">
        <v>171</v>
      </c>
      <c r="C21" s="1" t="s">
        <v>44</v>
      </c>
      <c r="D21" s="1" t="s">
        <v>54</v>
      </c>
      <c r="E21" s="1" t="s">
        <v>172</v>
      </c>
      <c r="F21" s="1">
        <v>-4.99</v>
      </c>
      <c r="G21" s="1" t="s">
        <v>173</v>
      </c>
      <c r="H21" s="1" t="s">
        <v>174</v>
      </c>
      <c r="I21" s="1">
        <v>5.5964</v>
      </c>
    </row>
    <row r="22" spans="2:10" ht="12.75">
      <c r="B22" s="1" t="s">
        <v>171</v>
      </c>
      <c r="C22" s="1" t="s">
        <v>44</v>
      </c>
      <c r="D22" s="1" t="s">
        <v>167</v>
      </c>
      <c r="E22" s="1" t="s">
        <v>175</v>
      </c>
      <c r="F22" s="1">
        <v>0.0167</v>
      </c>
      <c r="G22" s="1" t="s">
        <v>176</v>
      </c>
      <c r="H22" s="1" t="s">
        <v>165</v>
      </c>
      <c r="I22" s="1" t="s">
        <v>177</v>
      </c>
      <c r="J22" s="1">
        <v>5.2322</v>
      </c>
    </row>
    <row r="23" spans="2:9" ht="12.75">
      <c r="B23" s="1" t="s">
        <v>178</v>
      </c>
      <c r="C23" s="1" t="s">
        <v>58</v>
      </c>
      <c r="D23" s="1" t="s">
        <v>179</v>
      </c>
      <c r="E23" s="1">
        <v>1641.705</v>
      </c>
      <c r="F23" s="1" t="s">
        <v>180</v>
      </c>
      <c r="G23" s="1" t="s">
        <v>58</v>
      </c>
      <c r="H23" s="1" t="s">
        <v>179</v>
      </c>
      <c r="I23" s="1">
        <v>71.0326</v>
      </c>
    </row>
    <row r="24" spans="2:9" ht="12.75">
      <c r="B24" s="1" t="s">
        <v>178</v>
      </c>
      <c r="C24" s="1" t="s">
        <v>58</v>
      </c>
      <c r="D24" s="1" t="s">
        <v>181</v>
      </c>
      <c r="E24" s="1">
        <v>17154.0876</v>
      </c>
      <c r="F24" s="1" t="s">
        <v>180</v>
      </c>
      <c r="G24" s="1" t="s">
        <v>58</v>
      </c>
      <c r="H24" s="1" t="s">
        <v>181</v>
      </c>
      <c r="I24" s="1">
        <v>-778.2332</v>
      </c>
    </row>
    <row r="26" spans="2:5" ht="12.75">
      <c r="B26" s="1" t="s">
        <v>182</v>
      </c>
      <c r="C26" s="1" t="s">
        <v>54</v>
      </c>
      <c r="D26" s="1" t="s">
        <v>183</v>
      </c>
      <c r="E26" s="1" t="s">
        <v>157</v>
      </c>
    </row>
    <row r="27" spans="2:11" ht="12.75">
      <c r="B27" s="1" t="s">
        <v>184</v>
      </c>
      <c r="C27" s="1" t="s">
        <v>44</v>
      </c>
      <c r="D27" s="1" t="s">
        <v>54</v>
      </c>
      <c r="E27" s="1" t="s">
        <v>185</v>
      </c>
      <c r="F27" s="1">
        <v>1641.705</v>
      </c>
      <c r="G27" s="1" t="s">
        <v>186</v>
      </c>
      <c r="H27" s="1" t="s">
        <v>44</v>
      </c>
      <c r="I27" s="1" t="s">
        <v>187</v>
      </c>
      <c r="J27" s="1" t="s">
        <v>188</v>
      </c>
      <c r="K27" s="1">
        <v>-4.99</v>
      </c>
    </row>
    <row r="28" spans="2:10" ht="12.75">
      <c r="B28" s="1" t="s">
        <v>184</v>
      </c>
      <c r="C28" s="1" t="s">
        <v>44</v>
      </c>
      <c r="D28" s="1" t="s">
        <v>167</v>
      </c>
      <c r="E28" s="1" t="s">
        <v>189</v>
      </c>
      <c r="F28" s="1">
        <v>0</v>
      </c>
      <c r="G28" s="1" t="s">
        <v>186</v>
      </c>
      <c r="H28" s="1" t="s">
        <v>44</v>
      </c>
      <c r="I28" s="1" t="s">
        <v>190</v>
      </c>
      <c r="J28" s="1">
        <v>0.0167</v>
      </c>
    </row>
    <row r="30" spans="2:8" ht="12.75">
      <c r="B30" s="1" t="s">
        <v>191</v>
      </c>
      <c r="C30" s="1" t="s">
        <v>192</v>
      </c>
      <c r="D30" s="1">
        <v>200</v>
      </c>
      <c r="E30" s="1">
        <v>400</v>
      </c>
      <c r="F30" s="1">
        <v>600</v>
      </c>
      <c r="G30" s="1">
        <v>250</v>
      </c>
      <c r="H30" s="1">
        <v>0.6328</v>
      </c>
    </row>
    <row r="31" spans="2:7" ht="12.75">
      <c r="B31" s="1" t="s">
        <v>193</v>
      </c>
      <c r="C31" s="1">
        <v>1</v>
      </c>
      <c r="D31" s="1">
        <v>1</v>
      </c>
      <c r="E31" s="1">
        <v>1</v>
      </c>
      <c r="F31" s="1">
        <v>1</v>
      </c>
      <c r="G31" s="1">
        <v>1</v>
      </c>
    </row>
    <row r="32" spans="2:8" ht="12.75">
      <c r="B32" s="1" t="s">
        <v>62</v>
      </c>
      <c r="C32" s="1" t="s">
        <v>194</v>
      </c>
      <c r="D32" s="1">
        <v>2</v>
      </c>
      <c r="E32" s="1">
        <v>1</v>
      </c>
      <c r="F32" s="1">
        <v>3</v>
      </c>
      <c r="G32" s="1">
        <v>4</v>
      </c>
      <c r="H32" s="1">
        <v>5</v>
      </c>
    </row>
    <row r="33" spans="2:3" ht="12.75">
      <c r="B33" s="1" t="s">
        <v>195</v>
      </c>
      <c r="C33" s="1" t="s">
        <v>196</v>
      </c>
    </row>
    <row r="34" spans="2:8" ht="12.75">
      <c r="B34" s="1" t="s">
        <v>197</v>
      </c>
      <c r="C34" s="1" t="s">
        <v>198</v>
      </c>
      <c r="D34" s="1" t="s">
        <v>50</v>
      </c>
      <c r="E34" s="1" t="s">
        <v>199</v>
      </c>
      <c r="F34" s="1">
        <v>7</v>
      </c>
      <c r="G34" s="1" t="s">
        <v>179</v>
      </c>
      <c r="H34" s="1">
        <v>-154.06</v>
      </c>
    </row>
    <row r="35" spans="2:5" ht="12.75">
      <c r="B35" s="1" t="s">
        <v>200</v>
      </c>
      <c r="C35" s="1" t="s">
        <v>58</v>
      </c>
      <c r="D35" s="1" t="s">
        <v>201</v>
      </c>
      <c r="E35" s="1" t="s">
        <v>202</v>
      </c>
    </row>
    <row r="36" spans="2:4" ht="12.75">
      <c r="B36" s="1" t="s">
        <v>158</v>
      </c>
      <c r="C36" s="1" t="s">
        <v>203</v>
      </c>
      <c r="D36" s="1" t="s">
        <v>202</v>
      </c>
    </row>
    <row r="37" spans="2:3" ht="12.75">
      <c r="B37" s="1" t="s">
        <v>204</v>
      </c>
      <c r="C37" s="4">
        <v>-1.8E-08</v>
      </c>
    </row>
    <row r="38" spans="2:4" ht="12.75">
      <c r="B38" s="1" t="s">
        <v>41</v>
      </c>
      <c r="C38" s="4" t="s">
        <v>201</v>
      </c>
      <c r="D38" s="1" t="s">
        <v>202</v>
      </c>
    </row>
    <row r="39" spans="2:5" ht="12.75">
      <c r="B39" s="1" t="s">
        <v>205</v>
      </c>
      <c r="C39" s="1" t="s">
        <v>201</v>
      </c>
      <c r="D39" s="1" t="s">
        <v>206</v>
      </c>
      <c r="E39" s="1" t="s">
        <v>207</v>
      </c>
    </row>
    <row r="40" spans="2:6" ht="12.75">
      <c r="B40" s="1" t="s">
        <v>208</v>
      </c>
      <c r="C40" s="1" t="s">
        <v>209</v>
      </c>
      <c r="D40" s="1" t="s">
        <v>210</v>
      </c>
      <c r="E40" s="1" t="s">
        <v>211</v>
      </c>
      <c r="F40" s="1" t="s">
        <v>212</v>
      </c>
    </row>
    <row r="42" spans="2:3" ht="12.75">
      <c r="B42" s="1" t="s">
        <v>50</v>
      </c>
      <c r="C42" s="1" t="s">
        <v>45</v>
      </c>
    </row>
    <row r="43" ht="12.75">
      <c r="B43" s="1" t="s">
        <v>154</v>
      </c>
    </row>
    <row r="44" spans="2:7" ht="12.75">
      <c r="B44" s="1" t="s">
        <v>39</v>
      </c>
      <c r="C44" s="1" t="s">
        <v>213</v>
      </c>
      <c r="D44" s="1" t="s">
        <v>214</v>
      </c>
      <c r="E44" s="1" t="s">
        <v>215</v>
      </c>
      <c r="F44" s="1" t="s">
        <v>216</v>
      </c>
      <c r="G44" s="1" t="s">
        <v>217</v>
      </c>
    </row>
    <row r="45" ht="12.75">
      <c r="B45" s="1" t="s">
        <v>154</v>
      </c>
    </row>
    <row r="46" spans="2:5" ht="12.75">
      <c r="B46" s="1">
        <v>0</v>
      </c>
      <c r="C46" s="1" t="s">
        <v>157</v>
      </c>
      <c r="D46" s="1" t="s">
        <v>157</v>
      </c>
      <c r="E46" s="1" t="s">
        <v>218</v>
      </c>
    </row>
    <row r="47" spans="2:5" ht="12.75">
      <c r="B47" s="1">
        <v>1</v>
      </c>
      <c r="C47" s="1" t="s">
        <v>157</v>
      </c>
      <c r="D47" s="1">
        <v>17771.1</v>
      </c>
      <c r="E47" s="1" t="s">
        <v>218</v>
      </c>
    </row>
    <row r="48" spans="2:5" ht="12.75">
      <c r="B48" s="1">
        <v>2</v>
      </c>
      <c r="C48" s="1" t="s">
        <v>157</v>
      </c>
      <c r="D48" s="1">
        <v>0</v>
      </c>
      <c r="E48" s="1" t="s">
        <v>218</v>
      </c>
    </row>
    <row r="49" spans="2:5" ht="12.75">
      <c r="B49" s="1">
        <v>3</v>
      </c>
      <c r="C49" s="1" t="s">
        <v>157</v>
      </c>
      <c r="D49" s="1">
        <v>-17771.1</v>
      </c>
      <c r="E49" s="1" t="s">
        <v>218</v>
      </c>
    </row>
    <row r="50" spans="2:5" ht="12.75">
      <c r="B50" s="1">
        <v>4</v>
      </c>
      <c r="C50" s="1" t="s">
        <v>157</v>
      </c>
      <c r="D50" s="1">
        <v>-2000</v>
      </c>
      <c r="E50" s="1" t="s">
        <v>218</v>
      </c>
    </row>
    <row r="51" spans="2:5" ht="12.75">
      <c r="B51" s="1">
        <v>5</v>
      </c>
      <c r="C51" s="1" t="s">
        <v>157</v>
      </c>
      <c r="D51" s="1">
        <v>2000</v>
      </c>
      <c r="E51" s="1" t="s">
        <v>218</v>
      </c>
    </row>
    <row r="52" spans="2:5" ht="12.75">
      <c r="B52" s="1">
        <v>6</v>
      </c>
      <c r="C52" s="1">
        <v>-3500</v>
      </c>
      <c r="D52" s="1">
        <v>-1587.998</v>
      </c>
      <c r="E52" s="1" t="e">
        <v>#NAME?</v>
      </c>
    </row>
    <row r="53" spans="2:5" ht="12.75">
      <c r="B53" s="1" t="s">
        <v>220</v>
      </c>
      <c r="C53" s="1">
        <v>-345.2</v>
      </c>
      <c r="D53" s="1">
        <v>1587.998</v>
      </c>
      <c r="E53" s="1" t="s">
        <v>218</v>
      </c>
    </row>
    <row r="54" spans="2:5" ht="12.75">
      <c r="B54" s="1">
        <v>8</v>
      </c>
      <c r="C54" s="1" t="s">
        <v>157</v>
      </c>
      <c r="D54" s="1">
        <v>1050</v>
      </c>
      <c r="E54" s="1" t="s">
        <v>218</v>
      </c>
    </row>
    <row r="55" spans="2:5" ht="12.75">
      <c r="B55" s="1">
        <v>9</v>
      </c>
      <c r="C55" s="1">
        <v>-167.171</v>
      </c>
      <c r="D55" s="1">
        <v>0</v>
      </c>
      <c r="E55" s="1" t="s">
        <v>218</v>
      </c>
    </row>
    <row r="56" spans="2:5" ht="12.75">
      <c r="B56" s="1">
        <v>10</v>
      </c>
      <c r="C56" s="1" t="s">
        <v>157</v>
      </c>
      <c r="D56" s="1">
        <v>70.9</v>
      </c>
      <c r="E56" s="1" t="s">
        <v>218</v>
      </c>
    </row>
    <row r="57" spans="2:5" ht="12.75">
      <c r="B57" s="1">
        <v>11</v>
      </c>
      <c r="C57" s="1">
        <v>-365.963</v>
      </c>
      <c r="D57" s="1">
        <v>0</v>
      </c>
      <c r="E57" s="1" t="e">
        <v>#NAME?</v>
      </c>
    </row>
    <row r="58" spans="2:5" ht="12.75">
      <c r="B58" s="1">
        <v>12</v>
      </c>
      <c r="C58" s="1" t="s">
        <v>157</v>
      </c>
      <c r="D58" s="1">
        <v>-213.5</v>
      </c>
      <c r="E58" s="1" t="e">
        <v>#NAME?</v>
      </c>
    </row>
    <row r="59" spans="2:5" ht="12.75">
      <c r="B59" s="1">
        <v>13</v>
      </c>
      <c r="C59" s="1" t="s">
        <v>157</v>
      </c>
      <c r="D59" s="1">
        <v>0</v>
      </c>
      <c r="E59" s="1" t="e">
        <v>#NAME?</v>
      </c>
    </row>
    <row r="60" spans="2:5" ht="12.75">
      <c r="B60" s="1">
        <v>14</v>
      </c>
      <c r="C60" s="1" t="s">
        <v>157</v>
      </c>
      <c r="D60" s="1">
        <v>0</v>
      </c>
      <c r="E60" s="1" t="s">
        <v>218</v>
      </c>
    </row>
    <row r="61" spans="2:5" ht="12.75">
      <c r="B61" s="1">
        <v>15</v>
      </c>
      <c r="C61" s="1" t="s">
        <v>157</v>
      </c>
      <c r="D61" s="1">
        <v>0</v>
      </c>
      <c r="E61" s="1" t="s">
        <v>218</v>
      </c>
    </row>
    <row r="62" spans="2:5" ht="12.75">
      <c r="B62" s="1">
        <v>16</v>
      </c>
      <c r="C62" s="1" t="s">
        <v>157</v>
      </c>
      <c r="D62" s="1">
        <v>197.4</v>
      </c>
      <c r="E62" s="1" t="s">
        <v>218</v>
      </c>
    </row>
    <row r="63" spans="2:5" ht="12.75">
      <c r="B63" s="1">
        <v>17</v>
      </c>
      <c r="C63" s="1">
        <v>-294.638</v>
      </c>
      <c r="D63" s="1">
        <v>0</v>
      </c>
      <c r="E63" s="1" t="e">
        <v>#NAME?</v>
      </c>
    </row>
    <row r="64" spans="2:5" ht="12.75">
      <c r="B64" s="1">
        <v>18</v>
      </c>
      <c r="C64" s="1" t="s">
        <v>157</v>
      </c>
      <c r="D64" s="1">
        <v>-193.6</v>
      </c>
      <c r="E64" s="1" t="e">
        <v>#NAME?</v>
      </c>
    </row>
    <row r="65" spans="2:5" ht="12.75">
      <c r="B65" s="1">
        <v>19</v>
      </c>
      <c r="C65" s="1" t="s">
        <v>157</v>
      </c>
      <c r="D65" s="1">
        <v>0</v>
      </c>
      <c r="E65" s="1" t="e">
        <v>#NAME?</v>
      </c>
    </row>
    <row r="66" spans="2:5" ht="12.75">
      <c r="B66" s="1">
        <v>20</v>
      </c>
      <c r="C66" s="1">
        <v>-307.49</v>
      </c>
      <c r="D66" s="1">
        <v>0</v>
      </c>
      <c r="E66" s="1" t="s">
        <v>218</v>
      </c>
    </row>
    <row r="67" spans="2:5" ht="12.75">
      <c r="B67" s="1">
        <v>21</v>
      </c>
      <c r="C67" s="1" t="s">
        <v>157</v>
      </c>
      <c r="D67" s="1">
        <v>202.9</v>
      </c>
      <c r="E67" s="1" t="s">
        <v>218</v>
      </c>
    </row>
    <row r="68" spans="2:5" ht="12.75">
      <c r="B68" s="1">
        <v>22</v>
      </c>
      <c r="C68" s="1">
        <v>-330.7</v>
      </c>
      <c r="D68" s="1">
        <v>0</v>
      </c>
      <c r="E68" s="1" t="e">
        <v>#NAME?</v>
      </c>
    </row>
    <row r="69" spans="2:5" ht="12.75">
      <c r="B69" s="1">
        <v>23</v>
      </c>
      <c r="C69" s="1" t="s">
        <v>157</v>
      </c>
      <c r="D69" s="1">
        <v>-188</v>
      </c>
      <c r="E69" s="1" t="e">
        <v>#NAME?</v>
      </c>
    </row>
    <row r="70" spans="2:5" ht="12.75">
      <c r="B70" s="1">
        <v>24</v>
      </c>
      <c r="C70" s="1">
        <v>-286.651</v>
      </c>
      <c r="D70" s="1">
        <v>0</v>
      </c>
      <c r="E70" s="1" t="s">
        <v>218</v>
      </c>
    </row>
    <row r="71" spans="2:5" ht="12.75">
      <c r="B71" s="1">
        <v>25</v>
      </c>
      <c r="C71" s="1" t="s">
        <v>157</v>
      </c>
      <c r="D71" s="1">
        <v>70</v>
      </c>
      <c r="E71" s="1" t="s">
        <v>218</v>
      </c>
    </row>
    <row r="72" spans="2:5" ht="12.75">
      <c r="B72" s="1">
        <v>26</v>
      </c>
      <c r="C72" s="1" t="s">
        <v>157</v>
      </c>
      <c r="D72" s="1">
        <v>130</v>
      </c>
      <c r="E72" s="1" t="s">
        <v>218</v>
      </c>
    </row>
    <row r="73" spans="2:5" ht="12.75">
      <c r="B73" s="1">
        <v>27</v>
      </c>
      <c r="C73" s="1">
        <v>-350.851</v>
      </c>
      <c r="D73" s="1">
        <v>0</v>
      </c>
      <c r="E73" s="1" t="e">
        <v>#NAME?</v>
      </c>
    </row>
    <row r="74" spans="2:5" ht="12.75">
      <c r="B74" s="1">
        <v>28</v>
      </c>
      <c r="C74" s="1" t="s">
        <v>157</v>
      </c>
      <c r="D74" s="1">
        <v>-320</v>
      </c>
      <c r="E74" s="1" t="e">
        <v>#NAME?</v>
      </c>
    </row>
    <row r="75" spans="2:5" ht="12.75">
      <c r="B75" s="1">
        <v>29</v>
      </c>
      <c r="C75" s="1" t="s">
        <v>157</v>
      </c>
      <c r="D75" s="1">
        <v>0</v>
      </c>
      <c r="E75" s="1" t="e">
        <v>#NAME?</v>
      </c>
    </row>
    <row r="76" spans="2:5" ht="12.75">
      <c r="B76" s="1">
        <v>30</v>
      </c>
      <c r="C76" s="1" t="s">
        <v>157</v>
      </c>
      <c r="D76" s="1">
        <v>185</v>
      </c>
      <c r="E76" s="1" t="e">
        <v>#NAME?</v>
      </c>
    </row>
    <row r="77" spans="2:5" ht="12.75">
      <c r="B77" s="1">
        <v>31</v>
      </c>
      <c r="C77" s="1" t="s">
        <v>157</v>
      </c>
      <c r="D77" s="1">
        <v>0</v>
      </c>
      <c r="E77" s="1" t="s">
        <v>218</v>
      </c>
    </row>
    <row r="78" spans="2:5" ht="12.75">
      <c r="B78" s="1">
        <v>32</v>
      </c>
      <c r="C78" s="1" t="s">
        <v>157</v>
      </c>
      <c r="D78" s="1">
        <v>0</v>
      </c>
      <c r="E78" s="1" t="s">
        <v>218</v>
      </c>
    </row>
    <row r="79" spans="2:5" ht="12.75">
      <c r="B79" s="1">
        <v>33</v>
      </c>
      <c r="C79" s="1" t="s">
        <v>157</v>
      </c>
      <c r="D79" s="1">
        <v>0</v>
      </c>
      <c r="E79" s="1" t="s">
        <v>218</v>
      </c>
    </row>
    <row r="80" spans="2:5" ht="12.75">
      <c r="B80" s="1">
        <v>34</v>
      </c>
      <c r="C80" s="1" t="s">
        <v>157</v>
      </c>
      <c r="D80" s="1">
        <v>0</v>
      </c>
      <c r="E80" s="1" t="s">
        <v>218</v>
      </c>
    </row>
    <row r="81" spans="2:5" ht="12.75">
      <c r="B81" s="1">
        <v>35</v>
      </c>
      <c r="C81" s="1" t="s">
        <v>157</v>
      </c>
      <c r="D81" s="1">
        <v>135</v>
      </c>
      <c r="E81" s="1" t="s">
        <v>218</v>
      </c>
    </row>
    <row r="82" spans="2:5" ht="12.75">
      <c r="B82" s="1">
        <v>36</v>
      </c>
      <c r="C82" s="1" t="s">
        <v>157</v>
      </c>
      <c r="D82" s="1">
        <v>0</v>
      </c>
      <c r="E82" s="1" t="e">
        <v>#NAME?</v>
      </c>
    </row>
    <row r="83" spans="2:5" ht="12.75">
      <c r="B83" s="1">
        <v>37</v>
      </c>
      <c r="C83" s="1" t="s">
        <v>157</v>
      </c>
      <c r="D83" s="1">
        <v>-50</v>
      </c>
      <c r="E83" s="1" t="e">
        <v>#NAME?</v>
      </c>
    </row>
    <row r="84" spans="2:5" ht="12.75">
      <c r="B84" s="1">
        <v>38</v>
      </c>
      <c r="C84" s="1" t="s">
        <v>157</v>
      </c>
      <c r="D84" s="1">
        <v>0</v>
      </c>
      <c r="E84" s="1" t="e">
        <v>#NAME?</v>
      </c>
    </row>
    <row r="85" spans="2:5" ht="12.75">
      <c r="B85" s="1">
        <v>39</v>
      </c>
      <c r="C85" s="1" t="s">
        <v>157</v>
      </c>
      <c r="D85" s="1">
        <v>0</v>
      </c>
      <c r="E85" s="1" t="e">
        <v>#NAME?</v>
      </c>
    </row>
    <row r="86" spans="2:5" ht="12.75">
      <c r="B86" s="1">
        <v>40</v>
      </c>
      <c r="C86" s="1" t="s">
        <v>157</v>
      </c>
      <c r="D86" s="1">
        <v>0</v>
      </c>
      <c r="E86" s="1" t="e">
        <v>#NAME?</v>
      </c>
    </row>
    <row r="87" spans="2:5" ht="12.75">
      <c r="B87" s="1">
        <v>41</v>
      </c>
      <c r="C87" s="1" t="s">
        <v>157</v>
      </c>
      <c r="D87" s="1">
        <v>50</v>
      </c>
      <c r="E87" s="1" t="e">
        <v>#NAME?</v>
      </c>
    </row>
    <row r="88" spans="2:5" ht="12.75">
      <c r="B88" s="1">
        <v>42</v>
      </c>
      <c r="C88" s="1" t="s">
        <v>157</v>
      </c>
      <c r="D88" s="1">
        <v>0</v>
      </c>
      <c r="E88" s="1" t="s">
        <v>218</v>
      </c>
    </row>
    <row r="89" spans="2:5" ht="12.75">
      <c r="B89" s="1">
        <v>43</v>
      </c>
      <c r="C89" s="1" t="s">
        <v>157</v>
      </c>
      <c r="D89" s="1">
        <v>-135</v>
      </c>
      <c r="E89" s="1" t="s">
        <v>218</v>
      </c>
    </row>
    <row r="90" spans="2:5" ht="12.75">
      <c r="B90" s="1">
        <v>44</v>
      </c>
      <c r="C90" s="1" t="s">
        <v>157</v>
      </c>
      <c r="D90" s="1">
        <v>0</v>
      </c>
      <c r="E90" s="1" t="e">
        <v>#NAME?</v>
      </c>
    </row>
    <row r="91" spans="2:5" ht="12.75">
      <c r="B91" s="1">
        <v>45</v>
      </c>
      <c r="C91" s="1" t="s">
        <v>157</v>
      </c>
      <c r="D91" s="1">
        <v>-100</v>
      </c>
      <c r="E91" s="1" t="e">
        <v>#NAME?</v>
      </c>
    </row>
    <row r="92" spans="2:5" ht="12.75">
      <c r="B92" s="1">
        <v>46</v>
      </c>
      <c r="C92" s="1" t="s">
        <v>157</v>
      </c>
      <c r="D92" s="1">
        <v>0</v>
      </c>
      <c r="E92" s="1" t="s">
        <v>218</v>
      </c>
    </row>
    <row r="93" spans="2:5" ht="12.75">
      <c r="B93" s="1">
        <v>47</v>
      </c>
      <c r="C93" s="1" t="s">
        <v>157</v>
      </c>
      <c r="D93" s="1">
        <v>0</v>
      </c>
      <c r="E93" s="1" t="s">
        <v>218</v>
      </c>
    </row>
    <row r="94" spans="2:5" ht="12.75">
      <c r="B94" s="1">
        <v>48</v>
      </c>
      <c r="C94" s="1" t="s">
        <v>157</v>
      </c>
      <c r="D94" s="1">
        <v>0</v>
      </c>
      <c r="E94" s="1" t="s">
        <v>218</v>
      </c>
    </row>
    <row r="95" spans="2:5" ht="12.75">
      <c r="B95" s="1">
        <v>49</v>
      </c>
      <c r="C95" s="1" t="s">
        <v>157</v>
      </c>
      <c r="D95" s="1">
        <v>0</v>
      </c>
      <c r="E95" s="1" t="s">
        <v>218</v>
      </c>
    </row>
    <row r="96" spans="2:5" ht="12.75">
      <c r="B96" s="1">
        <v>50</v>
      </c>
      <c r="C96" s="1" t="s">
        <v>157</v>
      </c>
      <c r="D96" s="1">
        <v>85</v>
      </c>
      <c r="E96" s="1" t="s">
        <v>218</v>
      </c>
    </row>
    <row r="97" spans="2:5" ht="12.75">
      <c r="B97" s="1">
        <v>51</v>
      </c>
      <c r="C97" s="1" t="s">
        <v>157</v>
      </c>
      <c r="D97" s="1">
        <v>0</v>
      </c>
      <c r="E97" s="1" t="s">
        <v>218</v>
      </c>
    </row>
    <row r="98" spans="2:5" ht="12.75">
      <c r="B98" s="1">
        <v>52</v>
      </c>
      <c r="C98" s="1" t="s">
        <v>157</v>
      </c>
      <c r="D98" s="1">
        <v>0</v>
      </c>
      <c r="E98" s="1" t="s">
        <v>218</v>
      </c>
    </row>
    <row r="99" spans="2:5" ht="12.75">
      <c r="B99" s="1">
        <v>53</v>
      </c>
      <c r="C99" s="1" t="s">
        <v>157</v>
      </c>
      <c r="D99" s="1">
        <v>0</v>
      </c>
      <c r="E99" s="1" t="s">
        <v>218</v>
      </c>
    </row>
    <row r="100" spans="2:5" ht="12.75">
      <c r="B100" s="1">
        <v>54</v>
      </c>
      <c r="C100" s="1" t="s">
        <v>157</v>
      </c>
      <c r="D100" s="1">
        <v>-85</v>
      </c>
      <c r="E100" s="1" t="s">
        <v>218</v>
      </c>
    </row>
    <row r="101" spans="2:5" ht="12.75">
      <c r="B101" s="1">
        <v>55</v>
      </c>
      <c r="C101" s="1" t="s">
        <v>157</v>
      </c>
      <c r="D101" s="1">
        <v>0</v>
      </c>
      <c r="E101" s="1" t="e">
        <v>#NAME?</v>
      </c>
    </row>
    <row r="102" spans="2:5" ht="12.75">
      <c r="B102" s="1">
        <v>56</v>
      </c>
      <c r="C102" s="1" t="s">
        <v>157</v>
      </c>
      <c r="D102" s="1">
        <v>-44</v>
      </c>
      <c r="E102" s="1" t="e">
        <v>#NAME?</v>
      </c>
    </row>
    <row r="103" spans="2:5" ht="12.75">
      <c r="B103" s="1">
        <v>57</v>
      </c>
      <c r="C103" s="1" t="s">
        <v>157</v>
      </c>
      <c r="D103" s="1">
        <v>0</v>
      </c>
      <c r="E103" s="1" t="s">
        <v>218</v>
      </c>
    </row>
    <row r="104" spans="2:5" ht="12.75">
      <c r="B104" s="1">
        <v>58</v>
      </c>
      <c r="C104" s="1" t="s">
        <v>157</v>
      </c>
      <c r="D104" s="1">
        <v>41</v>
      </c>
      <c r="E104" s="1" t="s">
        <v>218</v>
      </c>
    </row>
    <row r="105" spans="2:5" ht="12.75">
      <c r="B105" s="1">
        <v>59</v>
      </c>
      <c r="C105" s="1" t="s">
        <v>157</v>
      </c>
      <c r="D105" s="1">
        <v>0</v>
      </c>
      <c r="E105" s="1" t="s">
        <v>218</v>
      </c>
    </row>
    <row r="106" spans="2:5" ht="12.75">
      <c r="B106" s="1">
        <v>60</v>
      </c>
      <c r="C106" s="1" t="s">
        <v>157</v>
      </c>
      <c r="D106" s="1">
        <v>0</v>
      </c>
      <c r="E106" s="1" t="s">
        <v>218</v>
      </c>
    </row>
    <row r="107" spans="2:5" ht="12.75">
      <c r="B107" s="1">
        <v>61</v>
      </c>
      <c r="C107" s="1" t="s">
        <v>157</v>
      </c>
      <c r="D107" s="1">
        <v>0</v>
      </c>
      <c r="E107" s="1" t="s">
        <v>218</v>
      </c>
    </row>
    <row r="108" spans="2:5" ht="12.75">
      <c r="B108" s="1">
        <v>62</v>
      </c>
      <c r="C108" s="1" t="s">
        <v>157</v>
      </c>
      <c r="D108" s="1">
        <v>0</v>
      </c>
      <c r="E108" s="1" t="s">
        <v>218</v>
      </c>
    </row>
    <row r="109" spans="2:3" ht="12.75">
      <c r="B109" s="1" t="s">
        <v>221</v>
      </c>
      <c r="C109" s="1" t="s">
        <v>157</v>
      </c>
    </row>
    <row r="111" spans="2:4" ht="12.75">
      <c r="B111" s="1" t="s">
        <v>222</v>
      </c>
      <c r="C111" s="1" t="s">
        <v>223</v>
      </c>
      <c r="D111" s="1" t="s">
        <v>224</v>
      </c>
    </row>
    <row r="112" ht="12.75">
      <c r="B112" s="1" t="s">
        <v>225</v>
      </c>
    </row>
    <row r="113" spans="2:11" ht="12.75">
      <c r="B113" s="1" t="s">
        <v>226</v>
      </c>
      <c r="C113" s="1" t="s">
        <v>50</v>
      </c>
      <c r="D113" s="1" t="s">
        <v>227</v>
      </c>
      <c r="E113" s="1" t="s">
        <v>228</v>
      </c>
      <c r="F113" s="1" t="s">
        <v>209</v>
      </c>
      <c r="G113" s="1" t="s">
        <v>229</v>
      </c>
      <c r="H113" s="1" t="s">
        <v>230</v>
      </c>
      <c r="I113" s="1" t="s">
        <v>231</v>
      </c>
      <c r="J113" s="1" t="s">
        <v>202</v>
      </c>
      <c r="K113" s="1" t="s">
        <v>50</v>
      </c>
    </row>
    <row r="114" spans="2:13" ht="12.75">
      <c r="B114" s="1" t="s">
        <v>232</v>
      </c>
      <c r="C114" s="1" t="s">
        <v>50</v>
      </c>
      <c r="D114" s="1" t="s">
        <v>233</v>
      </c>
      <c r="E114" s="1" t="s">
        <v>46</v>
      </c>
      <c r="F114" s="1" t="s">
        <v>41</v>
      </c>
      <c r="G114" s="1" t="s">
        <v>234</v>
      </c>
      <c r="H114" s="1" t="s">
        <v>235</v>
      </c>
      <c r="I114" s="1" t="s">
        <v>50</v>
      </c>
      <c r="J114" s="1" t="s">
        <v>233</v>
      </c>
      <c r="K114" s="1" t="s">
        <v>46</v>
      </c>
      <c r="L114" s="1" t="s">
        <v>236</v>
      </c>
      <c r="M114" s="1" t="s">
        <v>234</v>
      </c>
    </row>
    <row r="115" spans="2:11" ht="12.75">
      <c r="B115" s="1" t="s">
        <v>219</v>
      </c>
      <c r="C115" s="1" t="s">
        <v>237</v>
      </c>
      <c r="D115" s="1" t="s">
        <v>50</v>
      </c>
      <c r="E115" s="1" t="s">
        <v>238</v>
      </c>
      <c r="F115" s="1" t="s">
        <v>239</v>
      </c>
      <c r="G115" s="1" t="s">
        <v>240</v>
      </c>
      <c r="H115" s="1" t="s">
        <v>233</v>
      </c>
      <c r="I115" s="1" t="s">
        <v>241</v>
      </c>
      <c r="J115" s="1" t="s">
        <v>223</v>
      </c>
      <c r="K115" s="1" t="s">
        <v>242</v>
      </c>
    </row>
    <row r="116" spans="2:7" ht="12.75">
      <c r="B116" s="1" t="s">
        <v>243</v>
      </c>
      <c r="C116" s="1" t="s">
        <v>240</v>
      </c>
      <c r="D116" s="1" t="s">
        <v>233</v>
      </c>
      <c r="E116" s="1" t="s">
        <v>241</v>
      </c>
      <c r="F116" s="1" t="s">
        <v>223</v>
      </c>
      <c r="G116" s="1" t="s">
        <v>244</v>
      </c>
    </row>
    <row r="118" spans="2:4" ht="12.75">
      <c r="B118" s="1" t="s">
        <v>237</v>
      </c>
      <c r="C118" s="1" t="s">
        <v>50</v>
      </c>
      <c r="D118" s="1" t="s">
        <v>45</v>
      </c>
    </row>
    <row r="119" ht="12.75">
      <c r="B119" s="1" t="s">
        <v>154</v>
      </c>
    </row>
    <row r="120" spans="2:7" ht="12.75">
      <c r="B120" s="1" t="s">
        <v>50</v>
      </c>
      <c r="C120" s="1" t="s">
        <v>51</v>
      </c>
      <c r="D120" s="1">
        <v>6</v>
      </c>
      <c r="E120" s="1" t="s">
        <v>245</v>
      </c>
      <c r="F120" s="1" t="s">
        <v>246</v>
      </c>
      <c r="G120" s="1" t="s">
        <v>50</v>
      </c>
    </row>
    <row r="121" spans="2:5" ht="12.75">
      <c r="B121" s="1" t="s">
        <v>246</v>
      </c>
      <c r="C121" s="1" t="s">
        <v>247</v>
      </c>
      <c r="D121" s="1" t="s">
        <v>248</v>
      </c>
      <c r="E121" s="1">
        <v>-1</v>
      </c>
    </row>
    <row r="122" spans="2:9" ht="12.75">
      <c r="B122" s="1" t="s">
        <v>249</v>
      </c>
      <c r="C122" s="1" t="s">
        <v>250</v>
      </c>
      <c r="D122" s="1" t="s">
        <v>251</v>
      </c>
      <c r="E122" s="4">
        <v>-35000000000000</v>
      </c>
      <c r="F122" s="1" t="s">
        <v>252</v>
      </c>
      <c r="G122" s="1" t="s">
        <v>250</v>
      </c>
      <c r="H122" s="1" t="s">
        <v>253</v>
      </c>
      <c r="I122" s="4">
        <v>350000000</v>
      </c>
    </row>
    <row r="123" spans="5:9" ht="12.75">
      <c r="E123" s="4"/>
      <c r="I123" s="4"/>
    </row>
    <row r="124" ht="12.75">
      <c r="B124" s="1" t="s">
        <v>254</v>
      </c>
    </row>
    <row r="125" spans="2:7" ht="12.75">
      <c r="B125" s="1" t="s">
        <v>50</v>
      </c>
      <c r="C125" s="1" t="s">
        <v>51</v>
      </c>
      <c r="D125" s="1">
        <v>7</v>
      </c>
      <c r="E125" s="1" t="s">
        <v>245</v>
      </c>
      <c r="F125" s="1" t="s">
        <v>246</v>
      </c>
      <c r="G125" s="1" t="s">
        <v>50</v>
      </c>
    </row>
    <row r="126" spans="2:5" ht="12.75">
      <c r="B126" s="1" t="s">
        <v>246</v>
      </c>
      <c r="C126" s="1" t="s">
        <v>247</v>
      </c>
      <c r="D126" s="1" t="s">
        <v>248</v>
      </c>
      <c r="E126" s="1">
        <v>-1.279</v>
      </c>
    </row>
    <row r="127" spans="2:9" ht="12.75">
      <c r="B127" s="1" t="s">
        <v>249</v>
      </c>
      <c r="C127" s="1" t="s">
        <v>250</v>
      </c>
      <c r="D127" s="1" t="s">
        <v>251</v>
      </c>
      <c r="E127" s="1">
        <v>1237.275986</v>
      </c>
      <c r="F127" s="1" t="s">
        <v>252</v>
      </c>
      <c r="G127" s="1" t="s">
        <v>250</v>
      </c>
      <c r="H127" s="1" t="s">
        <v>253</v>
      </c>
      <c r="I127" s="1">
        <v>-653.534751</v>
      </c>
    </row>
    <row r="129" ht="12.75">
      <c r="B129" s="1" t="s">
        <v>254</v>
      </c>
    </row>
    <row r="130" spans="2:7" ht="12.75">
      <c r="B130" s="1" t="s">
        <v>50</v>
      </c>
      <c r="C130" s="1" t="s">
        <v>51</v>
      </c>
      <c r="D130" s="1">
        <v>11</v>
      </c>
      <c r="E130" s="1" t="s">
        <v>245</v>
      </c>
      <c r="F130" s="1" t="s">
        <v>246</v>
      </c>
      <c r="G130" s="1" t="s">
        <v>50</v>
      </c>
    </row>
    <row r="131" spans="2:5" ht="12.75">
      <c r="B131" s="1" t="s">
        <v>246</v>
      </c>
      <c r="C131" s="1" t="s">
        <v>247</v>
      </c>
      <c r="D131" s="1" t="s">
        <v>248</v>
      </c>
      <c r="E131" s="1">
        <v>-0.5095</v>
      </c>
    </row>
    <row r="132" spans="2:9" ht="12.75">
      <c r="B132" s="1" t="s">
        <v>249</v>
      </c>
      <c r="C132" s="1" t="s">
        <v>250</v>
      </c>
      <c r="D132" s="1" t="s">
        <v>251</v>
      </c>
      <c r="E132" s="1">
        <v>-746.101937</v>
      </c>
      <c r="F132" s="1" t="s">
        <v>252</v>
      </c>
      <c r="G132" s="1" t="s">
        <v>250</v>
      </c>
      <c r="H132" s="1" t="s">
        <v>253</v>
      </c>
      <c r="I132" s="1">
        <v>522.537753</v>
      </c>
    </row>
    <row r="134" ht="12.75">
      <c r="B134" s="1" t="s">
        <v>254</v>
      </c>
    </row>
    <row r="135" spans="2:7" ht="12.75">
      <c r="B135" s="1" t="s">
        <v>50</v>
      </c>
      <c r="C135" s="1" t="s">
        <v>51</v>
      </c>
      <c r="D135" s="1">
        <v>17</v>
      </c>
      <c r="E135" s="1" t="s">
        <v>245</v>
      </c>
      <c r="F135" s="1" t="s">
        <v>255</v>
      </c>
      <c r="G135" s="1" t="s">
        <v>50</v>
      </c>
    </row>
    <row r="136" spans="2:3" ht="12.75">
      <c r="B136" s="1" t="s">
        <v>256</v>
      </c>
      <c r="C136" s="1">
        <v>-278.418</v>
      </c>
    </row>
    <row r="138" ht="12.75">
      <c r="B138" s="1" t="s">
        <v>254</v>
      </c>
    </row>
    <row r="139" spans="2:7" ht="12.75">
      <c r="B139" s="1" t="s">
        <v>50</v>
      </c>
      <c r="C139" s="1" t="s">
        <v>51</v>
      </c>
      <c r="D139" s="1">
        <v>20</v>
      </c>
      <c r="E139" s="1" t="s">
        <v>245</v>
      </c>
      <c r="F139" s="1" t="s">
        <v>255</v>
      </c>
      <c r="G139" s="1" t="s">
        <v>50</v>
      </c>
    </row>
    <row r="140" spans="2:3" ht="12.75">
      <c r="B140" s="1" t="s">
        <v>256</v>
      </c>
      <c r="C140" s="1">
        <v>-359.42</v>
      </c>
    </row>
    <row r="143" spans="2:5" ht="12.75">
      <c r="B143" s="1" t="s">
        <v>257</v>
      </c>
      <c r="C143" s="1" t="s">
        <v>209</v>
      </c>
      <c r="D143" s="1" t="s">
        <v>258</v>
      </c>
      <c r="E143" s="1" t="s">
        <v>45</v>
      </c>
    </row>
    <row r="144" spans="2:3" ht="12.75">
      <c r="B144" s="1" t="s">
        <v>259</v>
      </c>
      <c r="C144" s="1" t="s">
        <v>234</v>
      </c>
    </row>
    <row r="145" ht="12.75">
      <c r="B145" s="1" t="s">
        <v>260</v>
      </c>
    </row>
    <row r="146" spans="2:9" ht="12.75">
      <c r="B146" s="1" t="s">
        <v>39</v>
      </c>
      <c r="C146" s="1" t="s">
        <v>238</v>
      </c>
      <c r="D146" s="1" t="s">
        <v>14</v>
      </c>
      <c r="E146" s="1" t="s">
        <v>69</v>
      </c>
      <c r="F146" s="1" t="s">
        <v>70</v>
      </c>
      <c r="G146" s="1" t="s">
        <v>261</v>
      </c>
      <c r="H146" s="1" t="s">
        <v>262</v>
      </c>
      <c r="I146" s="1" t="s">
        <v>263</v>
      </c>
    </row>
    <row r="147" ht="12.75">
      <c r="B147" s="1" t="s">
        <v>260</v>
      </c>
    </row>
    <row r="148" spans="2:9" ht="12.75">
      <c r="B148" s="1">
        <v>2</v>
      </c>
      <c r="C148" s="1" t="s">
        <v>264</v>
      </c>
      <c r="D148" s="1">
        <v>0</v>
      </c>
      <c r="E148" s="1">
        <v>0</v>
      </c>
      <c r="F148" s="1">
        <v>0</v>
      </c>
      <c r="G148" s="1">
        <v>0.1829</v>
      </c>
      <c r="H148" s="1">
        <v>0</v>
      </c>
      <c r="I148" s="1">
        <v>0</v>
      </c>
    </row>
    <row r="149" spans="2:9" ht="12.75">
      <c r="B149" s="1">
        <v>10</v>
      </c>
      <c r="C149" s="1" t="s">
        <v>264</v>
      </c>
      <c r="D149" s="1">
        <v>0</v>
      </c>
      <c r="E149" s="1">
        <v>-91.048</v>
      </c>
      <c r="F149" s="1">
        <v>0</v>
      </c>
      <c r="G149" s="1">
        <v>-1.9766</v>
      </c>
      <c r="H149" s="1">
        <v>0</v>
      </c>
      <c r="I149" s="1">
        <v>0</v>
      </c>
    </row>
    <row r="150" spans="2:9" ht="12.75">
      <c r="B150" s="1">
        <v>11</v>
      </c>
      <c r="C150" s="1" t="s">
        <v>264</v>
      </c>
      <c r="D150" s="1">
        <v>0</v>
      </c>
      <c r="E150" s="1">
        <v>-149.224</v>
      </c>
      <c r="F150" s="1">
        <v>12.676</v>
      </c>
      <c r="G150" s="1">
        <v>-6.7066</v>
      </c>
      <c r="H150" s="1">
        <v>0</v>
      </c>
      <c r="I150" s="1">
        <v>0</v>
      </c>
    </row>
    <row r="151" spans="2:9" ht="12.75">
      <c r="B151" s="1">
        <v>12</v>
      </c>
      <c r="C151" s="1" t="s">
        <v>264</v>
      </c>
      <c r="D151" s="1">
        <v>0</v>
      </c>
      <c r="E151" s="1">
        <v>0</v>
      </c>
      <c r="F151" s="1">
        <v>0</v>
      </c>
      <c r="G151" s="1">
        <v>31.93</v>
      </c>
      <c r="H151" s="1">
        <v>0</v>
      </c>
      <c r="I151" s="1">
        <v>0</v>
      </c>
    </row>
    <row r="152" spans="2:9" ht="12.75">
      <c r="B152" s="1">
        <v>13</v>
      </c>
      <c r="C152" s="1" t="s">
        <v>264</v>
      </c>
      <c r="D152" s="1">
        <v>0</v>
      </c>
      <c r="E152" s="1">
        <v>0</v>
      </c>
      <c r="F152" s="1">
        <v>0</v>
      </c>
      <c r="G152" s="1">
        <v>-12.01</v>
      </c>
      <c r="H152" s="1">
        <v>0</v>
      </c>
      <c r="I152" s="1">
        <v>0</v>
      </c>
    </row>
    <row r="153" spans="2:9" ht="12.75">
      <c r="B153" s="1">
        <v>16</v>
      </c>
      <c r="C153" s="1" t="s">
        <v>264</v>
      </c>
      <c r="D153" s="1">
        <v>0</v>
      </c>
      <c r="E153" s="1">
        <v>0</v>
      </c>
      <c r="F153" s="1">
        <v>0</v>
      </c>
      <c r="G153" s="1">
        <v>-24.02</v>
      </c>
      <c r="H153" s="1">
        <v>0</v>
      </c>
      <c r="I153" s="1">
        <v>0</v>
      </c>
    </row>
    <row r="154" spans="2:9" ht="12.75">
      <c r="B154" s="1">
        <v>17</v>
      </c>
      <c r="C154" s="1" t="s">
        <v>264</v>
      </c>
      <c r="D154" s="1">
        <v>0</v>
      </c>
      <c r="E154" s="1">
        <v>0</v>
      </c>
      <c r="F154" s="1">
        <v>0</v>
      </c>
      <c r="G154" s="1">
        <v>9.212</v>
      </c>
      <c r="H154" s="1">
        <v>0</v>
      </c>
      <c r="I154" s="1">
        <v>0</v>
      </c>
    </row>
    <row r="155" spans="2:9" ht="12.75">
      <c r="B155" s="1">
        <v>18</v>
      </c>
      <c r="C155" s="1" t="s">
        <v>264</v>
      </c>
      <c r="D155" s="1">
        <v>0</v>
      </c>
      <c r="E155" s="1">
        <v>0</v>
      </c>
      <c r="F155" s="1">
        <v>0</v>
      </c>
      <c r="G155" s="1">
        <v>18.424</v>
      </c>
      <c r="H155" s="1">
        <v>0</v>
      </c>
      <c r="I155" s="1">
        <v>0</v>
      </c>
    </row>
    <row r="156" spans="2:9" ht="12.75">
      <c r="B156" s="1">
        <v>19</v>
      </c>
      <c r="C156" s="1" t="s">
        <v>264</v>
      </c>
      <c r="D156" s="1">
        <v>0</v>
      </c>
      <c r="E156" s="1">
        <v>0</v>
      </c>
      <c r="F156" s="1">
        <v>0</v>
      </c>
      <c r="G156" s="1">
        <v>-32.897</v>
      </c>
      <c r="H156" s="1">
        <v>0</v>
      </c>
      <c r="I156" s="1">
        <v>0</v>
      </c>
    </row>
    <row r="157" spans="2:9" ht="12.75">
      <c r="B157" s="1">
        <v>20</v>
      </c>
      <c r="C157" s="1" t="s">
        <v>264</v>
      </c>
      <c r="D157" s="1">
        <v>0</v>
      </c>
      <c r="E157" s="1">
        <v>0</v>
      </c>
      <c r="F157" s="1">
        <v>0</v>
      </c>
      <c r="G157" s="1">
        <v>-15</v>
      </c>
      <c r="H157" s="1">
        <v>0</v>
      </c>
      <c r="I157" s="1">
        <v>0</v>
      </c>
    </row>
    <row r="158" spans="2:9" ht="12.75">
      <c r="B158" s="1">
        <v>21</v>
      </c>
      <c r="C158" s="1" t="s">
        <v>264</v>
      </c>
      <c r="D158" s="1">
        <v>0</v>
      </c>
      <c r="E158" s="1">
        <v>0</v>
      </c>
      <c r="F158" s="1">
        <v>0</v>
      </c>
      <c r="G158" s="1">
        <v>-30</v>
      </c>
      <c r="H158" s="1">
        <v>0</v>
      </c>
      <c r="I158" s="1">
        <v>0</v>
      </c>
    </row>
    <row r="159" spans="2:9" ht="12.75">
      <c r="B159" s="1">
        <v>22</v>
      </c>
      <c r="C159" s="1" t="s">
        <v>264</v>
      </c>
      <c r="D159" s="1">
        <v>0</v>
      </c>
      <c r="E159" s="1">
        <v>0</v>
      </c>
      <c r="F159" s="1">
        <v>0</v>
      </c>
      <c r="G159" s="1">
        <v>22.29</v>
      </c>
      <c r="H159" s="1">
        <v>0</v>
      </c>
      <c r="I159" s="1">
        <v>0</v>
      </c>
    </row>
    <row r="160" spans="2:9" ht="12.75">
      <c r="B160" s="1">
        <v>23</v>
      </c>
      <c r="C160" s="1" t="s">
        <v>264</v>
      </c>
      <c r="D160" s="1">
        <v>0</v>
      </c>
      <c r="E160" s="1">
        <v>0</v>
      </c>
      <c r="F160" s="1">
        <v>0</v>
      </c>
      <c r="G160" s="1">
        <v>44.58</v>
      </c>
      <c r="H160" s="1">
        <v>0</v>
      </c>
      <c r="I160" s="1">
        <v>0</v>
      </c>
    </row>
    <row r="161" spans="2:9" ht="12.75">
      <c r="B161" s="1">
        <v>24</v>
      </c>
      <c r="C161" s="1" t="s">
        <v>264</v>
      </c>
      <c r="D161" s="1">
        <v>0</v>
      </c>
      <c r="E161" s="1">
        <v>0</v>
      </c>
      <c r="F161" s="1">
        <v>0</v>
      </c>
      <c r="G161" s="1">
        <v>-43.048</v>
      </c>
      <c r="H161" s="1">
        <v>0</v>
      </c>
      <c r="I161" s="1">
        <v>0</v>
      </c>
    </row>
    <row r="162" spans="2:9" ht="12.75">
      <c r="B162" s="1">
        <v>25</v>
      </c>
      <c r="C162" s="1" t="s">
        <v>264</v>
      </c>
      <c r="D162" s="1">
        <v>0</v>
      </c>
      <c r="E162" s="1">
        <v>0</v>
      </c>
      <c r="F162" s="1">
        <v>0</v>
      </c>
      <c r="G162" s="1">
        <v>-86.096</v>
      </c>
      <c r="H162" s="1">
        <v>0</v>
      </c>
      <c r="I162" s="1">
        <v>0</v>
      </c>
    </row>
    <row r="163" spans="2:9" ht="12.75">
      <c r="B163" s="1">
        <v>26</v>
      </c>
      <c r="C163" s="1" t="s">
        <v>264</v>
      </c>
      <c r="D163" s="1">
        <v>0</v>
      </c>
      <c r="E163" s="1">
        <v>0</v>
      </c>
      <c r="F163" s="1">
        <v>0</v>
      </c>
      <c r="G163" s="1">
        <v>0</v>
      </c>
      <c r="H163" s="1">
        <v>0</v>
      </c>
      <c r="I163" s="1">
        <v>0</v>
      </c>
    </row>
    <row r="164" spans="2:9" ht="12.75">
      <c r="B164" s="1">
        <v>27</v>
      </c>
      <c r="C164" s="1" t="s">
        <v>264</v>
      </c>
      <c r="D164" s="1">
        <v>0</v>
      </c>
      <c r="E164" s="1">
        <v>0</v>
      </c>
      <c r="F164" s="1">
        <v>0</v>
      </c>
      <c r="G164" s="1">
        <v>20</v>
      </c>
      <c r="H164" s="1">
        <v>0</v>
      </c>
      <c r="I164" s="1">
        <v>0</v>
      </c>
    </row>
    <row r="165" spans="2:9" ht="12.75">
      <c r="B165" s="1">
        <v>28</v>
      </c>
      <c r="C165" s="1" t="s">
        <v>264</v>
      </c>
      <c r="D165" s="1">
        <v>0</v>
      </c>
      <c r="E165" s="1">
        <v>0</v>
      </c>
      <c r="F165" s="1">
        <v>0</v>
      </c>
      <c r="G165" s="1">
        <v>40</v>
      </c>
      <c r="H165" s="1">
        <v>0</v>
      </c>
      <c r="I165" s="1">
        <v>0</v>
      </c>
    </row>
    <row r="166" spans="2:9" ht="12.75">
      <c r="B166" s="1">
        <v>29</v>
      </c>
      <c r="C166" s="1" t="s">
        <v>264</v>
      </c>
      <c r="D166" s="1">
        <v>0</v>
      </c>
      <c r="E166" s="1">
        <v>0</v>
      </c>
      <c r="F166" s="1">
        <v>0</v>
      </c>
      <c r="G166" s="1">
        <v>0</v>
      </c>
      <c r="H166" s="1">
        <v>0</v>
      </c>
      <c r="I166" s="1">
        <v>0</v>
      </c>
    </row>
    <row r="167" spans="2:9" ht="12.75">
      <c r="B167" s="1">
        <v>30</v>
      </c>
      <c r="C167" s="1" t="s">
        <v>264</v>
      </c>
      <c r="D167" s="1">
        <v>0</v>
      </c>
      <c r="E167" s="1">
        <v>0</v>
      </c>
      <c r="F167" s="1">
        <v>0</v>
      </c>
      <c r="G167" s="1">
        <v>0</v>
      </c>
      <c r="H167" s="1">
        <v>0</v>
      </c>
      <c r="I167" s="1">
        <v>0</v>
      </c>
    </row>
    <row r="168" spans="2:9" ht="12.75">
      <c r="B168" s="1">
        <v>31</v>
      </c>
      <c r="C168" s="1" t="s">
        <v>264</v>
      </c>
      <c r="D168" s="1">
        <v>0</v>
      </c>
      <c r="E168" s="1">
        <v>0</v>
      </c>
      <c r="F168" s="1">
        <v>0</v>
      </c>
      <c r="G168" s="1">
        <v>-18</v>
      </c>
      <c r="H168" s="1">
        <v>0</v>
      </c>
      <c r="I168" s="1">
        <v>0</v>
      </c>
    </row>
    <row r="169" spans="2:9" ht="12.75">
      <c r="B169" s="1">
        <v>32</v>
      </c>
      <c r="C169" s="1" t="s">
        <v>264</v>
      </c>
      <c r="D169" s="1">
        <v>0</v>
      </c>
      <c r="E169" s="1">
        <v>0</v>
      </c>
      <c r="F169" s="1">
        <v>-5</v>
      </c>
      <c r="G169" s="1">
        <v>0</v>
      </c>
      <c r="H169" s="1">
        <v>0</v>
      </c>
      <c r="I169" s="1">
        <v>0</v>
      </c>
    </row>
    <row r="170" spans="2:9" ht="12.75">
      <c r="B170" s="1">
        <v>33</v>
      </c>
      <c r="C170" s="1" t="s">
        <v>264</v>
      </c>
      <c r="D170" s="1">
        <v>0</v>
      </c>
      <c r="E170" s="1">
        <v>0</v>
      </c>
      <c r="F170" s="1">
        <v>5</v>
      </c>
      <c r="G170" s="1">
        <v>0</v>
      </c>
      <c r="H170" s="1">
        <v>0</v>
      </c>
      <c r="I170" s="1">
        <v>0</v>
      </c>
    </row>
    <row r="171" spans="2:9" ht="12.75">
      <c r="B171" s="1">
        <v>35</v>
      </c>
      <c r="C171" s="1" t="s">
        <v>264</v>
      </c>
      <c r="D171" s="1">
        <v>0</v>
      </c>
      <c r="E171" s="1">
        <v>0</v>
      </c>
      <c r="F171" s="1">
        <v>0</v>
      </c>
      <c r="G171" s="1">
        <v>-36</v>
      </c>
      <c r="H171" s="1">
        <v>0</v>
      </c>
      <c r="I171" s="1">
        <v>0</v>
      </c>
    </row>
    <row r="172" spans="2:9" ht="12.75">
      <c r="B172" s="1">
        <v>36</v>
      </c>
      <c r="C172" s="1" t="s">
        <v>264</v>
      </c>
      <c r="D172" s="1">
        <v>0</v>
      </c>
      <c r="E172" s="1">
        <v>0</v>
      </c>
      <c r="F172" s="1">
        <v>0</v>
      </c>
      <c r="G172" s="1">
        <v>0</v>
      </c>
      <c r="H172" s="1">
        <v>-45</v>
      </c>
      <c r="I172" s="1">
        <v>0</v>
      </c>
    </row>
    <row r="173" spans="2:9" ht="12.75">
      <c r="B173" s="1">
        <v>37</v>
      </c>
      <c r="C173" s="1" t="s">
        <v>264</v>
      </c>
      <c r="D173" s="1">
        <v>0</v>
      </c>
      <c r="E173" s="1">
        <v>0</v>
      </c>
      <c r="F173" s="1">
        <v>0</v>
      </c>
      <c r="G173" s="1">
        <v>0</v>
      </c>
      <c r="H173" s="1">
        <v>-90</v>
      </c>
      <c r="I173" s="1">
        <v>0</v>
      </c>
    </row>
    <row r="174" spans="2:9" ht="12.75">
      <c r="B174" s="1">
        <v>39</v>
      </c>
      <c r="C174" s="1" t="s">
        <v>264</v>
      </c>
      <c r="D174" s="1">
        <v>0</v>
      </c>
      <c r="E174" s="1">
        <v>0</v>
      </c>
      <c r="F174" s="1">
        <v>15.86</v>
      </c>
      <c r="G174" s="1">
        <v>0</v>
      </c>
      <c r="H174" s="1">
        <v>0</v>
      </c>
      <c r="I174" s="1">
        <v>0</v>
      </c>
    </row>
    <row r="175" spans="2:9" ht="12.75">
      <c r="B175" s="1">
        <v>40</v>
      </c>
      <c r="C175" s="1" t="s">
        <v>264</v>
      </c>
      <c r="D175" s="1">
        <v>0</v>
      </c>
      <c r="E175" s="1">
        <v>0</v>
      </c>
      <c r="F175" s="1">
        <v>5</v>
      </c>
      <c r="G175" s="1">
        <v>0</v>
      </c>
      <c r="H175" s="1">
        <v>0</v>
      </c>
      <c r="I175" s="1">
        <v>0</v>
      </c>
    </row>
    <row r="176" spans="2:9" ht="12.75">
      <c r="B176" s="1">
        <v>42</v>
      </c>
      <c r="C176" s="1" t="s">
        <v>264</v>
      </c>
      <c r="D176" s="1">
        <v>0</v>
      </c>
      <c r="E176" s="1">
        <v>0</v>
      </c>
      <c r="F176" s="1">
        <v>0</v>
      </c>
      <c r="G176" s="1">
        <v>0</v>
      </c>
      <c r="H176" s="1">
        <v>45</v>
      </c>
      <c r="I176" s="1">
        <v>0</v>
      </c>
    </row>
    <row r="177" spans="2:9" ht="12.75">
      <c r="B177" s="1">
        <v>43</v>
      </c>
      <c r="C177" s="1" t="s">
        <v>264</v>
      </c>
      <c r="D177" s="1">
        <v>0</v>
      </c>
      <c r="E177" s="1">
        <v>0</v>
      </c>
      <c r="F177" s="1">
        <v>0</v>
      </c>
      <c r="G177" s="1">
        <v>0</v>
      </c>
      <c r="H177" s="1">
        <v>90</v>
      </c>
      <c r="I177" s="1">
        <v>0</v>
      </c>
    </row>
    <row r="178" spans="2:9" ht="12.75">
      <c r="B178" s="1">
        <v>44</v>
      </c>
      <c r="C178" s="1" t="s">
        <v>264</v>
      </c>
      <c r="D178" s="1">
        <v>0</v>
      </c>
      <c r="E178" s="1">
        <v>0</v>
      </c>
      <c r="F178" s="1">
        <v>0</v>
      </c>
      <c r="G178" s="1">
        <v>18</v>
      </c>
      <c r="H178" s="1">
        <v>0</v>
      </c>
      <c r="I178" s="1">
        <v>0</v>
      </c>
    </row>
    <row r="179" spans="2:9" ht="12.75">
      <c r="B179" s="1">
        <v>45</v>
      </c>
      <c r="C179" s="1" t="s">
        <v>264</v>
      </c>
      <c r="D179" s="1">
        <v>0</v>
      </c>
      <c r="E179" s="1">
        <v>0</v>
      </c>
      <c r="F179" s="1">
        <v>0</v>
      </c>
      <c r="G179" s="1">
        <v>36</v>
      </c>
      <c r="H179" s="1">
        <v>0</v>
      </c>
      <c r="I179" s="1">
        <v>0</v>
      </c>
    </row>
    <row r="180" spans="2:9" ht="12.75">
      <c r="B180" s="1">
        <v>46</v>
      </c>
      <c r="C180" s="1" t="s">
        <v>264</v>
      </c>
      <c r="D180" s="1">
        <v>0</v>
      </c>
      <c r="E180" s="1">
        <v>0</v>
      </c>
      <c r="F180" s="1">
        <v>0</v>
      </c>
      <c r="G180" s="1">
        <v>0</v>
      </c>
      <c r="H180" s="1">
        <v>25</v>
      </c>
      <c r="I180" s="1">
        <v>0</v>
      </c>
    </row>
    <row r="181" spans="2:9" ht="12.75">
      <c r="B181" s="1">
        <v>47</v>
      </c>
      <c r="C181" s="1" t="s">
        <v>264</v>
      </c>
      <c r="D181" s="1">
        <v>0</v>
      </c>
      <c r="E181" s="1">
        <v>0</v>
      </c>
      <c r="F181" s="1">
        <v>-5</v>
      </c>
      <c r="G181" s="1">
        <v>0</v>
      </c>
      <c r="H181" s="1">
        <v>0</v>
      </c>
      <c r="I181" s="1">
        <v>0</v>
      </c>
    </row>
    <row r="182" spans="2:9" ht="12.75">
      <c r="B182" s="1">
        <v>48</v>
      </c>
      <c r="C182" s="1" t="s">
        <v>264</v>
      </c>
      <c r="D182" s="1">
        <v>0</v>
      </c>
      <c r="E182" s="1">
        <v>0</v>
      </c>
      <c r="F182" s="1">
        <v>5</v>
      </c>
      <c r="G182" s="1">
        <v>0</v>
      </c>
      <c r="H182" s="1">
        <v>0</v>
      </c>
      <c r="I182" s="1">
        <v>0</v>
      </c>
    </row>
    <row r="183" spans="2:9" ht="12.75">
      <c r="B183" s="1">
        <v>50</v>
      </c>
      <c r="C183" s="1" t="s">
        <v>264</v>
      </c>
      <c r="D183" s="1">
        <v>0</v>
      </c>
      <c r="E183" s="1">
        <v>0</v>
      </c>
      <c r="F183" s="1">
        <v>0</v>
      </c>
      <c r="G183" s="1">
        <v>0</v>
      </c>
      <c r="H183" s="1">
        <v>50</v>
      </c>
      <c r="I183" s="1">
        <v>0</v>
      </c>
    </row>
    <row r="184" spans="2:9" ht="12.75">
      <c r="B184" s="1">
        <v>52</v>
      </c>
      <c r="C184" s="1" t="s">
        <v>264</v>
      </c>
      <c r="D184" s="1">
        <v>0</v>
      </c>
      <c r="E184" s="1">
        <v>0</v>
      </c>
      <c r="F184" s="1">
        <v>-8.5</v>
      </c>
      <c r="G184" s="1">
        <v>0</v>
      </c>
      <c r="H184" s="1">
        <v>0</v>
      </c>
      <c r="I184" s="1">
        <v>0</v>
      </c>
    </row>
    <row r="185" spans="2:9" ht="12.75">
      <c r="B185" s="1">
        <v>53</v>
      </c>
      <c r="C185" s="1" t="s">
        <v>264</v>
      </c>
      <c r="D185" s="1">
        <v>0</v>
      </c>
      <c r="E185" s="1">
        <v>0</v>
      </c>
      <c r="F185" s="1">
        <v>-5</v>
      </c>
      <c r="G185" s="1">
        <v>0</v>
      </c>
      <c r="H185" s="1">
        <v>0</v>
      </c>
      <c r="I185" s="1">
        <v>0</v>
      </c>
    </row>
    <row r="186" spans="2:9" ht="12.75">
      <c r="B186" s="1">
        <v>55</v>
      </c>
      <c r="C186" s="1" t="s">
        <v>264</v>
      </c>
      <c r="D186" s="1">
        <v>0</v>
      </c>
      <c r="E186" s="1">
        <v>0</v>
      </c>
      <c r="F186" s="1">
        <v>0</v>
      </c>
      <c r="G186" s="1">
        <v>0</v>
      </c>
      <c r="H186" s="1">
        <v>-25</v>
      </c>
      <c r="I186" s="1">
        <v>0</v>
      </c>
    </row>
    <row r="187" spans="2:9" ht="12.75">
      <c r="B187" s="1">
        <v>56</v>
      </c>
      <c r="C187" s="1" t="s">
        <v>264</v>
      </c>
      <c r="D187" s="1">
        <v>0</v>
      </c>
      <c r="E187" s="1">
        <v>0</v>
      </c>
      <c r="F187" s="1">
        <v>0</v>
      </c>
      <c r="G187" s="1">
        <v>0</v>
      </c>
      <c r="H187" s="1">
        <v>-50</v>
      </c>
      <c r="I187" s="1">
        <v>0</v>
      </c>
    </row>
    <row r="188" spans="2:9" ht="12.75">
      <c r="B188" s="1">
        <v>57</v>
      </c>
      <c r="C188" s="1" t="s">
        <v>264</v>
      </c>
      <c r="D188" s="1">
        <v>0</v>
      </c>
      <c r="E188" s="1">
        <v>0</v>
      </c>
      <c r="F188" s="1">
        <v>0</v>
      </c>
      <c r="G188" s="1">
        <v>48.58</v>
      </c>
      <c r="H188" s="1">
        <v>0</v>
      </c>
      <c r="I188" s="1">
        <v>0</v>
      </c>
    </row>
    <row r="189" spans="2:9" ht="12.75">
      <c r="B189" s="1">
        <v>58</v>
      </c>
      <c r="C189" s="1" t="s">
        <v>264</v>
      </c>
      <c r="D189" s="1">
        <v>0</v>
      </c>
      <c r="E189" s="1">
        <v>0</v>
      </c>
      <c r="F189" s="1">
        <v>0</v>
      </c>
      <c r="G189" s="1">
        <v>97.16</v>
      </c>
      <c r="H189" s="1">
        <v>0</v>
      </c>
      <c r="I189" s="1">
        <v>0</v>
      </c>
    </row>
    <row r="190" spans="2:9" ht="12.75">
      <c r="B190" s="1">
        <v>60</v>
      </c>
      <c r="C190" s="1" t="s">
        <v>264</v>
      </c>
      <c r="D190" s="1">
        <v>0</v>
      </c>
      <c r="E190" s="1">
        <v>0</v>
      </c>
      <c r="F190" s="1">
        <v>-8.99</v>
      </c>
      <c r="G190" s="1">
        <v>0</v>
      </c>
      <c r="H190" s="1">
        <v>0</v>
      </c>
      <c r="I190" s="1">
        <v>0</v>
      </c>
    </row>
    <row r="191" spans="2:9" ht="12.75">
      <c r="B191" s="1">
        <v>61</v>
      </c>
      <c r="C191" s="1" t="s">
        <v>264</v>
      </c>
      <c r="D191" s="1">
        <v>0</v>
      </c>
      <c r="E191" s="1">
        <v>0</v>
      </c>
      <c r="F191" s="1">
        <v>-5</v>
      </c>
      <c r="G191" s="1">
        <v>0</v>
      </c>
      <c r="H191" s="1">
        <v>0</v>
      </c>
      <c r="I191" s="1">
        <v>0</v>
      </c>
    </row>
    <row r="193" spans="2:5" ht="12.75">
      <c r="B193" s="1" t="s">
        <v>222</v>
      </c>
      <c r="C193" s="1" t="s">
        <v>223</v>
      </c>
      <c r="D193" s="1" t="s">
        <v>50</v>
      </c>
      <c r="E193" s="1" t="s">
        <v>265</v>
      </c>
    </row>
    <row r="194" ht="12.75">
      <c r="B194" s="1" t="s">
        <v>266</v>
      </c>
    </row>
    <row r="195" spans="2:7" ht="12.75">
      <c r="B195" s="1" t="s">
        <v>267</v>
      </c>
      <c r="C195" s="1" t="s">
        <v>41</v>
      </c>
      <c r="D195" s="1" t="s">
        <v>234</v>
      </c>
      <c r="E195" s="1" t="s">
        <v>268</v>
      </c>
      <c r="F195" s="1" t="s">
        <v>236</v>
      </c>
      <c r="G195" s="1" t="s">
        <v>234</v>
      </c>
    </row>
    <row r="196" spans="2:10" ht="12.75">
      <c r="B196" s="1" t="s">
        <v>264</v>
      </c>
      <c r="C196" s="1" t="s">
        <v>269</v>
      </c>
      <c r="D196" s="1" t="s">
        <v>234</v>
      </c>
      <c r="E196" s="1" t="s">
        <v>270</v>
      </c>
      <c r="F196" s="1" t="s">
        <v>271</v>
      </c>
      <c r="G196" s="1" t="s">
        <v>228</v>
      </c>
      <c r="H196" s="1" t="s">
        <v>46</v>
      </c>
      <c r="I196" s="1" t="s">
        <v>269</v>
      </c>
      <c r="J196" s="1" t="s">
        <v>59</v>
      </c>
    </row>
    <row r="198" spans="2:3" ht="12.75">
      <c r="B198" s="1" t="s">
        <v>39</v>
      </c>
      <c r="C198" s="1" t="s">
        <v>272</v>
      </c>
    </row>
    <row r="199" ht="12.75">
      <c r="B199" s="1" t="s">
        <v>260</v>
      </c>
    </row>
    <row r="200" spans="2:8" ht="12.75">
      <c r="B200" s="1">
        <v>12</v>
      </c>
      <c r="C200" s="1" t="s">
        <v>273</v>
      </c>
      <c r="D200" s="1" t="s">
        <v>274</v>
      </c>
      <c r="E200" s="1" t="s">
        <v>49</v>
      </c>
      <c r="F200" s="1" t="s">
        <v>50</v>
      </c>
      <c r="G200" s="1" t="s">
        <v>51</v>
      </c>
      <c r="H200" s="1">
        <v>11</v>
      </c>
    </row>
    <row r="201" spans="2:8" ht="12.75">
      <c r="B201" s="1">
        <v>16</v>
      </c>
      <c r="C201" s="1" t="s">
        <v>273</v>
      </c>
      <c r="D201" s="1" t="s">
        <v>274</v>
      </c>
      <c r="E201" s="1" t="s">
        <v>49</v>
      </c>
      <c r="F201" s="1" t="s">
        <v>50</v>
      </c>
      <c r="G201" s="1" t="s">
        <v>51</v>
      </c>
      <c r="H201" s="1">
        <v>13</v>
      </c>
    </row>
    <row r="202" spans="2:8" ht="12.75">
      <c r="B202" s="1">
        <v>18</v>
      </c>
      <c r="C202" s="1" t="s">
        <v>273</v>
      </c>
      <c r="D202" s="1" t="s">
        <v>274</v>
      </c>
      <c r="E202" s="1" t="s">
        <v>49</v>
      </c>
      <c r="F202" s="1" t="s">
        <v>50</v>
      </c>
      <c r="G202" s="1" t="s">
        <v>51</v>
      </c>
      <c r="H202" s="1">
        <v>17</v>
      </c>
    </row>
    <row r="203" spans="2:8" ht="12.75">
      <c r="B203" s="1">
        <v>20</v>
      </c>
      <c r="C203" s="1" t="s">
        <v>273</v>
      </c>
      <c r="D203" s="1" t="s">
        <v>274</v>
      </c>
      <c r="E203" s="1" t="s">
        <v>49</v>
      </c>
      <c r="F203" s="1" t="s">
        <v>50</v>
      </c>
      <c r="G203" s="1" t="s">
        <v>51</v>
      </c>
      <c r="H203" s="1">
        <v>19</v>
      </c>
    </row>
    <row r="204" spans="2:8" ht="12.75">
      <c r="B204" s="1">
        <v>21</v>
      </c>
      <c r="C204" s="1" t="s">
        <v>273</v>
      </c>
      <c r="D204" s="1" t="s">
        <v>274</v>
      </c>
      <c r="E204" s="1" t="s">
        <v>49</v>
      </c>
      <c r="F204" s="1" t="s">
        <v>50</v>
      </c>
      <c r="G204" s="1" t="s">
        <v>51</v>
      </c>
      <c r="H204" s="1">
        <v>20</v>
      </c>
    </row>
    <row r="205" spans="2:8" ht="12.75">
      <c r="B205" s="1">
        <v>23</v>
      </c>
      <c r="C205" s="1" t="s">
        <v>273</v>
      </c>
      <c r="D205" s="1" t="s">
        <v>274</v>
      </c>
      <c r="E205" s="1" t="s">
        <v>49</v>
      </c>
      <c r="F205" s="1" t="s">
        <v>50</v>
      </c>
      <c r="G205" s="1" t="s">
        <v>51</v>
      </c>
      <c r="H205" s="1">
        <v>22</v>
      </c>
    </row>
    <row r="206" spans="2:8" ht="12.75">
      <c r="B206" s="1">
        <v>25</v>
      </c>
      <c r="C206" s="1" t="s">
        <v>273</v>
      </c>
      <c r="D206" s="1" t="s">
        <v>274</v>
      </c>
      <c r="E206" s="1" t="s">
        <v>49</v>
      </c>
      <c r="F206" s="1" t="s">
        <v>50</v>
      </c>
      <c r="G206" s="1" t="s">
        <v>51</v>
      </c>
      <c r="H206" s="1">
        <v>24</v>
      </c>
    </row>
    <row r="207" spans="2:8" ht="12.75">
      <c r="B207" s="1">
        <v>27</v>
      </c>
      <c r="C207" s="1" t="s">
        <v>273</v>
      </c>
      <c r="D207" s="1" t="s">
        <v>274</v>
      </c>
      <c r="E207" s="1" t="s">
        <v>49</v>
      </c>
      <c r="F207" s="1" t="s">
        <v>50</v>
      </c>
      <c r="G207" s="1" t="s">
        <v>51</v>
      </c>
      <c r="H207" s="1">
        <v>26</v>
      </c>
    </row>
    <row r="208" spans="2:8" ht="12.75">
      <c r="B208" s="1">
        <v>28</v>
      </c>
      <c r="C208" s="1" t="s">
        <v>273</v>
      </c>
      <c r="D208" s="1" t="s">
        <v>274</v>
      </c>
      <c r="E208" s="1" t="s">
        <v>49</v>
      </c>
      <c r="F208" s="1" t="s">
        <v>50</v>
      </c>
      <c r="G208" s="1" t="s">
        <v>51</v>
      </c>
      <c r="H208" s="1">
        <v>27</v>
      </c>
    </row>
    <row r="209" spans="2:8" ht="12.75">
      <c r="B209" s="1">
        <v>30</v>
      </c>
      <c r="C209" s="1" t="s">
        <v>273</v>
      </c>
      <c r="D209" s="1" t="s">
        <v>274</v>
      </c>
      <c r="E209" s="1" t="s">
        <v>49</v>
      </c>
      <c r="F209" s="1" t="s">
        <v>50</v>
      </c>
      <c r="G209" s="1" t="s">
        <v>51</v>
      </c>
      <c r="H209" s="1">
        <v>29</v>
      </c>
    </row>
    <row r="210" spans="2:8" ht="12.75">
      <c r="B210" s="1">
        <v>31</v>
      </c>
      <c r="C210" s="1" t="s">
        <v>273</v>
      </c>
      <c r="D210" s="1" t="s">
        <v>274</v>
      </c>
      <c r="E210" s="1" t="s">
        <v>49</v>
      </c>
      <c r="F210" s="1" t="s">
        <v>50</v>
      </c>
      <c r="G210" s="1" t="s">
        <v>51</v>
      </c>
      <c r="H210" s="1">
        <v>30</v>
      </c>
    </row>
    <row r="211" spans="2:8" ht="12.75">
      <c r="B211" s="1">
        <v>33</v>
      </c>
      <c r="C211" s="1" t="s">
        <v>273</v>
      </c>
      <c r="D211" s="1" t="s">
        <v>274</v>
      </c>
      <c r="E211" s="1" t="s">
        <v>49</v>
      </c>
      <c r="F211" s="1" t="s">
        <v>50</v>
      </c>
      <c r="G211" s="1" t="s">
        <v>51</v>
      </c>
      <c r="H211" s="1">
        <v>32</v>
      </c>
    </row>
    <row r="212" spans="2:8" ht="12.75">
      <c r="B212" s="1">
        <v>34</v>
      </c>
      <c r="C212" s="1" t="s">
        <v>273</v>
      </c>
      <c r="D212" s="1" t="s">
        <v>274</v>
      </c>
      <c r="E212" s="1" t="s">
        <v>49</v>
      </c>
      <c r="F212" s="1" t="s">
        <v>50</v>
      </c>
      <c r="G212" s="1" t="s">
        <v>51</v>
      </c>
      <c r="H212" s="1">
        <v>33</v>
      </c>
    </row>
    <row r="213" spans="2:8" ht="12.75">
      <c r="B213" s="1">
        <v>35</v>
      </c>
      <c r="C213" s="1" t="s">
        <v>273</v>
      </c>
      <c r="D213" s="1" t="s">
        <v>274</v>
      </c>
      <c r="E213" s="1" t="s">
        <v>49</v>
      </c>
      <c r="F213" s="1" t="s">
        <v>50</v>
      </c>
      <c r="G213" s="1" t="s">
        <v>51</v>
      </c>
      <c r="H213" s="1">
        <v>31</v>
      </c>
    </row>
    <row r="214" spans="2:8" ht="12.75">
      <c r="B214" s="1">
        <v>37</v>
      </c>
      <c r="C214" s="1" t="s">
        <v>273</v>
      </c>
      <c r="D214" s="1" t="s">
        <v>274</v>
      </c>
      <c r="E214" s="1" t="s">
        <v>49</v>
      </c>
      <c r="F214" s="1" t="s">
        <v>50</v>
      </c>
      <c r="G214" s="1" t="s">
        <v>51</v>
      </c>
      <c r="H214" s="1">
        <v>36</v>
      </c>
    </row>
    <row r="215" spans="2:8" ht="12.75">
      <c r="B215" s="1">
        <v>41</v>
      </c>
      <c r="C215" s="1" t="s">
        <v>273</v>
      </c>
      <c r="D215" s="1" t="s">
        <v>274</v>
      </c>
      <c r="E215" s="1" t="s">
        <v>49</v>
      </c>
      <c r="F215" s="1" t="s">
        <v>50</v>
      </c>
      <c r="G215" s="1" t="s">
        <v>51</v>
      </c>
      <c r="H215" s="1">
        <v>40</v>
      </c>
    </row>
    <row r="216" spans="2:8" ht="12.75">
      <c r="B216" s="1">
        <v>42</v>
      </c>
      <c r="C216" s="1" t="s">
        <v>273</v>
      </c>
      <c r="D216" s="1" t="s">
        <v>274</v>
      </c>
      <c r="E216" s="1" t="s">
        <v>49</v>
      </c>
      <c r="F216" s="1" t="s">
        <v>50</v>
      </c>
      <c r="G216" s="1" t="s">
        <v>51</v>
      </c>
      <c r="H216" s="1">
        <v>39</v>
      </c>
    </row>
    <row r="217" spans="2:8" ht="12.75">
      <c r="B217" s="1">
        <v>42</v>
      </c>
      <c r="C217" s="1" t="s">
        <v>274</v>
      </c>
      <c r="D217" s="1" t="s">
        <v>242</v>
      </c>
      <c r="E217" s="1" t="s">
        <v>275</v>
      </c>
      <c r="F217" s="1" t="s">
        <v>50</v>
      </c>
      <c r="G217" s="1" t="s">
        <v>51</v>
      </c>
      <c r="H217" s="1">
        <v>-36</v>
      </c>
    </row>
    <row r="218" spans="2:8" ht="12.75">
      <c r="B218" s="1">
        <v>43</v>
      </c>
      <c r="C218" s="1" t="s">
        <v>273</v>
      </c>
      <c r="D218" s="1" t="s">
        <v>274</v>
      </c>
      <c r="E218" s="1" t="s">
        <v>49</v>
      </c>
      <c r="F218" s="1" t="s">
        <v>50</v>
      </c>
      <c r="G218" s="1" t="s">
        <v>51</v>
      </c>
      <c r="H218" s="1">
        <v>42</v>
      </c>
    </row>
    <row r="219" spans="2:8" ht="12.75">
      <c r="B219" s="1">
        <v>43</v>
      </c>
      <c r="C219" s="1" t="s">
        <v>274</v>
      </c>
      <c r="D219" s="1" t="s">
        <v>242</v>
      </c>
      <c r="E219" s="1" t="s">
        <v>275</v>
      </c>
      <c r="F219" s="1" t="s">
        <v>50</v>
      </c>
      <c r="G219" s="1" t="s">
        <v>51</v>
      </c>
      <c r="H219" s="1">
        <v>-37</v>
      </c>
    </row>
    <row r="220" spans="2:8" ht="12.75">
      <c r="B220" s="1">
        <v>44</v>
      </c>
      <c r="C220" s="1" t="s">
        <v>274</v>
      </c>
      <c r="D220" s="1" t="s">
        <v>242</v>
      </c>
      <c r="E220" s="1" t="s">
        <v>275</v>
      </c>
      <c r="F220" s="1" t="s">
        <v>50</v>
      </c>
      <c r="G220" s="1" t="s">
        <v>51</v>
      </c>
      <c r="H220" s="1">
        <v>-31</v>
      </c>
    </row>
    <row r="221" spans="2:8" ht="12.75">
      <c r="B221" s="1">
        <v>45</v>
      </c>
      <c r="C221" s="1" t="s">
        <v>273</v>
      </c>
      <c r="D221" s="1" t="s">
        <v>274</v>
      </c>
      <c r="E221" s="1" t="s">
        <v>49</v>
      </c>
      <c r="F221" s="1" t="s">
        <v>50</v>
      </c>
      <c r="G221" s="1" t="s">
        <v>51</v>
      </c>
      <c r="H221" s="1">
        <v>44</v>
      </c>
    </row>
    <row r="222" spans="2:8" ht="12.75">
      <c r="B222" s="1">
        <v>45</v>
      </c>
      <c r="C222" s="1" t="s">
        <v>274</v>
      </c>
      <c r="D222" s="1" t="s">
        <v>242</v>
      </c>
      <c r="E222" s="1" t="s">
        <v>275</v>
      </c>
      <c r="F222" s="1" t="s">
        <v>50</v>
      </c>
      <c r="G222" s="1" t="s">
        <v>51</v>
      </c>
      <c r="H222" s="1">
        <v>-35</v>
      </c>
    </row>
    <row r="223" spans="2:8" ht="12.75">
      <c r="B223" s="1">
        <v>48</v>
      </c>
      <c r="C223" s="1" t="s">
        <v>273</v>
      </c>
      <c r="D223" s="1" t="s">
        <v>274</v>
      </c>
      <c r="E223" s="1" t="s">
        <v>49</v>
      </c>
      <c r="F223" s="1" t="s">
        <v>50</v>
      </c>
      <c r="G223" s="1" t="s">
        <v>51</v>
      </c>
      <c r="H223" s="1">
        <v>47</v>
      </c>
    </row>
    <row r="224" spans="2:8" ht="12.75">
      <c r="B224" s="1">
        <v>49</v>
      </c>
      <c r="C224" s="1" t="s">
        <v>273</v>
      </c>
      <c r="D224" s="1" t="s">
        <v>274</v>
      </c>
      <c r="E224" s="1" t="s">
        <v>49</v>
      </c>
      <c r="F224" s="1" t="s">
        <v>50</v>
      </c>
      <c r="G224" s="1" t="s">
        <v>51</v>
      </c>
      <c r="H224" s="1">
        <v>48</v>
      </c>
    </row>
    <row r="225" spans="2:8" ht="12.75">
      <c r="B225" s="1">
        <v>50</v>
      </c>
      <c r="C225" s="1" t="s">
        <v>273</v>
      </c>
      <c r="D225" s="1" t="s">
        <v>274</v>
      </c>
      <c r="E225" s="1" t="s">
        <v>49</v>
      </c>
      <c r="F225" s="1" t="s">
        <v>50</v>
      </c>
      <c r="G225" s="1" t="s">
        <v>51</v>
      </c>
      <c r="H225" s="1">
        <v>46</v>
      </c>
    </row>
    <row r="226" spans="2:8" ht="12.75">
      <c r="B226" s="1">
        <v>54</v>
      </c>
      <c r="C226" s="1" t="s">
        <v>273</v>
      </c>
      <c r="D226" s="1" t="s">
        <v>274</v>
      </c>
      <c r="E226" s="1" t="s">
        <v>49</v>
      </c>
      <c r="F226" s="1" t="s">
        <v>50</v>
      </c>
      <c r="G226" s="1" t="s">
        <v>51</v>
      </c>
      <c r="H226" s="1">
        <v>53</v>
      </c>
    </row>
    <row r="227" spans="2:8" ht="12.75">
      <c r="B227" s="1">
        <v>55</v>
      </c>
      <c r="C227" s="1" t="s">
        <v>273</v>
      </c>
      <c r="D227" s="1" t="s">
        <v>274</v>
      </c>
      <c r="E227" s="1" t="s">
        <v>49</v>
      </c>
      <c r="F227" s="1" t="s">
        <v>50</v>
      </c>
      <c r="G227" s="1" t="s">
        <v>51</v>
      </c>
      <c r="H227" s="1">
        <v>52</v>
      </c>
    </row>
    <row r="228" spans="2:8" ht="12.75">
      <c r="B228" s="1">
        <v>55</v>
      </c>
      <c r="C228" s="1" t="s">
        <v>274</v>
      </c>
      <c r="D228" s="1" t="s">
        <v>242</v>
      </c>
      <c r="E228" s="1" t="s">
        <v>275</v>
      </c>
      <c r="F228" s="1" t="s">
        <v>50</v>
      </c>
      <c r="G228" s="1" t="s">
        <v>51</v>
      </c>
      <c r="H228" s="1">
        <v>-46</v>
      </c>
    </row>
    <row r="229" spans="2:8" ht="12.75">
      <c r="B229" s="1">
        <v>56</v>
      </c>
      <c r="C229" s="1" t="s">
        <v>273</v>
      </c>
      <c r="D229" s="1" t="s">
        <v>274</v>
      </c>
      <c r="E229" s="1" t="s">
        <v>49</v>
      </c>
      <c r="F229" s="1" t="s">
        <v>50</v>
      </c>
      <c r="G229" s="1" t="s">
        <v>51</v>
      </c>
      <c r="H229" s="1">
        <v>55</v>
      </c>
    </row>
    <row r="230" spans="2:8" ht="12.75">
      <c r="B230" s="1">
        <v>56</v>
      </c>
      <c r="C230" s="1" t="s">
        <v>274</v>
      </c>
      <c r="D230" s="1" t="s">
        <v>242</v>
      </c>
      <c r="E230" s="1" t="s">
        <v>275</v>
      </c>
      <c r="F230" s="1" t="s">
        <v>50</v>
      </c>
      <c r="G230" s="1" t="s">
        <v>51</v>
      </c>
      <c r="H230" s="1">
        <v>-50</v>
      </c>
    </row>
    <row r="231" spans="2:8" ht="12.75">
      <c r="B231" s="1">
        <v>58</v>
      </c>
      <c r="C231" s="1" t="s">
        <v>273</v>
      </c>
      <c r="D231" s="1" t="s">
        <v>274</v>
      </c>
      <c r="E231" s="1" t="s">
        <v>49</v>
      </c>
      <c r="F231" s="1" t="s">
        <v>50</v>
      </c>
      <c r="G231" s="1" t="s">
        <v>51</v>
      </c>
      <c r="H231" s="1">
        <v>57</v>
      </c>
    </row>
    <row r="232" spans="2:8" ht="12.75">
      <c r="B232" s="1">
        <v>62</v>
      </c>
      <c r="C232" s="1" t="s">
        <v>273</v>
      </c>
      <c r="D232" s="1" t="s">
        <v>274</v>
      </c>
      <c r="E232" s="1" t="s">
        <v>49</v>
      </c>
      <c r="F232" s="1" t="s">
        <v>50</v>
      </c>
      <c r="G232" s="1" t="s">
        <v>51</v>
      </c>
      <c r="H232" s="1">
        <v>61</v>
      </c>
    </row>
    <row r="233" spans="2:8" ht="12.75">
      <c r="B233" s="1">
        <v>63</v>
      </c>
      <c r="C233" s="1" t="s">
        <v>273</v>
      </c>
      <c r="D233" s="1" t="s">
        <v>274</v>
      </c>
      <c r="E233" s="1" t="s">
        <v>49</v>
      </c>
      <c r="F233" s="1" t="s">
        <v>50</v>
      </c>
      <c r="G233" s="1" t="s">
        <v>51</v>
      </c>
      <c r="H233" s="1">
        <v>60</v>
      </c>
    </row>
    <row r="235" spans="2:4" ht="12.75">
      <c r="B235" s="1" t="s">
        <v>41</v>
      </c>
      <c r="C235" s="1" t="s">
        <v>47</v>
      </c>
      <c r="D235" s="1" t="s">
        <v>45</v>
      </c>
    </row>
    <row r="237" spans="2:11" ht="12.75">
      <c r="B237" s="1" t="s">
        <v>41</v>
      </c>
      <c r="C237" s="1" t="s">
        <v>47</v>
      </c>
      <c r="D237" s="1" t="s">
        <v>50</v>
      </c>
      <c r="E237" s="1" t="s">
        <v>181</v>
      </c>
      <c r="F237" s="1" t="s">
        <v>46</v>
      </c>
      <c r="G237" s="1" t="s">
        <v>47</v>
      </c>
      <c r="H237" s="1" t="s">
        <v>48</v>
      </c>
      <c r="I237" s="1" t="s">
        <v>49</v>
      </c>
      <c r="J237" s="1" t="s">
        <v>50</v>
      </c>
      <c r="K237" s="1">
        <v>9</v>
      </c>
    </row>
    <row r="238" ht="12.75">
      <c r="B238" s="1" t="s">
        <v>260</v>
      </c>
    </row>
    <row r="239" spans="2:9" ht="12.75">
      <c r="B239" s="1" t="s">
        <v>39</v>
      </c>
      <c r="C239" s="1" t="s">
        <v>14</v>
      </c>
      <c r="D239" s="1" t="s">
        <v>69</v>
      </c>
      <c r="E239" s="1" t="s">
        <v>70</v>
      </c>
      <c r="F239" s="1" t="s">
        <v>276</v>
      </c>
      <c r="G239" s="1" t="s">
        <v>261</v>
      </c>
      <c r="H239" s="1" t="s">
        <v>262</v>
      </c>
      <c r="I239" s="1" t="s">
        <v>263</v>
      </c>
    </row>
    <row r="240" ht="12.75">
      <c r="B240" s="1" t="s">
        <v>260</v>
      </c>
    </row>
    <row r="241" spans="2:8" ht="12.75">
      <c r="B241" s="1">
        <v>1</v>
      </c>
      <c r="C241" s="1">
        <v>0</v>
      </c>
      <c r="D241" s="1">
        <v>56.731939</v>
      </c>
      <c r="E241" s="1">
        <v>-1049.909445</v>
      </c>
      <c r="F241" s="1">
        <v>-0.18291</v>
      </c>
      <c r="G241" s="1">
        <v>0</v>
      </c>
      <c r="H241" s="1">
        <v>0</v>
      </c>
    </row>
    <row r="242" spans="2:8" ht="12.75">
      <c r="B242" s="1">
        <v>2</v>
      </c>
      <c r="C242" s="1">
        <v>0</v>
      </c>
      <c r="D242" s="1">
        <v>0</v>
      </c>
      <c r="E242" s="4">
        <v>16700</v>
      </c>
      <c r="F242" s="1">
        <v>0</v>
      </c>
      <c r="G242" s="1">
        <v>0</v>
      </c>
      <c r="H242" s="1">
        <v>0</v>
      </c>
    </row>
    <row r="243" spans="2:8" ht="12.75">
      <c r="B243" s="1">
        <v>3</v>
      </c>
      <c r="C243" s="1">
        <v>0</v>
      </c>
      <c r="D243" s="1">
        <v>0</v>
      </c>
      <c r="E243" s="4">
        <v>16700</v>
      </c>
      <c r="F243" s="1">
        <v>0</v>
      </c>
      <c r="G243" s="1">
        <v>0</v>
      </c>
      <c r="H243" s="1">
        <v>0</v>
      </c>
    </row>
    <row r="244" spans="2:8" ht="12.75">
      <c r="B244" s="1">
        <v>4</v>
      </c>
      <c r="C244" s="1">
        <v>0</v>
      </c>
      <c r="D244" s="1">
        <v>0</v>
      </c>
      <c r="E244" s="4">
        <v>-1050</v>
      </c>
      <c r="F244" s="1">
        <v>0</v>
      </c>
      <c r="G244" s="1">
        <v>0</v>
      </c>
      <c r="H244" s="1">
        <v>0</v>
      </c>
    </row>
    <row r="245" spans="2:8" ht="12.75">
      <c r="B245" s="1">
        <v>5</v>
      </c>
      <c r="C245" s="1">
        <v>0</v>
      </c>
      <c r="D245" s="1">
        <v>0</v>
      </c>
      <c r="E245" s="1">
        <v>-3050</v>
      </c>
      <c r="F245" s="1">
        <v>0</v>
      </c>
      <c r="G245" s="1">
        <v>0</v>
      </c>
      <c r="H245" s="1">
        <v>0</v>
      </c>
    </row>
    <row r="246" spans="2:8" ht="12.75">
      <c r="B246" s="1">
        <v>6</v>
      </c>
      <c r="C246" s="1">
        <v>0</v>
      </c>
      <c r="D246" s="1">
        <v>0</v>
      </c>
      <c r="E246" s="1">
        <v>-1050</v>
      </c>
      <c r="F246" s="1">
        <v>0</v>
      </c>
      <c r="G246" s="1">
        <v>0</v>
      </c>
      <c r="H246" s="1">
        <v>0</v>
      </c>
    </row>
    <row r="247" spans="2:8" ht="12.75">
      <c r="B247" s="1" t="s">
        <v>220</v>
      </c>
      <c r="C247" s="1">
        <v>0</v>
      </c>
      <c r="D247" s="1">
        <v>0</v>
      </c>
      <c r="E247" s="1">
        <v>-2637.998</v>
      </c>
      <c r="F247" s="1">
        <v>0</v>
      </c>
      <c r="G247" s="1">
        <v>0</v>
      </c>
      <c r="H247" s="1">
        <v>0</v>
      </c>
    </row>
    <row r="248" spans="2:8" ht="12.75">
      <c r="B248" s="1">
        <v>8</v>
      </c>
      <c r="C248" s="1">
        <v>0</v>
      </c>
      <c r="D248" s="1">
        <v>0</v>
      </c>
      <c r="E248" s="1">
        <v>-1050</v>
      </c>
      <c r="F248" s="1">
        <v>0</v>
      </c>
      <c r="G248" s="1">
        <v>0</v>
      </c>
      <c r="H248" s="1">
        <v>0</v>
      </c>
    </row>
    <row r="249" spans="2:8" ht="12.75">
      <c r="B249" s="1">
        <v>9</v>
      </c>
      <c r="C249" s="1">
        <v>0</v>
      </c>
      <c r="D249" s="1">
        <v>0</v>
      </c>
      <c r="E249" s="1">
        <v>0</v>
      </c>
      <c r="F249" s="1">
        <v>0</v>
      </c>
      <c r="G249" s="1">
        <v>0</v>
      </c>
      <c r="H249" s="1">
        <v>0</v>
      </c>
    </row>
    <row r="250" spans="2:8" ht="12.75">
      <c r="B250" s="1">
        <v>10</v>
      </c>
      <c r="C250" s="1">
        <v>0</v>
      </c>
      <c r="D250" s="1">
        <v>-91.048</v>
      </c>
      <c r="E250" s="1">
        <v>0</v>
      </c>
      <c r="F250" s="1">
        <v>-1.9766</v>
      </c>
      <c r="G250" s="1">
        <v>0</v>
      </c>
      <c r="H250" s="1">
        <v>0</v>
      </c>
    </row>
    <row r="251" spans="2:8" ht="12.75">
      <c r="B251" s="1">
        <v>11</v>
      </c>
      <c r="C251" s="1">
        <v>0</v>
      </c>
      <c r="D251" s="1">
        <v>-243.065859</v>
      </c>
      <c r="E251" s="1">
        <v>78.379337</v>
      </c>
      <c r="F251" s="1">
        <v>-8.6832</v>
      </c>
      <c r="G251" s="1">
        <v>0</v>
      </c>
      <c r="H251" s="1">
        <v>0</v>
      </c>
    </row>
    <row r="252" spans="2:8" ht="12.75">
      <c r="B252" s="1">
        <v>12</v>
      </c>
      <c r="C252" s="1">
        <v>0</v>
      </c>
      <c r="D252" s="1">
        <v>-93.493436</v>
      </c>
      <c r="E252" s="1">
        <v>70.857814</v>
      </c>
      <c r="F252" s="1">
        <v>29.9534</v>
      </c>
      <c r="G252" s="1">
        <v>0</v>
      </c>
      <c r="H252" s="1">
        <v>0</v>
      </c>
    </row>
    <row r="253" spans="2:8" ht="12.75">
      <c r="B253" s="1">
        <v>13</v>
      </c>
      <c r="C253" s="1">
        <v>0</v>
      </c>
      <c r="D253" s="1">
        <v>-200.09302</v>
      </c>
      <c r="E253" s="1">
        <v>-114.125371</v>
      </c>
      <c r="F253" s="1">
        <v>17.9434</v>
      </c>
      <c r="G253" s="1">
        <v>0</v>
      </c>
      <c r="H253" s="1">
        <v>0</v>
      </c>
    </row>
    <row r="254" spans="2:8" ht="12.75">
      <c r="B254" s="1">
        <v>14</v>
      </c>
      <c r="C254" s="1">
        <v>0</v>
      </c>
      <c r="D254" s="1">
        <v>-200.09302</v>
      </c>
      <c r="E254" s="1">
        <v>-114.125371</v>
      </c>
      <c r="F254" s="1">
        <v>17.9434</v>
      </c>
      <c r="G254" s="1">
        <v>0</v>
      </c>
      <c r="H254" s="1">
        <v>0</v>
      </c>
    </row>
    <row r="255" spans="2:8" ht="12.75">
      <c r="B255" s="1">
        <v>15</v>
      </c>
      <c r="C255" s="1">
        <v>0</v>
      </c>
      <c r="D255" s="1">
        <v>-200.09302</v>
      </c>
      <c r="E255" s="1">
        <v>-114.125371</v>
      </c>
      <c r="F255" s="1">
        <v>17.9434</v>
      </c>
      <c r="G255" s="1">
        <v>0</v>
      </c>
      <c r="H255" s="1">
        <v>0</v>
      </c>
    </row>
    <row r="256" spans="2:8" ht="12.75">
      <c r="B256" s="1">
        <v>16</v>
      </c>
      <c r="C256" s="1">
        <v>0</v>
      </c>
      <c r="D256" s="1">
        <v>-200.09302</v>
      </c>
      <c r="E256" s="1">
        <v>-114.125371</v>
      </c>
      <c r="F256" s="1">
        <v>5.9334</v>
      </c>
      <c r="G256" s="1">
        <v>0</v>
      </c>
      <c r="H256" s="1">
        <v>0</v>
      </c>
    </row>
    <row r="257" spans="2:8" ht="12.75">
      <c r="B257" s="1">
        <v>17</v>
      </c>
      <c r="C257" s="1">
        <v>0</v>
      </c>
      <c r="D257" s="1">
        <v>-179.687314</v>
      </c>
      <c r="E257" s="1">
        <v>82.217104</v>
      </c>
      <c r="F257" s="1">
        <v>15.1454</v>
      </c>
      <c r="G257" s="1">
        <v>0</v>
      </c>
      <c r="H257" s="1">
        <v>0</v>
      </c>
    </row>
    <row r="258" spans="2:8" ht="12.75">
      <c r="B258" s="1">
        <v>18</v>
      </c>
      <c r="C258" s="1">
        <v>0</v>
      </c>
      <c r="D258" s="1">
        <v>-179.687314</v>
      </c>
      <c r="E258" s="1">
        <v>82.217104</v>
      </c>
      <c r="F258" s="1">
        <v>24.3574</v>
      </c>
      <c r="G258" s="1">
        <v>0</v>
      </c>
      <c r="H258" s="1">
        <v>0</v>
      </c>
    </row>
    <row r="259" spans="2:8" ht="12.75">
      <c r="B259" s="1">
        <v>19</v>
      </c>
      <c r="C259" s="1">
        <v>0</v>
      </c>
      <c r="D259" s="1">
        <v>-259.533222</v>
      </c>
      <c r="E259" s="1">
        <v>-94.150668</v>
      </c>
      <c r="F259" s="1">
        <v>-8.5396</v>
      </c>
      <c r="G259" s="1">
        <v>0</v>
      </c>
      <c r="H259" s="1">
        <v>0</v>
      </c>
    </row>
    <row r="260" spans="2:8" ht="12.75">
      <c r="B260" s="1">
        <v>20</v>
      </c>
      <c r="C260" s="1">
        <v>0</v>
      </c>
      <c r="D260" s="1">
        <v>-259.533222</v>
      </c>
      <c r="E260" s="1">
        <v>-94.150668</v>
      </c>
      <c r="F260" s="1">
        <v>9.3574</v>
      </c>
      <c r="G260" s="1">
        <v>0</v>
      </c>
      <c r="H260" s="1">
        <v>0</v>
      </c>
    </row>
    <row r="261" spans="2:8" ht="12.75">
      <c r="B261" s="1">
        <v>21</v>
      </c>
      <c r="C261" s="1">
        <v>0</v>
      </c>
      <c r="D261" s="1">
        <v>-259.533222</v>
      </c>
      <c r="E261" s="1">
        <v>-94.150668</v>
      </c>
      <c r="F261" s="1">
        <v>-5.6426</v>
      </c>
      <c r="G261" s="1">
        <v>0</v>
      </c>
      <c r="H261" s="1">
        <v>0</v>
      </c>
    </row>
    <row r="262" spans="2:8" ht="12.75">
      <c r="B262" s="1">
        <v>22</v>
      </c>
      <c r="C262" s="1">
        <v>0</v>
      </c>
      <c r="D262" s="1">
        <v>-279.482925</v>
      </c>
      <c r="E262" s="1">
        <v>107.766194</v>
      </c>
      <c r="F262" s="1">
        <v>16.6474</v>
      </c>
      <c r="G262" s="1">
        <v>0</v>
      </c>
      <c r="H262" s="1">
        <v>0</v>
      </c>
    </row>
    <row r="263" spans="2:8" ht="12.75">
      <c r="B263" s="1">
        <v>23</v>
      </c>
      <c r="C263" s="1">
        <v>0</v>
      </c>
      <c r="D263" s="1">
        <v>-279.482925</v>
      </c>
      <c r="E263" s="1">
        <v>107.766194</v>
      </c>
      <c r="F263" s="1">
        <v>38.9374</v>
      </c>
      <c r="G263" s="1">
        <v>0</v>
      </c>
      <c r="H263" s="1">
        <v>0</v>
      </c>
    </row>
    <row r="264" spans="2:8" ht="12.75">
      <c r="B264" s="1">
        <v>24</v>
      </c>
      <c r="C264" s="1">
        <v>0</v>
      </c>
      <c r="D264" s="1">
        <v>-397.635459</v>
      </c>
      <c r="E264" s="1">
        <v>-38.466424</v>
      </c>
      <c r="F264" s="1">
        <v>-4.1106</v>
      </c>
      <c r="G264" s="1">
        <v>0</v>
      </c>
      <c r="H264" s="1">
        <v>0</v>
      </c>
    </row>
    <row r="265" spans="2:8" ht="12.75">
      <c r="B265" s="1">
        <v>25</v>
      </c>
      <c r="C265" s="1">
        <v>0</v>
      </c>
      <c r="D265" s="1">
        <v>-397.635459</v>
      </c>
      <c r="E265" s="1">
        <v>-38.466424</v>
      </c>
      <c r="F265" s="1">
        <v>-47.1586</v>
      </c>
      <c r="G265" s="1">
        <v>0</v>
      </c>
      <c r="H265" s="1">
        <v>0</v>
      </c>
    </row>
    <row r="266" spans="2:8" ht="12.75">
      <c r="B266" s="1">
        <v>26</v>
      </c>
      <c r="C266" s="1">
        <v>0</v>
      </c>
      <c r="D266" s="1">
        <v>-448.96217</v>
      </c>
      <c r="E266" s="1">
        <v>9.131566</v>
      </c>
      <c r="F266" s="1">
        <v>-47.1586</v>
      </c>
      <c r="G266" s="1">
        <v>0</v>
      </c>
      <c r="H266" s="1">
        <v>0</v>
      </c>
    </row>
    <row r="267" spans="2:8" ht="12.75">
      <c r="B267" s="1">
        <v>27</v>
      </c>
      <c r="C267" s="1">
        <v>0</v>
      </c>
      <c r="D267" s="1">
        <v>-544.283205</v>
      </c>
      <c r="E267" s="1">
        <v>97.527835</v>
      </c>
      <c r="F267" s="1">
        <v>-27.1586</v>
      </c>
      <c r="G267" s="1">
        <v>0</v>
      </c>
      <c r="H267" s="1">
        <v>0</v>
      </c>
    </row>
    <row r="268" spans="2:8" ht="12.75">
      <c r="B268" s="1">
        <v>28</v>
      </c>
      <c r="C268" s="1">
        <v>0</v>
      </c>
      <c r="D268" s="1">
        <v>-544.283205</v>
      </c>
      <c r="E268" s="1">
        <v>97.527835</v>
      </c>
      <c r="F268" s="1">
        <v>-7.1586</v>
      </c>
      <c r="G268" s="1">
        <v>0</v>
      </c>
      <c r="H268" s="1">
        <v>0</v>
      </c>
    </row>
    <row r="269" spans="2:8" ht="12.75">
      <c r="B269" s="1">
        <v>29</v>
      </c>
      <c r="C269" s="1">
        <v>0</v>
      </c>
      <c r="D269" s="1">
        <v>-504.405979</v>
      </c>
      <c r="E269" s="1">
        <v>-219.977766</v>
      </c>
      <c r="F269" s="1">
        <v>-7.1586</v>
      </c>
      <c r="G269" s="1">
        <v>0</v>
      </c>
      <c r="H269" s="1">
        <v>0</v>
      </c>
    </row>
    <row r="270" spans="2:8" ht="12.75">
      <c r="B270" s="1">
        <v>30</v>
      </c>
      <c r="C270" s="1">
        <v>0</v>
      </c>
      <c r="D270" s="1">
        <v>-504.405979</v>
      </c>
      <c r="E270" s="1">
        <v>-219.977766</v>
      </c>
      <c r="F270" s="1">
        <v>-7.1586</v>
      </c>
      <c r="G270" s="1">
        <v>0</v>
      </c>
      <c r="H270" s="1">
        <v>0</v>
      </c>
    </row>
    <row r="271" spans="2:8" ht="12.75">
      <c r="B271" s="1">
        <v>31</v>
      </c>
      <c r="C271" s="1">
        <v>0</v>
      </c>
      <c r="D271" s="1">
        <v>-527.460001</v>
      </c>
      <c r="E271" s="1">
        <v>-36.419841</v>
      </c>
      <c r="F271" s="1">
        <v>-25.1586</v>
      </c>
      <c r="G271" s="1">
        <v>0</v>
      </c>
      <c r="H271" s="1">
        <v>0</v>
      </c>
    </row>
    <row r="272" spans="2:8" ht="12.75">
      <c r="B272" s="1">
        <v>32</v>
      </c>
      <c r="C272" s="1">
        <v>0</v>
      </c>
      <c r="D272" s="1">
        <v>-525.334374</v>
      </c>
      <c r="E272" s="1">
        <v>-40.945513</v>
      </c>
      <c r="F272" s="1">
        <v>-25.1586</v>
      </c>
      <c r="G272" s="1">
        <v>0</v>
      </c>
      <c r="H272" s="1">
        <v>0</v>
      </c>
    </row>
    <row r="273" spans="2:8" ht="12.75">
      <c r="B273" s="1">
        <v>33</v>
      </c>
      <c r="C273" s="1">
        <v>0</v>
      </c>
      <c r="D273" s="1">
        <v>-529.585628</v>
      </c>
      <c r="E273" s="1">
        <v>-31.894168</v>
      </c>
      <c r="F273" s="1">
        <v>-25.1586</v>
      </c>
      <c r="G273" s="1">
        <v>0</v>
      </c>
      <c r="H273" s="1">
        <v>0</v>
      </c>
    </row>
    <row r="274" spans="2:8" ht="12.75">
      <c r="B274" s="1">
        <v>34</v>
      </c>
      <c r="C274" s="1">
        <v>0</v>
      </c>
      <c r="D274" s="1">
        <v>-527.460001</v>
      </c>
      <c r="E274" s="1">
        <v>-36.419841</v>
      </c>
      <c r="F274" s="1">
        <v>-25.1586</v>
      </c>
      <c r="G274" s="1">
        <v>0</v>
      </c>
      <c r="H274" s="1">
        <v>0</v>
      </c>
    </row>
    <row r="275" spans="2:8" ht="12.75">
      <c r="B275" s="1">
        <v>35</v>
      </c>
      <c r="C275" s="1">
        <v>0</v>
      </c>
      <c r="D275" s="1">
        <v>-527.460001</v>
      </c>
      <c r="E275" s="1">
        <v>-36.419841</v>
      </c>
      <c r="F275" s="1">
        <v>-43.1586</v>
      </c>
      <c r="G275" s="1">
        <v>0</v>
      </c>
      <c r="H275" s="1">
        <v>0</v>
      </c>
    </row>
    <row r="276" spans="2:8" ht="12.75">
      <c r="B276" s="1">
        <v>36</v>
      </c>
      <c r="C276" s="4">
        <v>1.82E-14</v>
      </c>
      <c r="D276" s="1">
        <v>-619.802728</v>
      </c>
      <c r="E276" s="1">
        <v>62.057673</v>
      </c>
      <c r="F276" s="1">
        <v>-43.1586</v>
      </c>
      <c r="G276" s="1">
        <v>-45</v>
      </c>
      <c r="H276" s="1">
        <v>0</v>
      </c>
    </row>
    <row r="277" spans="2:8" ht="12.75">
      <c r="B277" s="1">
        <v>37</v>
      </c>
      <c r="C277" s="4">
        <v>-3.85E-15</v>
      </c>
      <c r="D277" s="1">
        <v>-619.802728</v>
      </c>
      <c r="E277" s="1">
        <v>62.057673</v>
      </c>
      <c r="F277" s="1">
        <v>-43.1586</v>
      </c>
      <c r="G277" s="1">
        <v>-90</v>
      </c>
      <c r="H277" s="1">
        <v>0</v>
      </c>
    </row>
    <row r="278" spans="2:8" ht="12.75">
      <c r="B278" s="1">
        <v>38</v>
      </c>
      <c r="C278" s="4">
        <v>-50</v>
      </c>
      <c r="D278" s="1">
        <v>-619.802728</v>
      </c>
      <c r="E278" s="1">
        <v>62.057673</v>
      </c>
      <c r="F278" s="1">
        <v>-43.1586</v>
      </c>
      <c r="G278" s="1">
        <v>-90</v>
      </c>
      <c r="H278" s="1">
        <v>0</v>
      </c>
    </row>
    <row r="279" spans="2:8" ht="12.75">
      <c r="B279" s="1">
        <v>39</v>
      </c>
      <c r="C279" s="1">
        <v>-34.14</v>
      </c>
      <c r="D279" s="1">
        <v>-619.802728</v>
      </c>
      <c r="E279" s="1">
        <v>62.057673</v>
      </c>
      <c r="F279" s="1">
        <v>-43.1586</v>
      </c>
      <c r="G279" s="1">
        <v>-90</v>
      </c>
      <c r="H279" s="1">
        <v>0</v>
      </c>
    </row>
    <row r="280" spans="2:8" ht="12.75">
      <c r="B280" s="1">
        <v>40</v>
      </c>
      <c r="C280" s="1">
        <v>-29.14</v>
      </c>
      <c r="D280" s="1">
        <v>-619.802728</v>
      </c>
      <c r="E280" s="1">
        <v>62.057673</v>
      </c>
      <c r="F280" s="1">
        <v>-43.1586</v>
      </c>
      <c r="G280" s="1">
        <v>-90</v>
      </c>
      <c r="H280" s="1">
        <v>0</v>
      </c>
    </row>
    <row r="281" spans="2:8" ht="12.75">
      <c r="B281" s="1">
        <v>41</v>
      </c>
      <c r="C281" s="1">
        <v>-34.14</v>
      </c>
      <c r="D281" s="1">
        <v>-619.802728</v>
      </c>
      <c r="E281" s="1">
        <v>62.057673</v>
      </c>
      <c r="F281" s="1">
        <v>-43.1586</v>
      </c>
      <c r="G281" s="1">
        <v>-90</v>
      </c>
      <c r="H281" s="1">
        <v>0</v>
      </c>
    </row>
    <row r="282" spans="2:8" ht="12.75">
      <c r="B282" s="1">
        <v>42</v>
      </c>
      <c r="C282" s="4">
        <v>1.82E-14</v>
      </c>
      <c r="D282" s="1">
        <v>-619.802728</v>
      </c>
      <c r="E282" s="1">
        <v>62.057673</v>
      </c>
      <c r="F282" s="1">
        <v>-43.1586</v>
      </c>
      <c r="G282" s="1">
        <v>-45</v>
      </c>
      <c r="H282" s="1">
        <v>0</v>
      </c>
    </row>
    <row r="283" spans="2:8" ht="12.75">
      <c r="B283" s="1">
        <v>43</v>
      </c>
      <c r="C283" s="4">
        <v>-3.44E-15</v>
      </c>
      <c r="D283" s="1">
        <v>-619.802728</v>
      </c>
      <c r="E283" s="1">
        <v>62.057673</v>
      </c>
      <c r="F283" s="1">
        <v>-43.1586</v>
      </c>
      <c r="G283" s="1">
        <v>0</v>
      </c>
      <c r="H283" s="1">
        <v>0</v>
      </c>
    </row>
    <row r="284" spans="2:8" ht="12.75">
      <c r="B284" s="1">
        <v>44</v>
      </c>
      <c r="C284" s="4">
        <v>2.02E-15</v>
      </c>
      <c r="D284" s="1">
        <v>-527.460001</v>
      </c>
      <c r="E284" s="1">
        <v>-36.419841</v>
      </c>
      <c r="F284" s="1">
        <v>-25.1586</v>
      </c>
      <c r="G284" s="1">
        <v>0</v>
      </c>
      <c r="H284" s="1">
        <v>0</v>
      </c>
    </row>
    <row r="285" spans="2:8" ht="12.75">
      <c r="B285" s="1">
        <v>45</v>
      </c>
      <c r="C285" s="4">
        <v>2.02E-15</v>
      </c>
      <c r="D285" s="1">
        <v>-527.460001</v>
      </c>
      <c r="E285" s="1">
        <v>-36.419841</v>
      </c>
      <c r="F285" s="1">
        <v>-7.1586</v>
      </c>
      <c r="G285" s="1">
        <v>0</v>
      </c>
      <c r="H285" s="1">
        <v>0</v>
      </c>
    </row>
    <row r="286" spans="2:8" ht="12.75">
      <c r="B286" s="1">
        <v>46</v>
      </c>
      <c r="C286" s="4">
        <v>7.15E-15</v>
      </c>
      <c r="D286" s="1">
        <v>-514.998367</v>
      </c>
      <c r="E286" s="1">
        <v>-135.640341</v>
      </c>
      <c r="F286" s="1">
        <v>-7.1586</v>
      </c>
      <c r="G286" s="1">
        <v>25</v>
      </c>
      <c r="H286" s="1">
        <v>0</v>
      </c>
    </row>
    <row r="287" spans="2:8" ht="12.75">
      <c r="B287" s="1">
        <v>47</v>
      </c>
      <c r="C287" s="4">
        <v>2.113091</v>
      </c>
      <c r="D287" s="1">
        <v>-514.433664</v>
      </c>
      <c r="E287" s="1">
        <v>-140.136557</v>
      </c>
      <c r="F287" s="1">
        <v>-7.1586</v>
      </c>
      <c r="G287" s="1">
        <v>25</v>
      </c>
      <c r="H287" s="1">
        <v>0</v>
      </c>
    </row>
    <row r="288" spans="2:8" ht="12.75">
      <c r="B288" s="1">
        <v>48</v>
      </c>
      <c r="C288" s="1">
        <v>-2.113091</v>
      </c>
      <c r="D288" s="1">
        <v>-515.563071</v>
      </c>
      <c r="E288" s="1">
        <v>-131.144126</v>
      </c>
      <c r="F288" s="1">
        <v>-7.1586</v>
      </c>
      <c r="G288" s="1">
        <v>25</v>
      </c>
      <c r="H288" s="1">
        <v>0</v>
      </c>
    </row>
    <row r="289" spans="2:8" ht="12.75">
      <c r="B289" s="1">
        <v>49</v>
      </c>
      <c r="C289" s="4">
        <v>7.15E-15</v>
      </c>
      <c r="D289" s="1">
        <v>-514.998367</v>
      </c>
      <c r="E289" s="1">
        <v>-135.640341</v>
      </c>
      <c r="F289" s="1">
        <v>-7.1586</v>
      </c>
      <c r="G289" s="1">
        <v>25</v>
      </c>
      <c r="H289" s="1">
        <v>0</v>
      </c>
    </row>
    <row r="290" spans="2:8" ht="12.75">
      <c r="B290" s="1">
        <v>50</v>
      </c>
      <c r="C290" s="4">
        <v>0</v>
      </c>
      <c r="D290" s="1">
        <v>-514.998367</v>
      </c>
      <c r="E290" s="1">
        <v>-135.640341</v>
      </c>
      <c r="F290" s="1">
        <v>-7.1586</v>
      </c>
      <c r="G290" s="1">
        <v>50</v>
      </c>
      <c r="H290" s="1">
        <v>0</v>
      </c>
    </row>
    <row r="291" spans="2:8" ht="12.75">
      <c r="B291" s="1">
        <v>51</v>
      </c>
      <c r="C291" s="1">
        <v>-65.113778</v>
      </c>
      <c r="D291" s="1">
        <v>-521.807023</v>
      </c>
      <c r="E291" s="1">
        <v>-81.429289</v>
      </c>
      <c r="F291" s="1">
        <v>-7.1586</v>
      </c>
      <c r="G291" s="1">
        <v>50</v>
      </c>
      <c r="H291" s="1">
        <v>0</v>
      </c>
    </row>
    <row r="292" spans="2:8" ht="12.75">
      <c r="B292" s="1">
        <v>52</v>
      </c>
      <c r="C292" s="1">
        <v>-58.6024</v>
      </c>
      <c r="D292" s="1">
        <v>-521.126158</v>
      </c>
      <c r="E292" s="1">
        <v>-86.850394</v>
      </c>
      <c r="F292" s="1">
        <v>-7.1586</v>
      </c>
      <c r="G292" s="1">
        <v>50</v>
      </c>
      <c r="H292" s="1">
        <v>0</v>
      </c>
    </row>
    <row r="293" spans="2:8" ht="12.75">
      <c r="B293" s="1">
        <v>53</v>
      </c>
      <c r="C293" s="1">
        <v>-54.772178</v>
      </c>
      <c r="D293" s="1">
        <v>-520.725649</v>
      </c>
      <c r="E293" s="1">
        <v>-90.03928</v>
      </c>
      <c r="F293" s="1">
        <v>-7.1586</v>
      </c>
      <c r="G293" s="1">
        <v>50</v>
      </c>
      <c r="H293" s="1">
        <v>0</v>
      </c>
    </row>
    <row r="294" spans="2:8" ht="12.75">
      <c r="B294" s="1">
        <v>54</v>
      </c>
      <c r="C294" s="1">
        <v>-58.6024</v>
      </c>
      <c r="D294" s="1">
        <v>-521.126158</v>
      </c>
      <c r="E294" s="1">
        <v>-86.850394</v>
      </c>
      <c r="F294" s="1">
        <v>-7.1586</v>
      </c>
      <c r="G294" s="1">
        <v>50</v>
      </c>
      <c r="H294" s="1">
        <v>0</v>
      </c>
    </row>
    <row r="295" spans="2:8" ht="12.75">
      <c r="B295" s="1">
        <v>55</v>
      </c>
      <c r="C295" s="4">
        <v>-7.15E-15</v>
      </c>
      <c r="D295" s="1">
        <v>-514.998367</v>
      </c>
      <c r="E295" s="1">
        <v>-135.640341</v>
      </c>
      <c r="F295" s="1">
        <v>-7.1586</v>
      </c>
      <c r="G295" s="1">
        <v>25</v>
      </c>
      <c r="H295" s="1">
        <v>0</v>
      </c>
    </row>
    <row r="296" spans="2:8" ht="12.75">
      <c r="B296" s="1">
        <v>56</v>
      </c>
      <c r="C296" s="4">
        <v>-7.91E-15</v>
      </c>
      <c r="D296" s="1">
        <v>-514.998367</v>
      </c>
      <c r="E296" s="1">
        <v>-135.640341</v>
      </c>
      <c r="F296" s="1">
        <v>-7.1586</v>
      </c>
      <c r="G296" s="1">
        <v>0</v>
      </c>
      <c r="H296" s="1">
        <v>0</v>
      </c>
    </row>
    <row r="297" spans="2:8" ht="12.75">
      <c r="B297" s="1">
        <v>57</v>
      </c>
      <c r="C297" s="4">
        <v>-1.28E-14</v>
      </c>
      <c r="D297" s="1">
        <v>-509.515249</v>
      </c>
      <c r="E297" s="1">
        <v>-179.297361</v>
      </c>
      <c r="F297" s="1">
        <v>41.4214</v>
      </c>
      <c r="G297" s="1">
        <v>0</v>
      </c>
      <c r="H297" s="1">
        <v>0</v>
      </c>
    </row>
    <row r="298" spans="2:8" ht="12.75">
      <c r="B298" s="1">
        <v>58</v>
      </c>
      <c r="C298" s="4">
        <v>-1.28E-14</v>
      </c>
      <c r="D298" s="1">
        <v>-509.515249</v>
      </c>
      <c r="E298" s="1">
        <v>-179.297361</v>
      </c>
      <c r="F298" s="1">
        <v>90.0014</v>
      </c>
      <c r="G298" s="1">
        <v>0</v>
      </c>
      <c r="H298" s="1">
        <v>0</v>
      </c>
    </row>
    <row r="299" spans="2:8" ht="12.75">
      <c r="B299" s="1">
        <v>59</v>
      </c>
      <c r="C299" s="4">
        <v>-1.34E-14</v>
      </c>
      <c r="D299" s="1">
        <v>-468.515249</v>
      </c>
      <c r="E299" s="1">
        <v>-179.298363</v>
      </c>
      <c r="F299" s="1">
        <v>90.0014</v>
      </c>
      <c r="G299" s="1">
        <v>0</v>
      </c>
      <c r="H299" s="1">
        <v>0</v>
      </c>
    </row>
    <row r="300" spans="2:8" ht="12.75">
      <c r="B300" s="1">
        <v>60</v>
      </c>
      <c r="C300" s="4">
        <v>-1.33E-14</v>
      </c>
      <c r="D300" s="1">
        <v>-477.505249</v>
      </c>
      <c r="E300" s="1">
        <v>-179.298143</v>
      </c>
      <c r="F300" s="1">
        <v>90.0014</v>
      </c>
      <c r="G300" s="1">
        <v>0</v>
      </c>
      <c r="H300" s="1">
        <v>0</v>
      </c>
    </row>
    <row r="301" spans="2:8" ht="12.75">
      <c r="B301" s="1">
        <v>61</v>
      </c>
      <c r="C301" s="4">
        <v>-1.32E-14</v>
      </c>
      <c r="D301" s="1">
        <v>-482.505249</v>
      </c>
      <c r="E301" s="1">
        <v>-179.298021</v>
      </c>
      <c r="F301" s="1">
        <v>90.0014</v>
      </c>
      <c r="G301" s="1">
        <v>0</v>
      </c>
      <c r="H301" s="1">
        <v>0</v>
      </c>
    </row>
    <row r="302" spans="2:8" ht="12.75">
      <c r="B302" s="1">
        <v>62</v>
      </c>
      <c r="C302" s="4">
        <v>-1.33E-14</v>
      </c>
      <c r="D302" s="1">
        <v>-477.505249</v>
      </c>
      <c r="E302" s="1">
        <v>-179.298143</v>
      </c>
      <c r="F302" s="1">
        <v>90.0014</v>
      </c>
      <c r="G302" s="1">
        <v>0</v>
      </c>
      <c r="H302" s="1">
        <v>0</v>
      </c>
    </row>
    <row r="303" spans="2:8" ht="12.75">
      <c r="B303" s="1">
        <v>63</v>
      </c>
      <c r="C303" s="4">
        <v>-1.34E-14</v>
      </c>
      <c r="D303" s="1">
        <v>-468.515249</v>
      </c>
      <c r="E303" s="1">
        <v>-179.298363</v>
      </c>
      <c r="F303" s="1">
        <v>90.0014</v>
      </c>
      <c r="G303" s="1">
        <v>0</v>
      </c>
      <c r="H303" s="1">
        <v>0</v>
      </c>
    </row>
    <row r="304" ht="12.75">
      <c r="C304" s="4"/>
    </row>
    <row r="305" spans="2:13" ht="12.75">
      <c r="B305" s="1" t="s">
        <v>277</v>
      </c>
      <c r="C305" s="1" t="s">
        <v>278</v>
      </c>
      <c r="D305" s="1" t="s">
        <v>279</v>
      </c>
      <c r="E305" s="1" t="s">
        <v>280</v>
      </c>
      <c r="F305" s="1" t="s">
        <v>281</v>
      </c>
      <c r="G305" s="1" t="s">
        <v>282</v>
      </c>
      <c r="H305" s="1" t="s">
        <v>283</v>
      </c>
      <c r="I305" s="1" t="s">
        <v>284</v>
      </c>
      <c r="J305" s="1" t="s">
        <v>285</v>
      </c>
      <c r="K305" s="1" t="s">
        <v>286</v>
      </c>
      <c r="L305" s="1" t="s">
        <v>287</v>
      </c>
      <c r="M305" s="1" t="s">
        <v>288</v>
      </c>
    </row>
    <row r="306" spans="2:3" ht="12.75">
      <c r="B306" s="1" t="s">
        <v>28</v>
      </c>
      <c r="C306" s="1" t="s">
        <v>496</v>
      </c>
    </row>
    <row r="307" spans="2:8" ht="12.75">
      <c r="B307" s="1" t="s">
        <v>33</v>
      </c>
      <c r="C307" s="1" t="s">
        <v>35</v>
      </c>
      <c r="D307" s="1" t="s">
        <v>36</v>
      </c>
      <c r="E307" s="1" t="s">
        <v>622</v>
      </c>
      <c r="F307" s="1">
        <v>288</v>
      </c>
      <c r="G307" s="2">
        <v>37260</v>
      </c>
      <c r="H307" s="3">
        <v>0.5995370370370371</v>
      </c>
    </row>
    <row r="309" spans="2:4" ht="12.75">
      <c r="B309" s="1" t="s">
        <v>497</v>
      </c>
      <c r="C309" s="1" t="s">
        <v>197</v>
      </c>
      <c r="D309" s="1" t="s">
        <v>45</v>
      </c>
    </row>
    <row r="310" spans="2:3" ht="12.75">
      <c r="B310" s="1" t="s">
        <v>498</v>
      </c>
      <c r="C310" s="1" t="s">
        <v>499</v>
      </c>
    </row>
    <row r="312" spans="2:9" ht="12.75">
      <c r="B312" s="1" t="s">
        <v>39</v>
      </c>
      <c r="C312" s="1" t="s">
        <v>14</v>
      </c>
      <c r="D312" s="1" t="s">
        <v>500</v>
      </c>
      <c r="E312" s="1" t="s">
        <v>501</v>
      </c>
      <c r="F312" s="1" t="s">
        <v>502</v>
      </c>
      <c r="G312" s="1" t="s">
        <v>503</v>
      </c>
      <c r="H312" s="1" t="s">
        <v>504</v>
      </c>
      <c r="I312" s="1" t="s">
        <v>505</v>
      </c>
    </row>
    <row r="313" ht="12.75">
      <c r="B313" s="1" t="s">
        <v>506</v>
      </c>
    </row>
    <row r="314" spans="2:5" ht="12.75">
      <c r="B314" s="1">
        <v>1</v>
      </c>
      <c r="C314" s="1">
        <v>1650.7121</v>
      </c>
      <c r="D314" s="1" t="s">
        <v>507</v>
      </c>
      <c r="E314" s="1" t="s">
        <v>508</v>
      </c>
    </row>
    <row r="315" spans="2:5" ht="12.75">
      <c r="B315" s="1">
        <v>2</v>
      </c>
      <c r="C315" s="1">
        <v>1643.8966</v>
      </c>
      <c r="D315" s="1" t="s">
        <v>507</v>
      </c>
      <c r="E315" s="1" t="s">
        <v>508</v>
      </c>
    </row>
    <row r="316" spans="2:5" ht="12.75">
      <c r="B316" s="1">
        <v>3</v>
      </c>
      <c r="C316" s="1">
        <v>1643.8966</v>
      </c>
      <c r="D316" s="1" t="s">
        <v>507</v>
      </c>
      <c r="E316" s="1" t="s">
        <v>508</v>
      </c>
    </row>
    <row r="317" spans="2:5" ht="12.75">
      <c r="B317" s="1">
        <v>4</v>
      </c>
      <c r="C317" s="1">
        <v>1703.5776</v>
      </c>
      <c r="D317" s="1" t="s">
        <v>507</v>
      </c>
      <c r="E317" s="1" t="s">
        <v>508</v>
      </c>
    </row>
    <row r="318" spans="2:5" ht="12.75">
      <c r="B318" s="1">
        <v>5</v>
      </c>
      <c r="C318" s="1">
        <v>1710.7852</v>
      </c>
      <c r="D318" s="1" t="s">
        <v>507</v>
      </c>
      <c r="E318" s="1" t="s">
        <v>508</v>
      </c>
    </row>
    <row r="319" spans="2:5" ht="12.75">
      <c r="B319" s="1">
        <v>6</v>
      </c>
      <c r="C319" s="1">
        <v>1750</v>
      </c>
      <c r="D319" s="1" t="s">
        <v>509</v>
      </c>
      <c r="E319" s="1" t="s">
        <v>508</v>
      </c>
    </row>
    <row r="320" spans="2:5" ht="12.75">
      <c r="B320" s="1">
        <v>7</v>
      </c>
      <c r="C320" s="1">
        <v>154.06</v>
      </c>
      <c r="D320" s="1" t="s">
        <v>509</v>
      </c>
      <c r="E320" s="1" t="s">
        <v>508</v>
      </c>
    </row>
    <row r="321" spans="2:5" ht="12.75">
      <c r="B321" s="1">
        <v>8</v>
      </c>
      <c r="C321" s="1">
        <v>122.3149</v>
      </c>
      <c r="D321" s="1" t="s">
        <v>507</v>
      </c>
      <c r="E321" s="1" t="s">
        <v>508</v>
      </c>
    </row>
    <row r="322" spans="2:5" ht="12.75">
      <c r="B322" s="1">
        <v>9</v>
      </c>
      <c r="C322" s="1">
        <v>124</v>
      </c>
      <c r="D322" s="1" t="s">
        <v>509</v>
      </c>
      <c r="E322" s="1" t="s">
        <v>508</v>
      </c>
    </row>
    <row r="323" spans="2:5" ht="12.75">
      <c r="B323" s="1">
        <v>10</v>
      </c>
      <c r="C323" s="1">
        <v>13.9413</v>
      </c>
      <c r="D323" s="1" t="s">
        <v>507</v>
      </c>
      <c r="E323" s="1" t="s">
        <v>508</v>
      </c>
    </row>
    <row r="324" spans="2:8" ht="12.75">
      <c r="B324" s="1">
        <v>11</v>
      </c>
      <c r="C324" s="1">
        <v>139</v>
      </c>
      <c r="D324" s="1">
        <v>62</v>
      </c>
      <c r="E324" s="1" t="s">
        <v>509</v>
      </c>
      <c r="F324" s="1" t="s">
        <v>510</v>
      </c>
      <c r="G324" s="1">
        <v>-19.5</v>
      </c>
      <c r="H324" s="1">
        <v>145</v>
      </c>
    </row>
    <row r="325" spans="2:5" ht="12.75">
      <c r="B325" s="1">
        <v>12</v>
      </c>
      <c r="C325" s="1">
        <v>18.5633</v>
      </c>
      <c r="D325" s="1" t="s">
        <v>507</v>
      </c>
      <c r="E325" s="1" t="s">
        <v>508</v>
      </c>
    </row>
    <row r="326" spans="2:5" ht="12.75">
      <c r="B326" s="1">
        <v>13</v>
      </c>
      <c r="C326" s="1">
        <v>12.7086</v>
      </c>
      <c r="D326" s="1" t="s">
        <v>507</v>
      </c>
      <c r="E326" s="1" t="s">
        <v>508</v>
      </c>
    </row>
    <row r="327" spans="2:6" ht="12.75">
      <c r="B327" s="1">
        <v>14</v>
      </c>
      <c r="C327" s="1">
        <v>15</v>
      </c>
      <c r="D327" s="1">
        <v>16</v>
      </c>
      <c r="E327" s="1" t="s">
        <v>509</v>
      </c>
      <c r="F327" s="1" t="s">
        <v>511</v>
      </c>
    </row>
    <row r="328" spans="2:5" ht="12.75">
      <c r="B328" s="1">
        <v>15</v>
      </c>
      <c r="C328" s="1">
        <v>12.7086</v>
      </c>
      <c r="D328" s="1" t="s">
        <v>507</v>
      </c>
      <c r="E328" s="1" t="s">
        <v>508</v>
      </c>
    </row>
    <row r="329" spans="2:5" ht="12.75">
      <c r="B329" s="1">
        <v>16</v>
      </c>
      <c r="C329" s="1">
        <v>12.3736</v>
      </c>
      <c r="D329" s="1" t="s">
        <v>507</v>
      </c>
      <c r="E329" s="1" t="s">
        <v>508</v>
      </c>
    </row>
    <row r="330" spans="2:8" ht="12.75">
      <c r="B330" s="1">
        <v>17</v>
      </c>
      <c r="C330" s="1">
        <v>161</v>
      </c>
      <c r="D330" s="1">
        <v>85</v>
      </c>
      <c r="E330" s="1" t="s">
        <v>509</v>
      </c>
      <c r="F330" s="1" t="s">
        <v>510</v>
      </c>
      <c r="G330" s="1">
        <v>19.5</v>
      </c>
      <c r="H330" s="1">
        <v>-1.5</v>
      </c>
    </row>
    <row r="331" spans="2:5" ht="12.75">
      <c r="B331" s="1">
        <v>18</v>
      </c>
      <c r="C331" s="1">
        <v>29.6189</v>
      </c>
      <c r="D331" s="1" t="s">
        <v>507</v>
      </c>
      <c r="E331" s="1" t="s">
        <v>508</v>
      </c>
    </row>
    <row r="332" spans="2:5" ht="12.75">
      <c r="B332" s="1">
        <v>19</v>
      </c>
      <c r="C332" s="1">
        <v>9.1357</v>
      </c>
      <c r="D332" s="1" t="s">
        <v>507</v>
      </c>
      <c r="E332" s="1" t="s">
        <v>508</v>
      </c>
    </row>
    <row r="333" spans="2:6" ht="12.75">
      <c r="B333" s="1">
        <v>20</v>
      </c>
      <c r="C333" s="1">
        <v>46</v>
      </c>
      <c r="D333" s="1">
        <v>27</v>
      </c>
      <c r="E333" s="1" t="s">
        <v>509</v>
      </c>
      <c r="F333" s="1" t="s">
        <v>510</v>
      </c>
    </row>
    <row r="334" spans="2:5" ht="12.75">
      <c r="B334" s="1">
        <v>21</v>
      </c>
      <c r="C334" s="1">
        <v>8.0804</v>
      </c>
      <c r="D334" s="1" t="s">
        <v>507</v>
      </c>
      <c r="E334" s="1" t="s">
        <v>508</v>
      </c>
    </row>
    <row r="335" spans="2:8" ht="12.75">
      <c r="B335" s="1">
        <v>22</v>
      </c>
      <c r="C335" s="1">
        <v>118</v>
      </c>
      <c r="D335" s="1">
        <v>101</v>
      </c>
      <c r="E335" s="1" t="s">
        <v>509</v>
      </c>
      <c r="F335" s="1" t="s">
        <v>510</v>
      </c>
      <c r="G335" s="1">
        <v>0</v>
      </c>
      <c r="H335" s="1">
        <v>-1</v>
      </c>
    </row>
    <row r="336" spans="2:5" ht="12.75">
      <c r="B336" s="1">
        <v>23</v>
      </c>
      <c r="C336" s="1">
        <v>34.0856</v>
      </c>
      <c r="D336" s="1" t="s">
        <v>507</v>
      </c>
      <c r="E336" s="1" t="s">
        <v>508</v>
      </c>
    </row>
    <row r="337" spans="2:5" ht="12.75">
      <c r="B337" s="1">
        <v>24</v>
      </c>
      <c r="C337" s="1">
        <v>32</v>
      </c>
      <c r="D337" s="1" t="s">
        <v>509</v>
      </c>
      <c r="E337" s="1" t="s">
        <v>508</v>
      </c>
    </row>
    <row r="338" spans="2:5" ht="12.75">
      <c r="B338" s="1">
        <v>25</v>
      </c>
      <c r="C338" s="1">
        <v>16.0174</v>
      </c>
      <c r="D338" s="1" t="s">
        <v>507</v>
      </c>
      <c r="E338" s="1" t="s">
        <v>508</v>
      </c>
    </row>
    <row r="339" spans="2:8" ht="12.75">
      <c r="B339" s="1">
        <v>26</v>
      </c>
      <c r="C339" s="1">
        <v>23.064</v>
      </c>
      <c r="D339" s="1">
        <v>19.904</v>
      </c>
      <c r="E339" s="1" t="s">
        <v>509</v>
      </c>
      <c r="F339" s="1" t="s">
        <v>511</v>
      </c>
      <c r="G339" s="1">
        <v>0</v>
      </c>
      <c r="H339" s="1">
        <v>0.738</v>
      </c>
    </row>
    <row r="340" spans="2:5" ht="12.75">
      <c r="B340" s="1">
        <v>27</v>
      </c>
      <c r="C340" s="1">
        <v>56</v>
      </c>
      <c r="D340" s="1" t="s">
        <v>509</v>
      </c>
      <c r="E340" s="1" t="s">
        <v>508</v>
      </c>
    </row>
    <row r="341" spans="2:5" ht="12.75">
      <c r="B341" s="1">
        <v>28</v>
      </c>
      <c r="C341" s="1">
        <v>37.619</v>
      </c>
      <c r="D341" s="1" t="s">
        <v>507</v>
      </c>
      <c r="E341" s="1" t="s">
        <v>508</v>
      </c>
    </row>
    <row r="342" spans="2:5" ht="12.75">
      <c r="B342" s="1">
        <v>29</v>
      </c>
      <c r="C342" s="1">
        <v>7.2672</v>
      </c>
      <c r="D342" s="1" t="s">
        <v>507</v>
      </c>
      <c r="E342" s="1" t="s">
        <v>508</v>
      </c>
    </row>
    <row r="343" spans="2:6" ht="12.75">
      <c r="B343" s="1">
        <v>30</v>
      </c>
      <c r="C343" s="1">
        <v>44</v>
      </c>
      <c r="D343" s="1">
        <v>22</v>
      </c>
      <c r="E343" s="1" t="s">
        <v>509</v>
      </c>
      <c r="F343" s="1" t="s">
        <v>510</v>
      </c>
    </row>
    <row r="344" spans="2:5" ht="12.75">
      <c r="B344" s="1">
        <v>31</v>
      </c>
      <c r="C344" s="1">
        <v>40</v>
      </c>
      <c r="D344" s="1" t="s">
        <v>509</v>
      </c>
      <c r="E344" s="1" t="s">
        <v>508</v>
      </c>
    </row>
    <row r="345" spans="2:5" ht="12.75">
      <c r="B345" s="1">
        <v>32</v>
      </c>
      <c r="C345" s="1">
        <v>50</v>
      </c>
      <c r="D345" s="1" t="s">
        <v>509</v>
      </c>
      <c r="E345" s="1" t="s">
        <v>508</v>
      </c>
    </row>
    <row r="346" spans="2:5" ht="12.75">
      <c r="B346" s="1">
        <v>33</v>
      </c>
      <c r="C346" s="1">
        <v>50</v>
      </c>
      <c r="D346" s="1" t="s">
        <v>509</v>
      </c>
      <c r="E346" s="1" t="s">
        <v>508</v>
      </c>
    </row>
    <row r="347" spans="2:5" ht="12.75">
      <c r="B347" s="1">
        <v>34</v>
      </c>
      <c r="C347" s="1">
        <v>25.4656</v>
      </c>
      <c r="D347" s="1" t="s">
        <v>507</v>
      </c>
      <c r="E347" s="1" t="s">
        <v>508</v>
      </c>
    </row>
    <row r="348" spans="2:5" ht="12.75">
      <c r="B348" s="1">
        <v>35</v>
      </c>
      <c r="C348" s="1">
        <v>24.7592</v>
      </c>
      <c r="D348" s="1" t="s">
        <v>507</v>
      </c>
      <c r="E348" s="1" t="s">
        <v>508</v>
      </c>
    </row>
    <row r="349" spans="2:8" ht="12.75">
      <c r="B349" s="1">
        <v>36</v>
      </c>
      <c r="C349" s="1">
        <v>78</v>
      </c>
      <c r="D349" s="1">
        <v>40</v>
      </c>
      <c r="E349" s="1" t="s">
        <v>509</v>
      </c>
      <c r="F349" s="1" t="s">
        <v>510</v>
      </c>
      <c r="G349" s="1">
        <v>2.5</v>
      </c>
      <c r="H349" s="1">
        <v>0</v>
      </c>
    </row>
    <row r="350" spans="2:5" ht="12.75">
      <c r="B350" s="1">
        <v>37</v>
      </c>
      <c r="C350" s="1">
        <v>11.8994</v>
      </c>
      <c r="D350" s="1" t="s">
        <v>507</v>
      </c>
      <c r="E350" s="1" t="s">
        <v>508</v>
      </c>
    </row>
    <row r="351" spans="2:6" ht="12.75">
      <c r="B351" s="1">
        <v>38</v>
      </c>
      <c r="C351" s="1">
        <v>40</v>
      </c>
      <c r="D351" s="1">
        <v>22</v>
      </c>
      <c r="E351" s="1" t="s">
        <v>509</v>
      </c>
      <c r="F351" s="1" t="s">
        <v>510</v>
      </c>
    </row>
    <row r="352" spans="2:5" ht="12.75">
      <c r="B352" s="1">
        <v>39</v>
      </c>
      <c r="C352" s="1">
        <v>32.5</v>
      </c>
      <c r="D352" s="1" t="s">
        <v>509</v>
      </c>
      <c r="E352" s="1" t="s">
        <v>508</v>
      </c>
    </row>
    <row r="353" spans="2:5" ht="12.75">
      <c r="B353" s="1">
        <v>40</v>
      </c>
      <c r="C353" s="1">
        <v>32.5</v>
      </c>
      <c r="D353" s="1" t="s">
        <v>509</v>
      </c>
      <c r="E353" s="1" t="s">
        <v>508</v>
      </c>
    </row>
    <row r="354" spans="2:5" ht="12.75">
      <c r="B354" s="1">
        <v>41</v>
      </c>
      <c r="C354" s="1">
        <v>8.6473</v>
      </c>
      <c r="D354" s="1" t="s">
        <v>507</v>
      </c>
      <c r="E354" s="1" t="s">
        <v>508</v>
      </c>
    </row>
    <row r="355" spans="2:5" ht="12.75">
      <c r="B355" s="1">
        <v>42</v>
      </c>
      <c r="C355" s="1">
        <v>11.8994</v>
      </c>
      <c r="D355" s="1" t="s">
        <v>507</v>
      </c>
      <c r="E355" s="1" t="s">
        <v>508</v>
      </c>
    </row>
    <row r="356" spans="2:5" ht="12.75">
      <c r="B356" s="1">
        <v>43</v>
      </c>
      <c r="C356" s="1">
        <v>11.8994</v>
      </c>
      <c r="D356" s="1" t="s">
        <v>507</v>
      </c>
      <c r="E356" s="1" t="s">
        <v>508</v>
      </c>
    </row>
    <row r="357" spans="2:5" ht="12.75">
      <c r="B357" s="1">
        <v>44</v>
      </c>
      <c r="C357" s="1">
        <v>50</v>
      </c>
      <c r="D357" s="1" t="s">
        <v>509</v>
      </c>
      <c r="E357" s="1" t="s">
        <v>508</v>
      </c>
    </row>
    <row r="358" spans="2:5" ht="12.75">
      <c r="B358" s="1">
        <v>45</v>
      </c>
      <c r="C358" s="1">
        <v>24.7592</v>
      </c>
      <c r="D358" s="1" t="s">
        <v>507</v>
      </c>
      <c r="E358" s="1" t="s">
        <v>508</v>
      </c>
    </row>
    <row r="359" spans="2:5" ht="12.75">
      <c r="B359" s="1">
        <v>46</v>
      </c>
      <c r="C359" s="1">
        <v>36</v>
      </c>
      <c r="D359" s="1" t="s">
        <v>509</v>
      </c>
      <c r="E359" s="1" t="s">
        <v>508</v>
      </c>
    </row>
    <row r="360" spans="2:5" ht="12.75">
      <c r="B360" s="1">
        <v>47</v>
      </c>
      <c r="C360" s="1">
        <v>46</v>
      </c>
      <c r="D360" s="1" t="s">
        <v>509</v>
      </c>
      <c r="E360" s="1" t="s">
        <v>508</v>
      </c>
    </row>
    <row r="361" spans="2:5" ht="12.75">
      <c r="B361" s="1">
        <v>48</v>
      </c>
      <c r="C361" s="1">
        <v>46</v>
      </c>
      <c r="D361" s="1" t="s">
        <v>509</v>
      </c>
      <c r="E361" s="1" t="s">
        <v>508</v>
      </c>
    </row>
    <row r="362" spans="2:5" ht="12.75">
      <c r="B362" s="1">
        <v>49</v>
      </c>
      <c r="C362" s="1">
        <v>15.2334</v>
      </c>
      <c r="D362" s="1" t="s">
        <v>507</v>
      </c>
      <c r="E362" s="1" t="s">
        <v>508</v>
      </c>
    </row>
    <row r="363" spans="2:5" ht="12.75">
      <c r="B363" s="1">
        <v>50</v>
      </c>
      <c r="C363" s="1">
        <v>15.2334</v>
      </c>
      <c r="D363" s="1" t="s">
        <v>507</v>
      </c>
      <c r="E363" s="1" t="s">
        <v>508</v>
      </c>
    </row>
    <row r="364" spans="2:6" ht="12.75">
      <c r="B364" s="1">
        <v>51</v>
      </c>
      <c r="C364" s="1">
        <v>40</v>
      </c>
      <c r="D364" s="1">
        <v>22</v>
      </c>
      <c r="E364" s="1" t="s">
        <v>509</v>
      </c>
      <c r="F364" s="1" t="s">
        <v>510</v>
      </c>
    </row>
    <row r="365" spans="2:5" ht="12.75">
      <c r="B365" s="1">
        <v>52</v>
      </c>
      <c r="C365" s="1">
        <v>32.5</v>
      </c>
      <c r="D365" s="1" t="s">
        <v>509</v>
      </c>
      <c r="E365" s="1" t="s">
        <v>508</v>
      </c>
    </row>
    <row r="366" spans="2:5" ht="12.75">
      <c r="B366" s="1">
        <v>53</v>
      </c>
      <c r="C366" s="1">
        <v>32.5</v>
      </c>
      <c r="D366" s="1" t="s">
        <v>509</v>
      </c>
      <c r="E366" s="1" t="s">
        <v>508</v>
      </c>
    </row>
    <row r="367" spans="2:5" ht="12.75">
      <c r="B367" s="1">
        <v>54</v>
      </c>
      <c r="C367" s="1">
        <v>7.9462</v>
      </c>
      <c r="D367" s="1" t="s">
        <v>507</v>
      </c>
      <c r="E367" s="1" t="s">
        <v>508</v>
      </c>
    </row>
    <row r="368" spans="2:5" ht="12.75">
      <c r="B368" s="1">
        <v>55</v>
      </c>
      <c r="C368" s="1">
        <v>15.2334</v>
      </c>
      <c r="D368" s="1" t="s">
        <v>507</v>
      </c>
      <c r="E368" s="1" t="s">
        <v>508</v>
      </c>
    </row>
    <row r="369" spans="2:5" ht="12.75">
      <c r="B369" s="1">
        <v>56</v>
      </c>
      <c r="C369" s="1">
        <v>15.2334</v>
      </c>
      <c r="D369" s="1" t="s">
        <v>507</v>
      </c>
      <c r="E369" s="1" t="s">
        <v>508</v>
      </c>
    </row>
    <row r="370" spans="2:8" ht="12.75">
      <c r="B370" s="1">
        <v>57</v>
      </c>
      <c r="C370" s="1">
        <v>56</v>
      </c>
      <c r="D370" s="1">
        <v>53</v>
      </c>
      <c r="E370" s="1" t="s">
        <v>509</v>
      </c>
      <c r="F370" s="1" t="s">
        <v>510</v>
      </c>
      <c r="G370" s="1">
        <v>0</v>
      </c>
      <c r="H370" s="1">
        <v>-2.75</v>
      </c>
    </row>
    <row r="371" spans="2:5" ht="12.75">
      <c r="B371" s="1">
        <v>58</v>
      </c>
      <c r="C371" s="1">
        <v>11.042</v>
      </c>
      <c r="D371" s="1" t="s">
        <v>507</v>
      </c>
      <c r="E371" s="1" t="s">
        <v>508</v>
      </c>
    </row>
    <row r="372" spans="2:6" ht="12.75">
      <c r="B372" s="1">
        <v>59</v>
      </c>
      <c r="C372" s="1">
        <v>40</v>
      </c>
      <c r="D372" s="1">
        <v>22</v>
      </c>
      <c r="E372" s="1" t="s">
        <v>509</v>
      </c>
      <c r="F372" s="1" t="s">
        <v>510</v>
      </c>
    </row>
    <row r="373" spans="2:5" ht="12.75">
      <c r="B373" s="1">
        <v>60</v>
      </c>
      <c r="C373" s="1">
        <v>32.5</v>
      </c>
      <c r="D373" s="1" t="s">
        <v>509</v>
      </c>
      <c r="E373" s="1" t="s">
        <v>508</v>
      </c>
    </row>
    <row r="374" spans="2:5" ht="12.75">
      <c r="B374" s="1">
        <v>61</v>
      </c>
      <c r="C374" s="1">
        <v>32.5</v>
      </c>
      <c r="D374" s="1" t="s">
        <v>509</v>
      </c>
      <c r="E374" s="1" t="s">
        <v>508</v>
      </c>
    </row>
    <row r="375" spans="2:5" ht="12.75">
      <c r="B375" s="1">
        <v>62</v>
      </c>
      <c r="C375" s="1">
        <v>7.9928</v>
      </c>
      <c r="D375" s="1" t="s">
        <v>507</v>
      </c>
      <c r="E375" s="1" t="s">
        <v>508</v>
      </c>
    </row>
    <row r="376" spans="2:5" ht="12.75">
      <c r="B376" s="1">
        <v>63</v>
      </c>
      <c r="C376" s="1">
        <v>7.2672</v>
      </c>
      <c r="D376" s="1" t="s">
        <v>507</v>
      </c>
      <c r="E376" s="1" t="s">
        <v>508</v>
      </c>
    </row>
    <row r="378" spans="2:10" ht="12.75">
      <c r="B378" s="1" t="s">
        <v>512</v>
      </c>
      <c r="C378" s="1" t="s">
        <v>513</v>
      </c>
      <c r="D378" s="1" t="s">
        <v>514</v>
      </c>
      <c r="E378" s="1" t="s">
        <v>515</v>
      </c>
      <c r="F378" s="1" t="s">
        <v>516</v>
      </c>
      <c r="G378" s="1" t="s">
        <v>517</v>
      </c>
      <c r="H378" s="1" t="s">
        <v>518</v>
      </c>
      <c r="I378" s="1" t="s">
        <v>519</v>
      </c>
      <c r="J378" s="1" t="s">
        <v>520</v>
      </c>
    </row>
    <row r="379" spans="2:8" ht="12.75">
      <c r="B379" s="1" t="s">
        <v>510</v>
      </c>
      <c r="C379" s="1" t="s">
        <v>516</v>
      </c>
      <c r="D379" s="1" t="s">
        <v>521</v>
      </c>
      <c r="E379" s="1" t="s">
        <v>518</v>
      </c>
      <c r="F379" s="1" t="s">
        <v>519</v>
      </c>
      <c r="G379" s="1" t="s">
        <v>522</v>
      </c>
      <c r="H379" s="1" t="s">
        <v>523</v>
      </c>
    </row>
    <row r="380" spans="2:4" ht="12.75">
      <c r="B380" s="1" t="s">
        <v>28</v>
      </c>
      <c r="C380" s="1" t="s">
        <v>572</v>
      </c>
      <c r="D380" s="1" t="s">
        <v>573</v>
      </c>
    </row>
    <row r="381" spans="2:5" ht="12.75">
      <c r="B381" s="1" t="s">
        <v>574</v>
      </c>
      <c r="C381" s="1" t="s">
        <v>575</v>
      </c>
      <c r="D381" s="1" t="s">
        <v>576</v>
      </c>
      <c r="E381" s="1" t="s">
        <v>577</v>
      </c>
    </row>
    <row r="382" ht="12.75">
      <c r="B382" s="1" t="s">
        <v>573</v>
      </c>
    </row>
    <row r="383" spans="2:9" ht="12.75">
      <c r="B383" s="1" t="s">
        <v>578</v>
      </c>
      <c r="C383" s="1">
        <v>210700</v>
      </c>
      <c r="D383" s="1" t="s">
        <v>491</v>
      </c>
      <c r="E383" s="1" t="s">
        <v>579</v>
      </c>
      <c r="F383" s="1" t="s">
        <v>580</v>
      </c>
      <c r="G383" s="1" t="s">
        <v>581</v>
      </c>
      <c r="H383" s="1" t="s">
        <v>582</v>
      </c>
      <c r="I383" s="1" t="s">
        <v>583</v>
      </c>
    </row>
    <row r="384" spans="2:6" ht="12.75">
      <c r="B384" s="1" t="s">
        <v>584</v>
      </c>
      <c r="C384" s="1" t="s">
        <v>585</v>
      </c>
      <c r="D384" s="1" t="s">
        <v>586</v>
      </c>
      <c r="E384" s="1" t="s">
        <v>587</v>
      </c>
      <c r="F384" s="1" t="s">
        <v>588</v>
      </c>
    </row>
    <row r="385" spans="2:8" ht="12.75">
      <c r="B385" s="1" t="s">
        <v>589</v>
      </c>
      <c r="C385" s="1">
        <v>10900</v>
      </c>
      <c r="D385" s="1" t="s">
        <v>590</v>
      </c>
      <c r="E385" s="1" t="s">
        <v>579</v>
      </c>
      <c r="F385" s="1" t="s">
        <v>580</v>
      </c>
      <c r="G385" s="1" t="s">
        <v>591</v>
      </c>
      <c r="H385" s="1" t="s">
        <v>592</v>
      </c>
    </row>
    <row r="386" spans="2:7" ht="12.75">
      <c r="B386" s="1" t="s">
        <v>584</v>
      </c>
      <c r="C386" s="1">
        <v>2</v>
      </c>
      <c r="D386" s="1">
        <v>270901</v>
      </c>
      <c r="E386" s="1" t="s">
        <v>593</v>
      </c>
      <c r="F386" s="1" t="s">
        <v>496</v>
      </c>
      <c r="G386" s="1" t="s">
        <v>594</v>
      </c>
    </row>
    <row r="387" spans="2:12" ht="12.75">
      <c r="B387" s="1" t="s">
        <v>584</v>
      </c>
      <c r="C387" s="1">
        <v>3</v>
      </c>
      <c r="D387" s="1">
        <v>121101</v>
      </c>
      <c r="E387" s="1" t="s">
        <v>595</v>
      </c>
      <c r="F387" s="1">
        <v>74</v>
      </c>
      <c r="G387" s="1" t="s">
        <v>596</v>
      </c>
      <c r="H387" s="1" t="s">
        <v>597</v>
      </c>
      <c r="I387" s="1" t="s">
        <v>598</v>
      </c>
      <c r="J387" s="1" t="s">
        <v>599</v>
      </c>
      <c r="K387" s="1" t="s">
        <v>284</v>
      </c>
      <c r="L387" s="1" t="s">
        <v>600</v>
      </c>
    </row>
    <row r="389" spans="2:3" ht="12.75">
      <c r="B389" s="1" t="s">
        <v>601</v>
      </c>
      <c r="C389" s="1">
        <v>74</v>
      </c>
    </row>
    <row r="390" spans="2:3" ht="12.75">
      <c r="B390" s="1" t="s">
        <v>602</v>
      </c>
      <c r="C390" s="1" t="s">
        <v>603</v>
      </c>
    </row>
    <row r="392" spans="2:4" ht="12.75">
      <c r="B392" s="1" t="s">
        <v>604</v>
      </c>
      <c r="C392" s="1" t="s">
        <v>605</v>
      </c>
      <c r="D392" s="1" t="s">
        <v>606</v>
      </c>
    </row>
    <row r="393" spans="2:4" ht="12.75">
      <c r="B393" s="1" t="s">
        <v>607</v>
      </c>
      <c r="C393" s="1" t="s">
        <v>608</v>
      </c>
      <c r="D393" s="1">
        <v>9</v>
      </c>
    </row>
    <row r="395" spans="2:3" ht="12.75">
      <c r="B395" s="1" t="s">
        <v>609</v>
      </c>
      <c r="C395" s="1" t="s">
        <v>610</v>
      </c>
    </row>
    <row r="397" ht="12.75">
      <c r="B397" s="1" t="s">
        <v>611</v>
      </c>
    </row>
    <row r="398" ht="12.75">
      <c r="B398" s="1" t="s">
        <v>612</v>
      </c>
    </row>
    <row r="400" spans="2:9" ht="12.75">
      <c r="B400" s="1" t="s">
        <v>613</v>
      </c>
      <c r="C400" s="1">
        <v>2</v>
      </c>
      <c r="D400" s="1">
        <v>0</v>
      </c>
      <c r="E400" s="1">
        <v>0</v>
      </c>
      <c r="F400" s="1">
        <v>0</v>
      </c>
      <c r="G400" s="1" t="s">
        <v>605</v>
      </c>
      <c r="H400" s="1">
        <v>0</v>
      </c>
      <c r="I400" s="1" t="s">
        <v>607</v>
      </c>
    </row>
    <row r="401" spans="2:4" ht="12.75">
      <c r="B401" s="1" t="s">
        <v>614</v>
      </c>
      <c r="C401" s="1" t="s">
        <v>615</v>
      </c>
      <c r="D401" s="1" t="s">
        <v>607</v>
      </c>
    </row>
    <row r="402" ht="12.75">
      <c r="B402" s="1" t="s">
        <v>616</v>
      </c>
    </row>
    <row r="403" spans="2:3" ht="12.75">
      <c r="B403" s="1" t="s">
        <v>617</v>
      </c>
      <c r="C403" s="1" t="s">
        <v>618</v>
      </c>
    </row>
    <row r="405" spans="2:3" ht="12.75">
      <c r="B405" s="1" t="s">
        <v>619</v>
      </c>
      <c r="C405" s="1" t="s">
        <v>89</v>
      </c>
    </row>
    <row r="407" spans="2:3" ht="12.75">
      <c r="B407" s="1" t="s">
        <v>661</v>
      </c>
      <c r="C407" s="1">
        <v>74</v>
      </c>
    </row>
    <row r="408" ht="12.75">
      <c r="B408" s="1" t="s">
        <v>620</v>
      </c>
    </row>
    <row r="409" ht="12.75">
      <c r="B409" s="1" t="s">
        <v>28</v>
      </c>
    </row>
    <row r="410" spans="2:4" ht="12.75">
      <c r="B410" s="1" t="s">
        <v>28</v>
      </c>
      <c r="C410" s="1" t="s">
        <v>74</v>
      </c>
      <c r="D410" s="1" t="s">
        <v>75</v>
      </c>
    </row>
  </sheetData>
  <printOptions/>
  <pageMargins left="0.7874015748031497" right="0.7874015748031497" top="0.984251968503937" bottom="0.984251968503937" header="0.5118110236220472" footer="0.5118110236220472"/>
  <pageSetup horizontalDpi="600" verticalDpi="600" orientation="portrait" paperSize="9" scale="50" r:id="rId1"/>
  <headerFooter alignWithMargins="0">
    <oddHeader>&amp;L&amp;F, &amp;A&amp;R&amp;T, &amp;D</oddHeader>
    <oddFooter>&amp;CPage &amp;P of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1:M817"/>
  <sheetViews>
    <sheetView workbookViewId="0" topLeftCell="A1">
      <selection activeCell="A1" sqref="A1:M817"/>
    </sheetView>
  </sheetViews>
  <sheetFormatPr defaultColWidth="12" defaultRowHeight="12.75"/>
  <cols>
    <col min="1" max="6" width="12" style="1" customWidth="1"/>
    <col min="7" max="7" width="12.33203125" style="1" customWidth="1"/>
    <col min="8" max="16384" width="12" style="1" customWidth="1"/>
  </cols>
  <sheetData>
    <row r="1" ht="12.75">
      <c r="B1" s="1" t="s">
        <v>28</v>
      </c>
    </row>
    <row r="2" spans="2:3" ht="12.75">
      <c r="B2" s="1" t="s">
        <v>28</v>
      </c>
      <c r="C2" s="1" t="s">
        <v>29</v>
      </c>
    </row>
    <row r="4" spans="2:10" ht="12.75">
      <c r="B4" s="1" t="s">
        <v>30</v>
      </c>
      <c r="C4" s="1" t="s">
        <v>31</v>
      </c>
      <c r="D4" s="1" t="s">
        <v>32</v>
      </c>
      <c r="E4" s="1" t="s">
        <v>33</v>
      </c>
      <c r="F4" s="1" t="s">
        <v>34</v>
      </c>
      <c r="G4" s="1" t="s">
        <v>33</v>
      </c>
      <c r="H4" s="1" t="s">
        <v>35</v>
      </c>
      <c r="I4" s="1" t="s">
        <v>407</v>
      </c>
      <c r="J4" s="1" t="s">
        <v>624</v>
      </c>
    </row>
    <row r="6" spans="2:3" ht="12.75">
      <c r="B6" s="1" t="s">
        <v>28</v>
      </c>
      <c r="C6" s="1" t="s">
        <v>37</v>
      </c>
    </row>
    <row r="7" spans="2:3" ht="12.75">
      <c r="B7" s="2">
        <v>37260</v>
      </c>
      <c r="C7" s="3">
        <v>0.6810069444444444</v>
      </c>
    </row>
    <row r="8" ht="12.75">
      <c r="B8" s="1" t="s">
        <v>28</v>
      </c>
    </row>
    <row r="9" spans="2:10" ht="12.75">
      <c r="B9" s="1" t="s">
        <v>28</v>
      </c>
      <c r="C9" s="1" t="s">
        <v>148</v>
      </c>
      <c r="D9" s="1">
        <v>2</v>
      </c>
      <c r="E9" s="1">
        <v>0</v>
      </c>
      <c r="F9" s="1">
        <v>0</v>
      </c>
      <c r="G9" s="1">
        <v>0</v>
      </c>
      <c r="H9" s="1" t="s">
        <v>39</v>
      </c>
      <c r="I9" s="1">
        <v>0</v>
      </c>
      <c r="J9" s="1" t="s">
        <v>40</v>
      </c>
    </row>
    <row r="10" spans="2:5" ht="12.75">
      <c r="B10" s="1" t="s">
        <v>28</v>
      </c>
      <c r="C10" s="1" t="s">
        <v>149</v>
      </c>
      <c r="D10" s="1" t="s">
        <v>150</v>
      </c>
      <c r="E10" s="1" t="s">
        <v>40</v>
      </c>
    </row>
    <row r="12" spans="2:8" ht="12.75">
      <c r="B12" s="1" t="s">
        <v>33</v>
      </c>
      <c r="C12" s="1" t="s">
        <v>35</v>
      </c>
      <c r="D12" s="1" t="s">
        <v>407</v>
      </c>
      <c r="E12" s="1" t="s">
        <v>624</v>
      </c>
      <c r="F12" s="1">
        <v>288</v>
      </c>
      <c r="G12" s="2">
        <v>37260</v>
      </c>
      <c r="H12" s="3">
        <v>0.6810069444444444</v>
      </c>
    </row>
    <row r="13" spans="2:8" ht="12.75">
      <c r="B13" s="1" t="s">
        <v>151</v>
      </c>
      <c r="C13" s="1" t="s">
        <v>152</v>
      </c>
      <c r="G13" s="2"/>
      <c r="H13" s="3"/>
    </row>
    <row r="15" spans="2:3" ht="12.75">
      <c r="B15" s="1" t="s">
        <v>48</v>
      </c>
      <c r="C15" s="1" t="s">
        <v>153</v>
      </c>
    </row>
    <row r="16" ht="12.75">
      <c r="B16" s="1" t="s">
        <v>154</v>
      </c>
    </row>
    <row r="17" spans="2:9" ht="12.75">
      <c r="B17" s="1" t="s">
        <v>53</v>
      </c>
      <c r="C17" s="1" t="s">
        <v>155</v>
      </c>
      <c r="D17" s="1" t="s">
        <v>156</v>
      </c>
      <c r="E17" s="1" t="s">
        <v>157</v>
      </c>
      <c r="F17" s="1" t="s">
        <v>158</v>
      </c>
      <c r="G17" s="1" t="s">
        <v>159</v>
      </c>
      <c r="H17" s="1" t="s">
        <v>160</v>
      </c>
      <c r="I17" s="1">
        <v>18821.9822</v>
      </c>
    </row>
    <row r="18" spans="2:9" ht="12.75">
      <c r="B18" s="1" t="s">
        <v>53</v>
      </c>
      <c r="C18" s="1" t="s">
        <v>54</v>
      </c>
      <c r="D18" s="1" t="s">
        <v>161</v>
      </c>
      <c r="E18" s="1" t="s">
        <v>157</v>
      </c>
      <c r="F18" s="1" t="s">
        <v>162</v>
      </c>
      <c r="G18" s="1" t="s">
        <v>158</v>
      </c>
      <c r="H18" s="1" t="s">
        <v>159</v>
      </c>
      <c r="I18" s="1">
        <v>-55.7783</v>
      </c>
    </row>
    <row r="19" spans="2:10" ht="12.75">
      <c r="B19" s="1" t="s">
        <v>163</v>
      </c>
      <c r="C19" s="1" t="s">
        <v>44</v>
      </c>
      <c r="D19" s="1" t="s">
        <v>54</v>
      </c>
      <c r="E19" s="1" t="s">
        <v>164</v>
      </c>
      <c r="F19" s="1">
        <v>1641.705</v>
      </c>
      <c r="G19" s="1" t="s">
        <v>165</v>
      </c>
      <c r="H19" s="1" t="s">
        <v>155</v>
      </c>
      <c r="I19" s="1" t="s">
        <v>166</v>
      </c>
      <c r="J19" s="1">
        <v>-2.9</v>
      </c>
    </row>
    <row r="20" spans="2:10" ht="12.75">
      <c r="B20" s="1" t="s">
        <v>163</v>
      </c>
      <c r="C20" s="1" t="s">
        <v>44</v>
      </c>
      <c r="D20" s="1" t="s">
        <v>167</v>
      </c>
      <c r="E20" s="1" t="s">
        <v>168</v>
      </c>
      <c r="F20" s="1">
        <v>0</v>
      </c>
      <c r="G20" s="1" t="s">
        <v>169</v>
      </c>
      <c r="H20" s="1" t="s">
        <v>159</v>
      </c>
      <c r="I20" s="1" t="s">
        <v>170</v>
      </c>
      <c r="J20" s="1">
        <v>1170.73</v>
      </c>
    </row>
    <row r="21" spans="2:9" ht="12.75">
      <c r="B21" s="1" t="s">
        <v>171</v>
      </c>
      <c r="C21" s="1" t="s">
        <v>44</v>
      </c>
      <c r="D21" s="1" t="s">
        <v>54</v>
      </c>
      <c r="E21" s="1" t="s">
        <v>172</v>
      </c>
      <c r="F21" s="1">
        <v>-4.99</v>
      </c>
      <c r="G21" s="1" t="s">
        <v>173</v>
      </c>
      <c r="H21" s="1" t="s">
        <v>174</v>
      </c>
      <c r="I21" s="1">
        <v>-5.7324</v>
      </c>
    </row>
    <row r="22" spans="2:10" ht="12.75">
      <c r="B22" s="1" t="s">
        <v>171</v>
      </c>
      <c r="C22" s="1" t="s">
        <v>44</v>
      </c>
      <c r="D22" s="1" t="s">
        <v>167</v>
      </c>
      <c r="E22" s="1" t="s">
        <v>175</v>
      </c>
      <c r="F22" s="1">
        <v>0.0167</v>
      </c>
      <c r="G22" s="1" t="s">
        <v>176</v>
      </c>
      <c r="H22" s="1" t="s">
        <v>165</v>
      </c>
      <c r="I22" s="1" t="s">
        <v>177</v>
      </c>
      <c r="J22" s="1">
        <v>5.4458</v>
      </c>
    </row>
    <row r="23" spans="2:9" ht="12.75">
      <c r="B23" s="1" t="s">
        <v>178</v>
      </c>
      <c r="C23" s="1" t="s">
        <v>58</v>
      </c>
      <c r="D23" s="1" t="s">
        <v>179</v>
      </c>
      <c r="E23" s="1">
        <v>1641.705</v>
      </c>
      <c r="F23" s="1" t="s">
        <v>180</v>
      </c>
      <c r="G23" s="1" t="s">
        <v>58</v>
      </c>
      <c r="H23" s="1" t="s">
        <v>179</v>
      </c>
      <c r="I23" s="1">
        <v>857.7327</v>
      </c>
    </row>
    <row r="24" spans="2:9" ht="12.75">
      <c r="B24" s="1" t="s">
        <v>178</v>
      </c>
      <c r="C24" s="1" t="s">
        <v>58</v>
      </c>
      <c r="D24" s="1" t="s">
        <v>181</v>
      </c>
      <c r="E24" s="1">
        <v>17154.0876</v>
      </c>
      <c r="F24" s="1" t="s">
        <v>180</v>
      </c>
      <c r="G24" s="1" t="s">
        <v>58</v>
      </c>
      <c r="H24" s="1" t="s">
        <v>181</v>
      </c>
      <c r="I24" s="1">
        <v>9778.0408</v>
      </c>
    </row>
    <row r="26" spans="2:5" ht="12.75">
      <c r="B26" s="1" t="s">
        <v>182</v>
      </c>
      <c r="C26" s="1" t="s">
        <v>54</v>
      </c>
      <c r="D26" s="1" t="s">
        <v>183</v>
      </c>
      <c r="E26" s="1" t="s">
        <v>157</v>
      </c>
    </row>
    <row r="27" spans="2:11" ht="12.75">
      <c r="B27" s="1" t="s">
        <v>184</v>
      </c>
      <c r="C27" s="1" t="s">
        <v>44</v>
      </c>
      <c r="D27" s="1" t="s">
        <v>54</v>
      </c>
      <c r="E27" s="1" t="s">
        <v>185</v>
      </c>
      <c r="F27" s="1">
        <v>1641.705</v>
      </c>
      <c r="G27" s="1" t="s">
        <v>186</v>
      </c>
      <c r="H27" s="1" t="s">
        <v>44</v>
      </c>
      <c r="I27" s="1" t="s">
        <v>187</v>
      </c>
      <c r="J27" s="1" t="s">
        <v>188</v>
      </c>
      <c r="K27" s="1">
        <v>-4.99</v>
      </c>
    </row>
    <row r="28" spans="2:10" ht="12.75">
      <c r="B28" s="1" t="s">
        <v>184</v>
      </c>
      <c r="C28" s="1" t="s">
        <v>44</v>
      </c>
      <c r="D28" s="1" t="s">
        <v>167</v>
      </c>
      <c r="E28" s="1" t="s">
        <v>189</v>
      </c>
      <c r="F28" s="1">
        <v>0</v>
      </c>
      <c r="G28" s="1" t="s">
        <v>186</v>
      </c>
      <c r="H28" s="1" t="s">
        <v>44</v>
      </c>
      <c r="I28" s="1" t="s">
        <v>190</v>
      </c>
      <c r="J28" s="1">
        <v>0.0167</v>
      </c>
    </row>
    <row r="30" spans="2:8" ht="12.75">
      <c r="B30" s="1" t="s">
        <v>191</v>
      </c>
      <c r="C30" s="1" t="s">
        <v>192</v>
      </c>
      <c r="D30" s="1">
        <v>200</v>
      </c>
      <c r="E30" s="1">
        <v>400</v>
      </c>
      <c r="F30" s="1">
        <v>600</v>
      </c>
      <c r="G30" s="1">
        <v>250</v>
      </c>
      <c r="H30" s="1">
        <v>0.6328</v>
      </c>
    </row>
    <row r="31" spans="2:7" ht="12.75">
      <c r="B31" s="1" t="s">
        <v>193</v>
      </c>
      <c r="C31" s="1">
        <v>1</v>
      </c>
      <c r="D31" s="1">
        <v>1</v>
      </c>
      <c r="E31" s="1">
        <v>1</v>
      </c>
      <c r="F31" s="1">
        <v>1</v>
      </c>
      <c r="G31" s="1">
        <v>1</v>
      </c>
    </row>
    <row r="32" spans="2:8" ht="12.75">
      <c r="B32" s="1" t="s">
        <v>62</v>
      </c>
      <c r="C32" s="1" t="s">
        <v>194</v>
      </c>
      <c r="D32" s="1">
        <v>2</v>
      </c>
      <c r="E32" s="1">
        <v>1</v>
      </c>
      <c r="F32" s="1">
        <v>3</v>
      </c>
      <c r="G32" s="1">
        <v>4</v>
      </c>
      <c r="H32" s="1">
        <v>5</v>
      </c>
    </row>
    <row r="33" spans="2:3" ht="12.75">
      <c r="B33" s="1" t="s">
        <v>195</v>
      </c>
      <c r="C33" s="1" t="s">
        <v>196</v>
      </c>
    </row>
    <row r="34" spans="2:8" ht="12.75">
      <c r="B34" s="1" t="s">
        <v>197</v>
      </c>
      <c r="C34" s="1" t="s">
        <v>198</v>
      </c>
      <c r="D34" s="1" t="s">
        <v>50</v>
      </c>
      <c r="E34" s="1" t="s">
        <v>199</v>
      </c>
      <c r="F34" s="1">
        <v>7</v>
      </c>
      <c r="G34" s="1" t="s">
        <v>179</v>
      </c>
      <c r="H34" s="1">
        <v>154.95167</v>
      </c>
    </row>
    <row r="35" spans="2:5" ht="12.75">
      <c r="B35" s="1" t="s">
        <v>200</v>
      </c>
      <c r="C35" s="1" t="s">
        <v>58</v>
      </c>
      <c r="D35" s="1" t="s">
        <v>201</v>
      </c>
      <c r="E35" s="1" t="s">
        <v>202</v>
      </c>
    </row>
    <row r="36" spans="2:4" ht="12.75">
      <c r="B36" s="1" t="s">
        <v>158</v>
      </c>
      <c r="C36" s="1" t="s">
        <v>203</v>
      </c>
      <c r="D36" s="1" t="s">
        <v>202</v>
      </c>
    </row>
    <row r="37" spans="2:3" ht="12.75">
      <c r="B37" s="1" t="s">
        <v>204</v>
      </c>
      <c r="C37" s="4">
        <v>-1.87E-08</v>
      </c>
    </row>
    <row r="38" spans="2:4" ht="12.75">
      <c r="B38" s="1" t="s">
        <v>41</v>
      </c>
      <c r="C38" s="4" t="s">
        <v>201</v>
      </c>
      <c r="D38" s="1" t="s">
        <v>202</v>
      </c>
    </row>
    <row r="39" spans="2:5" ht="12.75">
      <c r="B39" s="1" t="s">
        <v>205</v>
      </c>
      <c r="C39" s="4" t="s">
        <v>201</v>
      </c>
      <c r="D39" s="1" t="s">
        <v>206</v>
      </c>
      <c r="E39" s="1" t="s">
        <v>207</v>
      </c>
    </row>
    <row r="40" spans="2:6" ht="12.75">
      <c r="B40" s="1" t="s">
        <v>208</v>
      </c>
      <c r="C40" s="1" t="s">
        <v>209</v>
      </c>
      <c r="D40" s="1" t="s">
        <v>210</v>
      </c>
      <c r="E40" s="1" t="s">
        <v>211</v>
      </c>
      <c r="F40" s="1" t="s">
        <v>212</v>
      </c>
    </row>
    <row r="42" spans="2:3" ht="12.75">
      <c r="B42" s="1" t="s">
        <v>50</v>
      </c>
      <c r="C42" s="1" t="s">
        <v>45</v>
      </c>
    </row>
    <row r="43" ht="12.75">
      <c r="B43" s="1" t="s">
        <v>154</v>
      </c>
    </row>
    <row r="44" spans="2:7" ht="12.75">
      <c r="B44" s="1" t="s">
        <v>39</v>
      </c>
      <c r="C44" s="1" t="s">
        <v>213</v>
      </c>
      <c r="D44" s="1" t="s">
        <v>214</v>
      </c>
      <c r="E44" s="1" t="s">
        <v>215</v>
      </c>
      <c r="F44" s="1" t="s">
        <v>216</v>
      </c>
      <c r="G44" s="1" t="s">
        <v>217</v>
      </c>
    </row>
    <row r="45" ht="12.75">
      <c r="B45" s="1" t="s">
        <v>154</v>
      </c>
    </row>
    <row r="46" spans="2:5" ht="12.75">
      <c r="B46" s="1">
        <v>0</v>
      </c>
      <c r="C46" s="1" t="s">
        <v>157</v>
      </c>
      <c r="D46" s="1" t="s">
        <v>157</v>
      </c>
      <c r="E46" s="1" t="s">
        <v>218</v>
      </c>
    </row>
    <row r="47" spans="2:5" ht="12.75">
      <c r="B47" s="1">
        <v>1</v>
      </c>
      <c r="C47" s="1" t="s">
        <v>157</v>
      </c>
      <c r="D47" s="1">
        <v>17771.1</v>
      </c>
      <c r="E47" s="1" t="s">
        <v>218</v>
      </c>
    </row>
    <row r="48" spans="2:5" ht="12.75">
      <c r="B48" s="1">
        <v>2</v>
      </c>
      <c r="C48" s="1" t="s">
        <v>157</v>
      </c>
      <c r="D48" s="1">
        <v>0</v>
      </c>
      <c r="E48" s="1" t="s">
        <v>218</v>
      </c>
    </row>
    <row r="49" spans="2:5" ht="12.75">
      <c r="B49" s="1">
        <v>3</v>
      </c>
      <c r="C49" s="1" t="s">
        <v>157</v>
      </c>
      <c r="D49" s="1">
        <v>-17771.1</v>
      </c>
      <c r="E49" s="1" t="s">
        <v>218</v>
      </c>
    </row>
    <row r="50" spans="2:5" ht="12.75">
      <c r="B50" s="1">
        <v>4</v>
      </c>
      <c r="C50" s="1" t="s">
        <v>157</v>
      </c>
      <c r="D50" s="1">
        <v>-2000</v>
      </c>
      <c r="E50" s="1" t="s">
        <v>218</v>
      </c>
    </row>
    <row r="51" spans="2:5" ht="12.75">
      <c r="B51" s="1">
        <v>5</v>
      </c>
      <c r="C51" s="1" t="s">
        <v>157</v>
      </c>
      <c r="D51" s="1">
        <v>2000</v>
      </c>
      <c r="E51" s="1" t="s">
        <v>218</v>
      </c>
    </row>
    <row r="52" spans="2:5" ht="12.75">
      <c r="B52" s="1">
        <v>6</v>
      </c>
      <c r="C52" s="1">
        <v>-3500</v>
      </c>
      <c r="D52" s="1">
        <v>-1587.998</v>
      </c>
      <c r="E52" s="1" t="e">
        <v>#NAME?</v>
      </c>
    </row>
    <row r="53" spans="2:5" ht="12.75">
      <c r="B53" s="1" t="s">
        <v>220</v>
      </c>
      <c r="C53" s="1">
        <v>-345.2</v>
      </c>
      <c r="D53" s="1">
        <v>1587.998</v>
      </c>
      <c r="E53" s="1" t="s">
        <v>218</v>
      </c>
    </row>
    <row r="54" spans="2:5" ht="12.75">
      <c r="B54" s="1">
        <v>8</v>
      </c>
      <c r="C54" s="1" t="s">
        <v>157</v>
      </c>
      <c r="D54" s="1">
        <v>1050</v>
      </c>
      <c r="E54" s="1" t="s">
        <v>218</v>
      </c>
    </row>
    <row r="55" spans="2:5" ht="12.75">
      <c r="B55" s="1">
        <v>9</v>
      </c>
      <c r="C55" s="1">
        <v>-167.171</v>
      </c>
      <c r="D55" s="1">
        <v>0</v>
      </c>
      <c r="E55" s="1" t="s">
        <v>218</v>
      </c>
    </row>
    <row r="56" spans="2:5" ht="12.75">
      <c r="B56" s="1">
        <v>10</v>
      </c>
      <c r="C56" s="1" t="s">
        <v>157</v>
      </c>
      <c r="D56" s="1">
        <v>70.9</v>
      </c>
      <c r="E56" s="1" t="s">
        <v>218</v>
      </c>
    </row>
    <row r="57" spans="2:5" ht="12.75">
      <c r="B57" s="1">
        <v>11</v>
      </c>
      <c r="C57" s="1">
        <v>-365.963</v>
      </c>
      <c r="D57" s="1">
        <v>0</v>
      </c>
      <c r="E57" s="1" t="e">
        <v>#NAME?</v>
      </c>
    </row>
    <row r="58" spans="2:5" ht="12.75">
      <c r="B58" s="1">
        <v>12</v>
      </c>
      <c r="C58" s="1" t="s">
        <v>157</v>
      </c>
      <c r="D58" s="1">
        <v>-213.5</v>
      </c>
      <c r="E58" s="1" t="e">
        <v>#NAME?</v>
      </c>
    </row>
    <row r="59" spans="2:5" ht="12.75">
      <c r="B59" s="1">
        <v>13</v>
      </c>
      <c r="C59" s="1" t="s">
        <v>157</v>
      </c>
      <c r="D59" s="1">
        <v>0</v>
      </c>
      <c r="E59" s="1" t="e">
        <v>#NAME?</v>
      </c>
    </row>
    <row r="60" spans="2:5" ht="12.75">
      <c r="B60" s="1">
        <v>14</v>
      </c>
      <c r="C60" s="1" t="s">
        <v>157</v>
      </c>
      <c r="D60" s="1">
        <v>0</v>
      </c>
      <c r="E60" s="1" t="s">
        <v>218</v>
      </c>
    </row>
    <row r="61" spans="2:5" ht="12.75">
      <c r="B61" s="1">
        <v>15</v>
      </c>
      <c r="C61" s="1" t="s">
        <v>157</v>
      </c>
      <c r="D61" s="1">
        <v>0</v>
      </c>
      <c r="E61" s="1" t="s">
        <v>218</v>
      </c>
    </row>
    <row r="62" spans="2:5" ht="12.75">
      <c r="B62" s="1">
        <v>16</v>
      </c>
      <c r="C62" s="1" t="s">
        <v>157</v>
      </c>
      <c r="D62" s="1">
        <v>197.4</v>
      </c>
      <c r="E62" s="1" t="s">
        <v>218</v>
      </c>
    </row>
    <row r="63" spans="2:5" ht="12.75">
      <c r="B63" s="1">
        <v>17</v>
      </c>
      <c r="C63" s="1">
        <v>-294.638</v>
      </c>
      <c r="D63" s="1">
        <v>0</v>
      </c>
      <c r="E63" s="1" t="e">
        <v>#NAME?</v>
      </c>
    </row>
    <row r="64" spans="2:5" ht="12.75">
      <c r="B64" s="1">
        <v>18</v>
      </c>
      <c r="C64" s="1" t="s">
        <v>157</v>
      </c>
      <c r="D64" s="1">
        <v>-193.6</v>
      </c>
      <c r="E64" s="1" t="e">
        <v>#NAME?</v>
      </c>
    </row>
    <row r="65" spans="2:5" ht="12.75">
      <c r="B65" s="1">
        <v>19</v>
      </c>
      <c r="C65" s="1" t="s">
        <v>157</v>
      </c>
      <c r="D65" s="1">
        <v>-10</v>
      </c>
      <c r="E65" s="1" t="e">
        <v>#NAME?</v>
      </c>
    </row>
    <row r="66" spans="2:5" ht="12.75">
      <c r="B66" s="1">
        <v>20</v>
      </c>
      <c r="C66" s="1" t="s">
        <v>157</v>
      </c>
      <c r="D66" s="1">
        <v>0</v>
      </c>
      <c r="E66" s="1" t="e">
        <v>#NAME?</v>
      </c>
    </row>
    <row r="67" spans="2:5" ht="12.75">
      <c r="B67" s="1">
        <v>21</v>
      </c>
      <c r="C67" s="1" t="s">
        <v>157</v>
      </c>
      <c r="D67" s="1">
        <v>0</v>
      </c>
      <c r="E67" s="1" t="e">
        <v>#NAME?</v>
      </c>
    </row>
    <row r="68" spans="2:6" ht="12.75">
      <c r="B68" s="1">
        <v>22</v>
      </c>
      <c r="C68" s="1">
        <v>269.92</v>
      </c>
      <c r="D68" s="4">
        <v>-2.34E-13</v>
      </c>
      <c r="E68" s="1" t="s">
        <v>218</v>
      </c>
      <c r="F68" s="4"/>
    </row>
    <row r="69" spans="2:6" ht="12.75">
      <c r="B69" s="1">
        <v>23</v>
      </c>
      <c r="C69" s="1" t="s">
        <v>157</v>
      </c>
      <c r="D69" s="1">
        <v>0</v>
      </c>
      <c r="E69" s="1" t="s">
        <v>218</v>
      </c>
      <c r="F69" s="4"/>
    </row>
    <row r="70" spans="2:6" ht="12.75">
      <c r="B70" s="1">
        <v>24</v>
      </c>
      <c r="C70" s="1" t="s">
        <v>157</v>
      </c>
      <c r="D70" s="1">
        <v>112.57</v>
      </c>
      <c r="E70" s="1" t="s">
        <v>218</v>
      </c>
      <c r="F70" s="4"/>
    </row>
    <row r="71" spans="2:5" ht="12.75">
      <c r="B71" s="1">
        <v>25</v>
      </c>
      <c r="C71" s="1" t="s">
        <v>157</v>
      </c>
      <c r="D71" s="1">
        <v>0</v>
      </c>
      <c r="E71" s="1" t="s">
        <v>218</v>
      </c>
    </row>
    <row r="72" spans="2:5" ht="12.75">
      <c r="B72" s="1">
        <v>26</v>
      </c>
      <c r="C72" s="1" t="s">
        <v>157</v>
      </c>
      <c r="D72" s="4">
        <v>-5.86E-14</v>
      </c>
      <c r="E72" s="4" t="s">
        <v>218</v>
      </c>
    </row>
    <row r="73" spans="2:5" ht="12.75">
      <c r="B73" s="1">
        <v>27</v>
      </c>
      <c r="C73" s="1" t="s">
        <v>157</v>
      </c>
      <c r="D73" s="1">
        <v>30.43</v>
      </c>
      <c r="E73" s="4" t="s">
        <v>218</v>
      </c>
    </row>
    <row r="74" spans="2:5" ht="12.75">
      <c r="B74" s="1">
        <v>28</v>
      </c>
      <c r="C74" s="1" t="s">
        <v>157</v>
      </c>
      <c r="D74" s="1">
        <v>0</v>
      </c>
      <c r="E74" s="4" t="s">
        <v>218</v>
      </c>
    </row>
    <row r="75" spans="2:5" ht="12.75">
      <c r="B75" s="1">
        <v>29</v>
      </c>
      <c r="C75" s="1" t="s">
        <v>157</v>
      </c>
      <c r="D75" s="1">
        <v>0</v>
      </c>
      <c r="E75" s="1" t="s">
        <v>218</v>
      </c>
    </row>
    <row r="76" spans="2:6" ht="12.75">
      <c r="B76" s="1">
        <v>30</v>
      </c>
      <c r="C76" s="1" t="s">
        <v>157</v>
      </c>
      <c r="D76" s="4">
        <v>1.61E-13</v>
      </c>
      <c r="E76" s="4" t="e">
        <v>#NAME?</v>
      </c>
      <c r="F76" s="4"/>
    </row>
    <row r="77" spans="2:5" ht="12.75">
      <c r="B77" s="1">
        <v>31</v>
      </c>
      <c r="C77" s="1" t="s">
        <v>157</v>
      </c>
      <c r="D77" s="1">
        <v>0</v>
      </c>
      <c r="E77" s="4" t="e">
        <v>#NAME?</v>
      </c>
    </row>
    <row r="78" spans="2:5" ht="12.75">
      <c r="B78" s="1">
        <v>32</v>
      </c>
      <c r="C78" s="1" t="s">
        <v>157</v>
      </c>
      <c r="D78" s="1">
        <v>0</v>
      </c>
      <c r="E78" s="4" t="e">
        <v>#NAME?</v>
      </c>
    </row>
    <row r="79" spans="2:5" ht="12.75">
      <c r="B79" s="1">
        <v>33</v>
      </c>
      <c r="C79" s="1" t="s">
        <v>157</v>
      </c>
      <c r="D79" s="1">
        <v>0</v>
      </c>
      <c r="E79" s="1" t="e">
        <v>#NAME?</v>
      </c>
    </row>
    <row r="80" spans="2:5" ht="12.75">
      <c r="B80" s="1">
        <v>34</v>
      </c>
      <c r="C80" s="1" t="s">
        <v>157</v>
      </c>
      <c r="D80" s="1">
        <v>-57</v>
      </c>
      <c r="E80" s="1" t="e">
        <v>#NAME?</v>
      </c>
    </row>
    <row r="81" spans="2:5" ht="12.75">
      <c r="B81" s="1">
        <v>35</v>
      </c>
      <c r="C81" s="1" t="s">
        <v>157</v>
      </c>
      <c r="D81" s="1">
        <v>0</v>
      </c>
      <c r="E81" s="4" t="e">
        <v>#NAME?</v>
      </c>
    </row>
    <row r="82" spans="2:5" ht="12.75">
      <c r="B82" s="1">
        <v>36</v>
      </c>
      <c r="C82" s="1">
        <v>230.34</v>
      </c>
      <c r="D82" s="1">
        <v>0</v>
      </c>
      <c r="E82" s="1" t="s">
        <v>218</v>
      </c>
    </row>
    <row r="83" spans="2:5" ht="12.75">
      <c r="B83" s="1">
        <v>37</v>
      </c>
      <c r="C83" s="1" t="s">
        <v>157</v>
      </c>
      <c r="D83" s="1">
        <v>0</v>
      </c>
      <c r="E83" s="1" t="s">
        <v>218</v>
      </c>
    </row>
    <row r="84" spans="2:5" ht="12.75">
      <c r="B84" s="1">
        <v>38</v>
      </c>
      <c r="C84" s="1" t="s">
        <v>157</v>
      </c>
      <c r="D84" s="1">
        <v>173.64</v>
      </c>
      <c r="E84" s="1" t="s">
        <v>218</v>
      </c>
    </row>
    <row r="85" spans="2:5" ht="12.75">
      <c r="B85" s="1">
        <v>39</v>
      </c>
      <c r="C85" s="1" t="s">
        <v>157</v>
      </c>
      <c r="D85" s="1">
        <v>0</v>
      </c>
      <c r="E85" s="1" t="e">
        <v>#NAME?</v>
      </c>
    </row>
    <row r="86" spans="2:5" ht="12.75">
      <c r="B86" s="1">
        <v>40</v>
      </c>
      <c r="C86" s="1" t="s">
        <v>157</v>
      </c>
      <c r="D86" s="1">
        <v>-40</v>
      </c>
      <c r="E86" s="4" t="e">
        <v>#NAME?</v>
      </c>
    </row>
    <row r="87" spans="2:5" ht="12.75">
      <c r="B87" s="1">
        <v>41</v>
      </c>
      <c r="C87" s="1" t="s">
        <v>157</v>
      </c>
      <c r="D87" s="1">
        <v>0</v>
      </c>
      <c r="E87" s="1" t="e">
        <v>#NAME?</v>
      </c>
    </row>
    <row r="88" spans="2:5" ht="12.75">
      <c r="B88" s="1">
        <v>42</v>
      </c>
      <c r="C88" s="1" t="s">
        <v>157</v>
      </c>
      <c r="D88" s="1">
        <v>-133.2</v>
      </c>
      <c r="E88" s="1" t="e">
        <v>#NAME?</v>
      </c>
    </row>
    <row r="89" spans="2:5" ht="12.75">
      <c r="B89" s="1">
        <v>43</v>
      </c>
      <c r="C89" s="1">
        <v>259.5</v>
      </c>
      <c r="D89" s="1">
        <v>0</v>
      </c>
      <c r="E89" s="1" t="s">
        <v>218</v>
      </c>
    </row>
    <row r="90" spans="2:5" ht="12.75">
      <c r="B90" s="1">
        <v>44</v>
      </c>
      <c r="C90" s="1" t="s">
        <v>157</v>
      </c>
      <c r="D90" s="1">
        <v>150</v>
      </c>
      <c r="E90" s="1" t="s">
        <v>218</v>
      </c>
    </row>
    <row r="91" spans="2:5" ht="12.75">
      <c r="B91" s="1">
        <v>45</v>
      </c>
      <c r="C91" s="1" t="s">
        <v>157</v>
      </c>
      <c r="D91" s="1">
        <v>-25</v>
      </c>
      <c r="E91" s="1" t="s">
        <v>218</v>
      </c>
    </row>
    <row r="92" spans="2:5" ht="12.75">
      <c r="B92" s="1">
        <v>46</v>
      </c>
      <c r="C92" s="1" t="s">
        <v>157</v>
      </c>
      <c r="D92" s="1">
        <v>0</v>
      </c>
      <c r="E92" s="1" t="e">
        <v>#NAME?</v>
      </c>
    </row>
    <row r="93" spans="2:5" ht="12.75">
      <c r="B93" s="1">
        <v>47</v>
      </c>
      <c r="C93" s="1" t="s">
        <v>157</v>
      </c>
      <c r="D93" s="1">
        <v>-25</v>
      </c>
      <c r="E93" s="1" t="e">
        <v>#NAME?</v>
      </c>
    </row>
    <row r="94" spans="2:5" ht="12.75">
      <c r="B94" s="1">
        <v>48</v>
      </c>
      <c r="C94" s="1" t="s">
        <v>157</v>
      </c>
      <c r="D94" s="1">
        <v>0</v>
      </c>
      <c r="E94" s="1" t="e">
        <v>#NAME?</v>
      </c>
    </row>
    <row r="95" spans="2:5" ht="12.75">
      <c r="B95" s="1">
        <v>49</v>
      </c>
      <c r="C95" s="1" t="s">
        <v>157</v>
      </c>
      <c r="D95" s="1">
        <v>-25</v>
      </c>
      <c r="E95" s="1" t="e">
        <v>#NAME?</v>
      </c>
    </row>
    <row r="96" spans="2:5" ht="12.75">
      <c r="B96" s="1">
        <v>50</v>
      </c>
      <c r="C96" s="1" t="s">
        <v>157</v>
      </c>
      <c r="D96" s="1">
        <v>0</v>
      </c>
      <c r="E96" s="1" t="e">
        <v>#NAME?</v>
      </c>
    </row>
    <row r="97" spans="2:5" ht="12.75">
      <c r="B97" s="1">
        <v>51</v>
      </c>
      <c r="C97" s="1" t="s">
        <v>157</v>
      </c>
      <c r="D97" s="1">
        <v>0</v>
      </c>
      <c r="E97" s="1" t="s">
        <v>218</v>
      </c>
    </row>
    <row r="98" spans="2:5" ht="12.75">
      <c r="B98" s="1">
        <v>52</v>
      </c>
      <c r="C98" s="1" t="s">
        <v>157</v>
      </c>
      <c r="D98" s="1">
        <v>0</v>
      </c>
      <c r="E98" s="1" t="s">
        <v>218</v>
      </c>
    </row>
    <row r="99" spans="2:5" ht="12.75">
      <c r="B99" s="1">
        <v>53</v>
      </c>
      <c r="C99" s="1" t="s">
        <v>157</v>
      </c>
      <c r="D99" s="1">
        <v>0</v>
      </c>
      <c r="E99" s="1" t="s">
        <v>218</v>
      </c>
    </row>
    <row r="100" spans="2:5" ht="12.75">
      <c r="B100" s="1">
        <v>54</v>
      </c>
      <c r="C100" s="1" t="s">
        <v>157</v>
      </c>
      <c r="D100" s="1">
        <v>-25</v>
      </c>
      <c r="E100" s="1" t="s">
        <v>218</v>
      </c>
    </row>
    <row r="101" spans="2:5" ht="12.75">
      <c r="B101" s="1">
        <v>55</v>
      </c>
      <c r="C101" s="1" t="s">
        <v>157</v>
      </c>
      <c r="D101" s="1">
        <v>150</v>
      </c>
      <c r="E101" s="1" t="s">
        <v>218</v>
      </c>
    </row>
    <row r="102" spans="2:5" ht="12.75">
      <c r="B102" s="1">
        <v>56</v>
      </c>
      <c r="C102" s="1">
        <v>-260</v>
      </c>
      <c r="D102" s="1">
        <v>0</v>
      </c>
      <c r="E102" s="4" t="e">
        <v>#NAME?</v>
      </c>
    </row>
    <row r="103" spans="2:5" ht="12.75">
      <c r="B103" s="1">
        <v>57</v>
      </c>
      <c r="C103" s="1" t="s">
        <v>157</v>
      </c>
      <c r="D103" s="1">
        <v>-133.2</v>
      </c>
      <c r="E103" s="1" t="e">
        <v>#NAME?</v>
      </c>
    </row>
    <row r="104" spans="2:5" ht="12.75">
      <c r="B104" s="1">
        <v>58</v>
      </c>
      <c r="C104" s="1" t="s">
        <v>157</v>
      </c>
      <c r="D104" s="1">
        <v>0</v>
      </c>
      <c r="E104" s="1" t="e">
        <v>#NAME?</v>
      </c>
    </row>
    <row r="105" spans="2:5" ht="12.75">
      <c r="B105" s="1">
        <v>59</v>
      </c>
      <c r="C105" s="1" t="s">
        <v>157</v>
      </c>
      <c r="D105" s="1">
        <v>-40</v>
      </c>
      <c r="E105" s="1" t="e">
        <v>#NAME?</v>
      </c>
    </row>
    <row r="106" spans="2:5" ht="12.75">
      <c r="B106" s="1">
        <v>60</v>
      </c>
      <c r="C106" s="1" t="s">
        <v>157</v>
      </c>
      <c r="D106" s="1">
        <v>0</v>
      </c>
      <c r="E106" s="1" t="s">
        <v>218</v>
      </c>
    </row>
    <row r="107" spans="2:5" ht="12.75">
      <c r="B107" s="1">
        <v>61</v>
      </c>
      <c r="C107" s="1" t="s">
        <v>157</v>
      </c>
      <c r="D107" s="1">
        <v>151.98</v>
      </c>
      <c r="E107" s="1" t="s">
        <v>218</v>
      </c>
    </row>
    <row r="108" spans="2:5" ht="12.75">
      <c r="B108" s="1">
        <v>62</v>
      </c>
      <c r="C108" s="1" t="s">
        <v>157</v>
      </c>
      <c r="D108" s="1">
        <v>0</v>
      </c>
      <c r="E108" s="1" t="s">
        <v>218</v>
      </c>
    </row>
    <row r="109" spans="2:5" ht="12.75">
      <c r="B109" s="1">
        <v>63</v>
      </c>
      <c r="C109" s="1">
        <v>-196.99</v>
      </c>
      <c r="D109" s="1">
        <v>0</v>
      </c>
      <c r="E109" s="1" t="e">
        <v>#NAME?</v>
      </c>
    </row>
    <row r="110" spans="2:5" ht="12.75">
      <c r="B110" s="1">
        <v>64</v>
      </c>
      <c r="C110" s="1" t="s">
        <v>157</v>
      </c>
      <c r="D110" s="1">
        <v>0</v>
      </c>
      <c r="E110" s="1" t="e">
        <v>#NAME?</v>
      </c>
    </row>
    <row r="111" spans="2:5" ht="12.75">
      <c r="B111" s="1">
        <v>65</v>
      </c>
      <c r="C111" s="1" t="s">
        <v>157</v>
      </c>
      <c r="D111" s="1">
        <v>-60</v>
      </c>
      <c r="E111" s="1" t="e">
        <v>#NAME?</v>
      </c>
    </row>
    <row r="112" spans="2:5" ht="12.75">
      <c r="B112" s="1">
        <v>66</v>
      </c>
      <c r="C112" s="1" t="s">
        <v>157</v>
      </c>
      <c r="D112" s="1">
        <v>-32.57</v>
      </c>
      <c r="E112" s="1" t="e">
        <v>#NAME?</v>
      </c>
    </row>
    <row r="113" spans="2:5" ht="12.75">
      <c r="B113" s="1">
        <v>67</v>
      </c>
      <c r="C113" s="1" t="s">
        <v>157</v>
      </c>
      <c r="D113" s="1">
        <v>0</v>
      </c>
      <c r="E113" s="1" t="s">
        <v>218</v>
      </c>
    </row>
    <row r="114" spans="2:5" ht="12.75">
      <c r="B114" s="1">
        <v>68</v>
      </c>
      <c r="C114" s="1" t="s">
        <v>157</v>
      </c>
      <c r="D114" s="1">
        <v>65.9</v>
      </c>
      <c r="E114" s="1" t="s">
        <v>218</v>
      </c>
    </row>
    <row r="115" spans="2:7" ht="12.75">
      <c r="B115" s="1">
        <v>69</v>
      </c>
      <c r="C115" s="1">
        <v>47.2</v>
      </c>
      <c r="D115" s="1">
        <v>1</v>
      </c>
      <c r="E115" s="1" t="s">
        <v>625</v>
      </c>
      <c r="F115" s="1">
        <v>1.5555</v>
      </c>
      <c r="G115" s="4">
        <v>10000000000</v>
      </c>
    </row>
    <row r="116" spans="2:5" ht="12.75">
      <c r="B116" s="1">
        <v>70</v>
      </c>
      <c r="C116" s="1" t="s">
        <v>157</v>
      </c>
      <c r="D116" s="1">
        <v>13.1</v>
      </c>
      <c r="E116" s="1" t="s">
        <v>218</v>
      </c>
    </row>
    <row r="117" spans="2:5" ht="12.75">
      <c r="B117" s="1">
        <v>71</v>
      </c>
      <c r="C117" s="1" t="s">
        <v>157</v>
      </c>
      <c r="D117" s="1">
        <v>-13.1</v>
      </c>
      <c r="E117" s="1" t="s">
        <v>218</v>
      </c>
    </row>
    <row r="118" spans="2:7" ht="12.75">
      <c r="B118" s="1">
        <v>72</v>
      </c>
      <c r="C118" s="1" t="s">
        <v>157</v>
      </c>
      <c r="D118" s="1">
        <v>-1</v>
      </c>
      <c r="E118" s="1" t="s">
        <v>242</v>
      </c>
      <c r="F118" s="1">
        <v>1.5555</v>
      </c>
      <c r="G118" s="4">
        <v>10000000000</v>
      </c>
    </row>
    <row r="119" spans="2:5" ht="12.75">
      <c r="B119" s="1">
        <v>73</v>
      </c>
      <c r="C119" s="1">
        <v>47.2</v>
      </c>
      <c r="D119" s="1">
        <v>-65.9</v>
      </c>
      <c r="E119" s="1" t="s">
        <v>218</v>
      </c>
    </row>
    <row r="120" spans="2:5" ht="12.75">
      <c r="B120" s="1">
        <v>74</v>
      </c>
      <c r="C120" s="1" t="s">
        <v>157</v>
      </c>
      <c r="D120" s="1">
        <v>0</v>
      </c>
      <c r="E120" s="1" t="e">
        <v>#NAME?</v>
      </c>
    </row>
    <row r="121" spans="2:5" ht="12.75">
      <c r="B121" s="1">
        <v>75</v>
      </c>
      <c r="C121" s="1" t="s">
        <v>157</v>
      </c>
      <c r="D121" s="1">
        <v>32.57</v>
      </c>
      <c r="E121" s="1" t="e">
        <v>#NAME?</v>
      </c>
    </row>
    <row r="122" spans="2:5" ht="12.75">
      <c r="B122" s="1">
        <v>76</v>
      </c>
      <c r="C122" s="1" t="s">
        <v>157</v>
      </c>
      <c r="D122" s="1">
        <v>60</v>
      </c>
      <c r="E122" s="1" t="e">
        <v>#NAME?</v>
      </c>
    </row>
    <row r="123" spans="2:5" ht="12.75">
      <c r="B123" s="1">
        <v>77</v>
      </c>
      <c r="C123" s="1" t="s">
        <v>157</v>
      </c>
      <c r="D123" s="1">
        <v>0</v>
      </c>
      <c r="E123" s="1" t="e">
        <v>#NAME?</v>
      </c>
    </row>
    <row r="124" spans="2:5" ht="12.75">
      <c r="B124" s="1">
        <v>78</v>
      </c>
      <c r="C124" s="1">
        <v>-196.99</v>
      </c>
      <c r="D124" s="1">
        <v>0</v>
      </c>
      <c r="E124" s="1" t="s">
        <v>218</v>
      </c>
    </row>
    <row r="125" spans="2:5" ht="12.75">
      <c r="B125" s="1">
        <v>79</v>
      </c>
      <c r="C125" s="1" t="s">
        <v>157</v>
      </c>
      <c r="D125" s="1">
        <v>0</v>
      </c>
      <c r="E125" s="1" t="s">
        <v>218</v>
      </c>
    </row>
    <row r="126" spans="2:5" ht="12.75">
      <c r="B126" s="1">
        <v>80</v>
      </c>
      <c r="C126" s="1" t="s">
        <v>157</v>
      </c>
      <c r="D126" s="1">
        <v>-151.98</v>
      </c>
      <c r="E126" s="1" t="s">
        <v>218</v>
      </c>
    </row>
    <row r="127" spans="2:5" ht="12.75">
      <c r="B127" s="1">
        <v>81</v>
      </c>
      <c r="C127" s="1" t="s">
        <v>157</v>
      </c>
      <c r="D127" s="1">
        <v>0</v>
      </c>
      <c r="E127" s="1" t="e">
        <v>#NAME?</v>
      </c>
    </row>
    <row r="128" spans="2:5" ht="12.75">
      <c r="B128" s="1">
        <v>82</v>
      </c>
      <c r="C128" s="1" t="s">
        <v>157</v>
      </c>
      <c r="D128" s="1">
        <v>40</v>
      </c>
      <c r="E128" s="1" t="e">
        <v>#NAME?</v>
      </c>
    </row>
    <row r="129" spans="2:5" ht="12.75">
      <c r="B129" s="1">
        <v>83</v>
      </c>
      <c r="C129" s="1" t="s">
        <v>157</v>
      </c>
      <c r="D129" s="1">
        <v>133.2</v>
      </c>
      <c r="E129" s="1" t="e">
        <v>#NAME?</v>
      </c>
    </row>
    <row r="130" spans="2:9" ht="12.75">
      <c r="B130" s="1">
        <v>84</v>
      </c>
      <c r="C130" s="1">
        <v>-260</v>
      </c>
      <c r="D130" s="1">
        <v>0</v>
      </c>
      <c r="E130" s="4" t="s">
        <v>218</v>
      </c>
      <c r="I130" s="4"/>
    </row>
    <row r="131" spans="2:5" ht="12.75">
      <c r="B131" s="1">
        <v>85</v>
      </c>
      <c r="C131" s="1" t="s">
        <v>157</v>
      </c>
      <c r="D131" s="1">
        <v>-150</v>
      </c>
      <c r="E131" s="4" t="s">
        <v>218</v>
      </c>
    </row>
    <row r="132" spans="2:5" ht="12.75">
      <c r="B132" s="1">
        <v>86</v>
      </c>
      <c r="C132" s="1" t="s">
        <v>157</v>
      </c>
      <c r="D132" s="1">
        <v>25</v>
      </c>
      <c r="E132" s="1" t="s">
        <v>218</v>
      </c>
    </row>
    <row r="133" spans="2:5" ht="12.75">
      <c r="B133" s="1">
        <v>87</v>
      </c>
      <c r="C133" s="1" t="s">
        <v>157</v>
      </c>
      <c r="D133" s="1">
        <v>0</v>
      </c>
      <c r="E133" s="1" t="e">
        <v>#NAME?</v>
      </c>
    </row>
    <row r="134" spans="2:5" ht="12.75">
      <c r="B134" s="1">
        <v>88</v>
      </c>
      <c r="C134" s="1" t="s">
        <v>157</v>
      </c>
      <c r="D134" s="1">
        <v>25</v>
      </c>
      <c r="E134" s="1" t="e">
        <v>#NAME?</v>
      </c>
    </row>
    <row r="135" spans="2:5" ht="12.75">
      <c r="B135" s="1">
        <v>89</v>
      </c>
      <c r="C135" s="1" t="s">
        <v>157</v>
      </c>
      <c r="D135" s="1">
        <v>25</v>
      </c>
      <c r="E135" s="1" t="e">
        <v>#NAME?</v>
      </c>
    </row>
    <row r="136" spans="2:5" ht="12.75">
      <c r="B136" s="1">
        <v>90</v>
      </c>
      <c r="C136" s="1" t="s">
        <v>157</v>
      </c>
      <c r="D136" s="1">
        <v>0</v>
      </c>
      <c r="E136" s="1" t="s">
        <v>218</v>
      </c>
    </row>
    <row r="137" spans="2:5" ht="12.75">
      <c r="B137" s="1">
        <v>91</v>
      </c>
      <c r="C137" s="1" t="s">
        <v>157</v>
      </c>
      <c r="D137" s="1">
        <v>25</v>
      </c>
      <c r="E137" s="1" t="s">
        <v>218</v>
      </c>
    </row>
    <row r="138" spans="2:5" ht="12.75">
      <c r="B138" s="1">
        <v>92</v>
      </c>
      <c r="C138" s="1" t="s">
        <v>157</v>
      </c>
      <c r="D138" s="1">
        <v>-150</v>
      </c>
      <c r="E138" s="1" t="s">
        <v>218</v>
      </c>
    </row>
    <row r="139" spans="2:5" ht="12.75">
      <c r="B139" s="1">
        <v>93</v>
      </c>
      <c r="C139" s="1">
        <v>259.5</v>
      </c>
      <c r="D139" s="1">
        <v>0</v>
      </c>
      <c r="E139" s="1" t="e">
        <v>#NAME?</v>
      </c>
    </row>
    <row r="140" spans="2:5" ht="12.75">
      <c r="B140" s="1">
        <v>94</v>
      </c>
      <c r="C140" s="1" t="s">
        <v>157</v>
      </c>
      <c r="D140" s="1">
        <v>133.2</v>
      </c>
      <c r="E140" s="1" t="e">
        <v>#NAME?</v>
      </c>
    </row>
    <row r="141" spans="2:5" ht="12.75">
      <c r="B141" s="1">
        <v>95</v>
      </c>
      <c r="C141" s="1" t="s">
        <v>157</v>
      </c>
      <c r="D141" s="1">
        <v>40</v>
      </c>
      <c r="E141" s="1" t="e">
        <v>#NAME?</v>
      </c>
    </row>
    <row r="142" spans="2:5" ht="12.75">
      <c r="B142" s="1">
        <v>96</v>
      </c>
      <c r="C142" s="1" t="s">
        <v>157</v>
      </c>
      <c r="D142" s="1">
        <v>173.64</v>
      </c>
      <c r="E142" s="1" t="e">
        <v>#NAME?</v>
      </c>
    </row>
    <row r="143" spans="2:5" ht="12.75">
      <c r="B143" s="1">
        <v>97</v>
      </c>
      <c r="C143" s="1" t="s">
        <v>157</v>
      </c>
      <c r="D143" s="1">
        <v>0</v>
      </c>
      <c r="E143" s="1" t="e">
        <v>#NAME?</v>
      </c>
    </row>
    <row r="144" spans="2:5" ht="12.75">
      <c r="B144" s="1">
        <v>98</v>
      </c>
      <c r="C144" s="1">
        <v>-230.34</v>
      </c>
      <c r="D144" s="1">
        <v>0</v>
      </c>
      <c r="E144" s="1" t="s">
        <v>218</v>
      </c>
    </row>
    <row r="145" spans="2:5" ht="12.75">
      <c r="B145" s="1">
        <v>99</v>
      </c>
      <c r="C145" s="1" t="s">
        <v>157</v>
      </c>
      <c r="D145" s="1">
        <v>0</v>
      </c>
      <c r="E145" s="1" t="s">
        <v>218</v>
      </c>
    </row>
    <row r="146" spans="2:5" ht="12.75">
      <c r="B146" s="1">
        <v>100</v>
      </c>
      <c r="C146" s="1" t="s">
        <v>157</v>
      </c>
      <c r="D146" s="1">
        <v>-57</v>
      </c>
      <c r="E146" s="1" t="s">
        <v>218</v>
      </c>
    </row>
    <row r="147" spans="2:5" ht="12.75">
      <c r="B147" s="1">
        <v>101</v>
      </c>
      <c r="C147" s="1" t="s">
        <v>157</v>
      </c>
      <c r="D147" s="1">
        <v>-30.43</v>
      </c>
      <c r="E147" s="1" t="s">
        <v>218</v>
      </c>
    </row>
    <row r="148" spans="2:5" ht="12.75">
      <c r="B148" s="1">
        <v>102</v>
      </c>
      <c r="C148" s="1" t="s">
        <v>157</v>
      </c>
      <c r="D148" s="1">
        <v>30.43</v>
      </c>
      <c r="E148" s="1" t="s">
        <v>218</v>
      </c>
    </row>
    <row r="149" spans="2:5" ht="12.75">
      <c r="B149" s="1">
        <v>103</v>
      </c>
      <c r="C149" s="1" t="s">
        <v>157</v>
      </c>
      <c r="D149" s="1">
        <v>57</v>
      </c>
      <c r="E149" s="1" t="s">
        <v>218</v>
      </c>
    </row>
    <row r="150" spans="2:5" ht="12.75">
      <c r="B150" s="1">
        <v>104</v>
      </c>
      <c r="C150" s="1" t="s">
        <v>157</v>
      </c>
      <c r="D150" s="1">
        <v>0</v>
      </c>
      <c r="E150" s="1" t="s">
        <v>218</v>
      </c>
    </row>
    <row r="151" spans="2:5" ht="12.75">
      <c r="B151" s="1">
        <v>105</v>
      </c>
      <c r="C151" s="1">
        <v>-230.34</v>
      </c>
      <c r="D151" s="1">
        <v>0</v>
      </c>
      <c r="E151" s="1" t="e">
        <v>#NAME?</v>
      </c>
    </row>
    <row r="152" spans="2:5" ht="12.75">
      <c r="B152" s="1">
        <v>106</v>
      </c>
      <c r="C152" s="1" t="s">
        <v>157</v>
      </c>
      <c r="D152" s="1">
        <v>0</v>
      </c>
      <c r="E152" s="1" t="e">
        <v>#NAME?</v>
      </c>
    </row>
    <row r="153" spans="2:5" ht="12.75">
      <c r="B153" s="1">
        <v>107</v>
      </c>
      <c r="C153" s="1" t="s">
        <v>157</v>
      </c>
      <c r="D153" s="1">
        <v>-173.64</v>
      </c>
      <c r="E153" s="1" t="e">
        <v>#NAME?</v>
      </c>
    </row>
    <row r="154" spans="2:5" ht="12.75">
      <c r="B154" s="1">
        <v>108</v>
      </c>
      <c r="C154" s="1" t="s">
        <v>157</v>
      </c>
      <c r="D154" s="1">
        <v>0</v>
      </c>
      <c r="E154" s="1" t="s">
        <v>218</v>
      </c>
    </row>
    <row r="155" spans="2:5" ht="12.75">
      <c r="B155" s="1">
        <v>109</v>
      </c>
      <c r="C155" s="1" t="s">
        <v>157</v>
      </c>
      <c r="D155" s="1">
        <v>40</v>
      </c>
      <c r="E155" s="1" t="s">
        <v>218</v>
      </c>
    </row>
    <row r="156" spans="2:5" ht="12.75">
      <c r="B156" s="1">
        <v>110</v>
      </c>
      <c r="C156" s="1" t="s">
        <v>157</v>
      </c>
      <c r="D156" s="1">
        <v>133.2</v>
      </c>
      <c r="E156" s="1" t="s">
        <v>218</v>
      </c>
    </row>
    <row r="157" spans="2:5" ht="12.75">
      <c r="B157" s="1">
        <v>111</v>
      </c>
      <c r="C157" s="1">
        <v>-259.5</v>
      </c>
      <c r="D157" s="1">
        <v>0</v>
      </c>
      <c r="E157" s="1" t="e">
        <v>#NAME?</v>
      </c>
    </row>
    <row r="158" spans="2:5" ht="12.75">
      <c r="B158" s="1">
        <v>112</v>
      </c>
      <c r="C158" s="1" t="s">
        <v>157</v>
      </c>
      <c r="D158" s="1">
        <v>-150</v>
      </c>
      <c r="E158" s="1" t="e">
        <v>#NAME?</v>
      </c>
    </row>
    <row r="159" spans="2:5" ht="12.75">
      <c r="B159" s="1">
        <v>113</v>
      </c>
      <c r="C159" s="1" t="s">
        <v>157</v>
      </c>
      <c r="D159" s="1">
        <v>25</v>
      </c>
      <c r="E159" s="1" t="e">
        <v>#NAME?</v>
      </c>
    </row>
    <row r="160" spans="2:5" ht="12.75">
      <c r="B160" s="1">
        <v>114</v>
      </c>
      <c r="C160" s="1" t="s">
        <v>157</v>
      </c>
      <c r="D160" s="1">
        <v>0</v>
      </c>
      <c r="E160" s="1" t="s">
        <v>218</v>
      </c>
    </row>
    <row r="161" spans="2:5" ht="12.75">
      <c r="B161" s="1">
        <v>115</v>
      </c>
      <c r="C161" s="1" t="s">
        <v>157</v>
      </c>
      <c r="D161" s="1">
        <v>25</v>
      </c>
      <c r="E161" s="1" t="s">
        <v>218</v>
      </c>
    </row>
    <row r="162" spans="2:5" ht="12.75">
      <c r="B162" s="1">
        <v>116</v>
      </c>
      <c r="C162" s="1" t="s">
        <v>157</v>
      </c>
      <c r="D162" s="1">
        <v>0</v>
      </c>
      <c r="E162" s="1" t="s">
        <v>218</v>
      </c>
    </row>
    <row r="163" spans="2:5" ht="12.75">
      <c r="B163" s="1">
        <v>117</v>
      </c>
      <c r="C163" s="1" t="s">
        <v>157</v>
      </c>
      <c r="D163" s="1">
        <v>25</v>
      </c>
      <c r="E163" s="1" t="s">
        <v>218</v>
      </c>
    </row>
    <row r="164" spans="2:5" ht="12.75">
      <c r="B164" s="1">
        <v>118</v>
      </c>
      <c r="C164" s="1" t="s">
        <v>157</v>
      </c>
      <c r="D164" s="1">
        <v>0</v>
      </c>
      <c r="E164" s="1" t="s">
        <v>218</v>
      </c>
    </row>
    <row r="165" spans="2:5" ht="12.75">
      <c r="B165" s="1">
        <v>119</v>
      </c>
      <c r="C165" s="1" t="s">
        <v>157</v>
      </c>
      <c r="D165" s="1">
        <v>0</v>
      </c>
      <c r="E165" s="1" t="e">
        <v>#NAME?</v>
      </c>
    </row>
    <row r="166" spans="2:5" ht="12.75">
      <c r="B166" s="1">
        <v>120</v>
      </c>
      <c r="C166" s="1" t="s">
        <v>157</v>
      </c>
      <c r="D166" s="1">
        <v>0</v>
      </c>
      <c r="E166" s="1" t="e">
        <v>#NAME?</v>
      </c>
    </row>
    <row r="167" spans="2:5" ht="12.75">
      <c r="B167" s="1">
        <v>121</v>
      </c>
      <c r="C167" s="1" t="s">
        <v>157</v>
      </c>
      <c r="D167" s="1">
        <v>0</v>
      </c>
      <c r="E167" s="1" t="e">
        <v>#NAME?</v>
      </c>
    </row>
    <row r="168" spans="2:5" ht="12.75">
      <c r="B168" s="1">
        <v>122</v>
      </c>
      <c r="C168" s="1" t="s">
        <v>157</v>
      </c>
      <c r="D168" s="1">
        <v>25</v>
      </c>
      <c r="E168" s="1" t="e">
        <v>#NAME?</v>
      </c>
    </row>
    <row r="169" spans="2:5" ht="12.75">
      <c r="B169" s="1">
        <v>123</v>
      </c>
      <c r="C169" s="1" t="s">
        <v>157</v>
      </c>
      <c r="D169" s="1">
        <v>-150</v>
      </c>
      <c r="E169" s="1" t="e">
        <v>#NAME?</v>
      </c>
    </row>
    <row r="170" spans="2:5" ht="12.75">
      <c r="B170" s="1">
        <v>124</v>
      </c>
      <c r="C170" s="1">
        <v>260</v>
      </c>
      <c r="D170" s="1">
        <v>0</v>
      </c>
      <c r="E170" s="1" t="s">
        <v>218</v>
      </c>
    </row>
    <row r="171" spans="2:5" ht="12.75">
      <c r="B171" s="1">
        <v>125</v>
      </c>
      <c r="C171" s="1" t="s">
        <v>157</v>
      </c>
      <c r="D171" s="1">
        <v>133.2</v>
      </c>
      <c r="E171" s="1" t="s">
        <v>218</v>
      </c>
    </row>
    <row r="172" spans="2:5" ht="12.75">
      <c r="B172" s="1">
        <v>126</v>
      </c>
      <c r="C172" s="1" t="s">
        <v>157</v>
      </c>
      <c r="D172" s="1">
        <v>0</v>
      </c>
      <c r="E172" s="1" t="e">
        <v>#NAME?</v>
      </c>
    </row>
    <row r="173" spans="2:5" ht="12.75">
      <c r="B173" s="1">
        <v>127</v>
      </c>
      <c r="C173" s="1" t="s">
        <v>157</v>
      </c>
      <c r="D173" s="1">
        <v>40</v>
      </c>
      <c r="E173" s="1" t="s">
        <v>218</v>
      </c>
    </row>
    <row r="174" spans="2:5" ht="12.75">
      <c r="B174" s="1">
        <v>128</v>
      </c>
      <c r="C174" s="1" t="s">
        <v>157</v>
      </c>
      <c r="D174" s="1">
        <v>0</v>
      </c>
      <c r="E174" s="1" t="e">
        <v>#NAME?</v>
      </c>
    </row>
    <row r="175" spans="2:5" ht="12.75">
      <c r="B175" s="1">
        <v>129</v>
      </c>
      <c r="C175" s="1" t="s">
        <v>157</v>
      </c>
      <c r="D175" s="1">
        <v>-151.98</v>
      </c>
      <c r="E175" s="1" t="e">
        <v>#NAME?</v>
      </c>
    </row>
    <row r="176" spans="2:5" ht="12.75">
      <c r="B176" s="1">
        <v>130</v>
      </c>
      <c r="C176" s="1" t="s">
        <v>157</v>
      </c>
      <c r="D176" s="1">
        <v>0</v>
      </c>
      <c r="E176" s="1" t="e">
        <v>#NAME?</v>
      </c>
    </row>
    <row r="177" spans="2:5" ht="12.75">
      <c r="B177" s="1">
        <v>131</v>
      </c>
      <c r="C177" s="1">
        <v>196.99</v>
      </c>
      <c r="D177" s="1">
        <v>0</v>
      </c>
      <c r="E177" s="1" t="s">
        <v>218</v>
      </c>
    </row>
    <row r="178" spans="2:9" ht="12.75">
      <c r="B178" s="1">
        <v>132</v>
      </c>
      <c r="C178" s="1" t="s">
        <v>157</v>
      </c>
      <c r="D178" s="1">
        <v>0</v>
      </c>
      <c r="E178" s="4" t="s">
        <v>218</v>
      </c>
      <c r="I178" s="4"/>
    </row>
    <row r="179" spans="2:5" ht="12.75">
      <c r="B179" s="1">
        <v>133</v>
      </c>
      <c r="C179" s="1" t="s">
        <v>157</v>
      </c>
      <c r="D179" s="1">
        <v>0</v>
      </c>
      <c r="E179" s="1" t="s">
        <v>218</v>
      </c>
    </row>
    <row r="180" spans="2:5" ht="12.75">
      <c r="B180" s="1">
        <v>134</v>
      </c>
      <c r="C180" s="1" t="s">
        <v>157</v>
      </c>
      <c r="D180" s="1">
        <v>60</v>
      </c>
      <c r="E180" s="1" t="s">
        <v>218</v>
      </c>
    </row>
    <row r="181" spans="2:5" ht="12.75">
      <c r="B181" s="1">
        <v>135</v>
      </c>
      <c r="C181" s="1" t="s">
        <v>157</v>
      </c>
      <c r="D181" s="1">
        <v>32.57</v>
      </c>
      <c r="E181" s="1" t="s">
        <v>218</v>
      </c>
    </row>
    <row r="182" spans="2:5" ht="12.75">
      <c r="B182" s="1">
        <v>136</v>
      </c>
      <c r="C182" s="1" t="s">
        <v>157</v>
      </c>
      <c r="D182" s="1">
        <v>0</v>
      </c>
      <c r="E182" s="1" t="e">
        <v>#NAME?</v>
      </c>
    </row>
    <row r="183" spans="2:5" ht="12.75">
      <c r="B183" s="1">
        <v>137</v>
      </c>
      <c r="C183" s="1" t="s">
        <v>157</v>
      </c>
      <c r="D183" s="1">
        <v>-76.1</v>
      </c>
      <c r="E183" s="1" t="e">
        <v>#NAME?</v>
      </c>
    </row>
    <row r="184" spans="2:7" ht="12.75">
      <c r="B184" s="1">
        <v>138</v>
      </c>
      <c r="C184" s="1">
        <v>-53.2</v>
      </c>
      <c r="D184" s="1">
        <v>-1</v>
      </c>
      <c r="E184" s="1" t="e">
        <v>#NAME?</v>
      </c>
      <c r="F184" s="1">
        <v>-1.5555</v>
      </c>
      <c r="G184" s="4">
        <v>10000000000</v>
      </c>
    </row>
    <row r="185" spans="2:5" ht="12.75">
      <c r="B185" s="1">
        <v>139</v>
      </c>
      <c r="C185" s="1" t="s">
        <v>157</v>
      </c>
      <c r="D185" s="1">
        <v>-2.9</v>
      </c>
      <c r="E185" s="1" t="e">
        <v>#NAME?</v>
      </c>
    </row>
    <row r="186" spans="2:3" ht="12.75">
      <c r="B186" s="1" t="s">
        <v>221</v>
      </c>
      <c r="C186" s="1" t="s">
        <v>157</v>
      </c>
    </row>
    <row r="188" spans="2:4" ht="12.75">
      <c r="B188" s="1" t="s">
        <v>222</v>
      </c>
      <c r="C188" s="1" t="s">
        <v>223</v>
      </c>
      <c r="D188" s="1" t="s">
        <v>224</v>
      </c>
    </row>
    <row r="189" ht="12.75">
      <c r="B189" s="1" t="s">
        <v>225</v>
      </c>
    </row>
    <row r="190" spans="2:11" ht="12.75">
      <c r="B190" s="1" t="s">
        <v>226</v>
      </c>
      <c r="C190" s="1" t="s">
        <v>50</v>
      </c>
      <c r="D190" s="1" t="s">
        <v>227</v>
      </c>
      <c r="E190" s="1" t="s">
        <v>228</v>
      </c>
      <c r="F190" s="1" t="s">
        <v>209</v>
      </c>
      <c r="G190" s="1" t="s">
        <v>229</v>
      </c>
      <c r="H190" s="1" t="s">
        <v>230</v>
      </c>
      <c r="I190" s="1" t="s">
        <v>231</v>
      </c>
      <c r="J190" s="1" t="s">
        <v>202</v>
      </c>
      <c r="K190" s="1" t="s">
        <v>50</v>
      </c>
    </row>
    <row r="191" spans="2:13" ht="12.75">
      <c r="B191" s="1" t="s">
        <v>232</v>
      </c>
      <c r="C191" s="1" t="s">
        <v>50</v>
      </c>
      <c r="D191" s="1" t="s">
        <v>233</v>
      </c>
      <c r="E191" s="1" t="s">
        <v>46</v>
      </c>
      <c r="F191" s="1" t="s">
        <v>41</v>
      </c>
      <c r="G191" s="1" t="s">
        <v>234</v>
      </c>
      <c r="H191" s="1" t="s">
        <v>235</v>
      </c>
      <c r="I191" s="1" t="s">
        <v>50</v>
      </c>
      <c r="J191" s="1" t="s">
        <v>233</v>
      </c>
      <c r="K191" s="1" t="s">
        <v>46</v>
      </c>
      <c r="L191" s="1" t="s">
        <v>236</v>
      </c>
      <c r="M191" s="1" t="s">
        <v>234</v>
      </c>
    </row>
    <row r="192" spans="2:11" ht="12.75">
      <c r="B192" s="1" t="s">
        <v>219</v>
      </c>
      <c r="C192" s="1" t="s">
        <v>237</v>
      </c>
      <c r="D192" s="1" t="s">
        <v>50</v>
      </c>
      <c r="E192" s="1" t="s">
        <v>238</v>
      </c>
      <c r="F192" s="1" t="s">
        <v>239</v>
      </c>
      <c r="G192" s="1" t="s">
        <v>240</v>
      </c>
      <c r="H192" s="1" t="s">
        <v>233</v>
      </c>
      <c r="I192" s="1" t="s">
        <v>241</v>
      </c>
      <c r="J192" s="1" t="s">
        <v>223</v>
      </c>
      <c r="K192" s="1" t="s">
        <v>242</v>
      </c>
    </row>
    <row r="193" spans="2:7" ht="12.75">
      <c r="B193" s="1" t="s">
        <v>243</v>
      </c>
      <c r="C193" s="1" t="s">
        <v>240</v>
      </c>
      <c r="D193" s="1" t="s">
        <v>233</v>
      </c>
      <c r="E193" s="1" t="s">
        <v>241</v>
      </c>
      <c r="F193" s="1" t="s">
        <v>223</v>
      </c>
      <c r="G193" s="1" t="s">
        <v>244</v>
      </c>
    </row>
    <row r="195" spans="2:4" ht="12.75">
      <c r="B195" s="1" t="s">
        <v>237</v>
      </c>
      <c r="C195" s="1" t="s">
        <v>50</v>
      </c>
      <c r="D195" s="1" t="s">
        <v>45</v>
      </c>
    </row>
    <row r="196" ht="12.75">
      <c r="B196" s="1" t="s">
        <v>154</v>
      </c>
    </row>
    <row r="197" spans="2:7" ht="12.75">
      <c r="B197" s="1" t="s">
        <v>50</v>
      </c>
      <c r="C197" s="1" t="s">
        <v>51</v>
      </c>
      <c r="D197" s="1">
        <v>6</v>
      </c>
      <c r="E197" s="1" t="s">
        <v>245</v>
      </c>
      <c r="F197" s="1" t="s">
        <v>246</v>
      </c>
      <c r="G197" s="1" t="s">
        <v>50</v>
      </c>
    </row>
    <row r="198" spans="2:5" ht="12.75">
      <c r="B198" s="1" t="s">
        <v>246</v>
      </c>
      <c r="C198" s="1" t="s">
        <v>247</v>
      </c>
      <c r="D198" s="1" t="s">
        <v>248</v>
      </c>
      <c r="E198" s="1">
        <v>-1</v>
      </c>
    </row>
    <row r="199" spans="2:9" ht="12.75">
      <c r="B199" s="1" t="s">
        <v>249</v>
      </c>
      <c r="C199" s="1" t="s">
        <v>250</v>
      </c>
      <c r="D199" s="1" t="s">
        <v>251</v>
      </c>
      <c r="E199" s="4">
        <v>-35000000000000</v>
      </c>
      <c r="F199" s="1" t="s">
        <v>252</v>
      </c>
      <c r="G199" s="1" t="s">
        <v>250</v>
      </c>
      <c r="H199" s="1" t="s">
        <v>253</v>
      </c>
      <c r="I199" s="4">
        <v>350000000</v>
      </c>
    </row>
    <row r="201" ht="12.75">
      <c r="B201" s="1" t="s">
        <v>254</v>
      </c>
    </row>
    <row r="202" spans="2:7" ht="12.75">
      <c r="B202" s="1" t="s">
        <v>50</v>
      </c>
      <c r="C202" s="1" t="s">
        <v>51</v>
      </c>
      <c r="D202" s="1">
        <v>7</v>
      </c>
      <c r="E202" s="1" t="s">
        <v>245</v>
      </c>
      <c r="F202" s="1" t="s">
        <v>246</v>
      </c>
      <c r="G202" s="1" t="s">
        <v>50</v>
      </c>
    </row>
    <row r="203" spans="2:5" ht="12.75">
      <c r="B203" s="1" t="s">
        <v>246</v>
      </c>
      <c r="C203" s="1" t="s">
        <v>247</v>
      </c>
      <c r="D203" s="1" t="s">
        <v>248</v>
      </c>
      <c r="E203" s="1">
        <v>-1.279</v>
      </c>
    </row>
    <row r="204" spans="2:9" ht="12.75">
      <c r="B204" s="1" t="s">
        <v>249</v>
      </c>
      <c r="C204" s="1" t="s">
        <v>250</v>
      </c>
      <c r="D204" s="1" t="s">
        <v>251</v>
      </c>
      <c r="E204" s="1">
        <v>1237.275986</v>
      </c>
      <c r="F204" s="1" t="s">
        <v>252</v>
      </c>
      <c r="G204" s="1" t="s">
        <v>250</v>
      </c>
      <c r="H204" s="1" t="s">
        <v>253</v>
      </c>
      <c r="I204" s="1">
        <v>-653.534751</v>
      </c>
    </row>
    <row r="206" ht="12.75">
      <c r="B206" s="1" t="s">
        <v>254</v>
      </c>
    </row>
    <row r="207" spans="2:9" ht="12.75">
      <c r="B207" s="1" t="s">
        <v>50</v>
      </c>
      <c r="C207" s="1" t="s">
        <v>51</v>
      </c>
      <c r="D207" s="1">
        <v>11</v>
      </c>
      <c r="E207" s="4" t="s">
        <v>245</v>
      </c>
      <c r="F207" s="1" t="s">
        <v>246</v>
      </c>
      <c r="G207" s="1" t="s">
        <v>50</v>
      </c>
      <c r="I207" s="4"/>
    </row>
    <row r="208" spans="2:5" ht="12.75">
      <c r="B208" s="1" t="s">
        <v>246</v>
      </c>
      <c r="C208" s="1" t="s">
        <v>247</v>
      </c>
      <c r="D208" s="1" t="s">
        <v>248</v>
      </c>
      <c r="E208" s="1">
        <v>-0.5095</v>
      </c>
    </row>
    <row r="209" spans="2:9" ht="12.75">
      <c r="B209" s="1" t="s">
        <v>249</v>
      </c>
      <c r="C209" s="1" t="s">
        <v>250</v>
      </c>
      <c r="D209" s="1" t="s">
        <v>251</v>
      </c>
      <c r="E209" s="1">
        <v>-746.101937</v>
      </c>
      <c r="F209" s="1" t="s">
        <v>252</v>
      </c>
      <c r="G209" s="1" t="s">
        <v>250</v>
      </c>
      <c r="H209" s="1" t="s">
        <v>253</v>
      </c>
      <c r="I209" s="1">
        <v>522.537753</v>
      </c>
    </row>
    <row r="211" ht="12.75">
      <c r="B211" s="1" t="s">
        <v>254</v>
      </c>
    </row>
    <row r="212" spans="2:7" ht="12.75">
      <c r="B212" s="1" t="s">
        <v>50</v>
      </c>
      <c r="C212" s="1" t="s">
        <v>51</v>
      </c>
      <c r="D212" s="1">
        <v>17</v>
      </c>
      <c r="E212" s="1" t="s">
        <v>245</v>
      </c>
      <c r="F212" s="1" t="s">
        <v>255</v>
      </c>
      <c r="G212" s="1" t="s">
        <v>50</v>
      </c>
    </row>
    <row r="213" spans="2:3" ht="12.75">
      <c r="B213" s="1" t="s">
        <v>256</v>
      </c>
      <c r="C213" s="1">
        <v>-278.418</v>
      </c>
    </row>
    <row r="215" ht="12.75">
      <c r="B215" s="1" t="s">
        <v>254</v>
      </c>
    </row>
    <row r="216" spans="2:7" ht="12.75">
      <c r="B216" s="1" t="s">
        <v>50</v>
      </c>
      <c r="C216" s="1" t="s">
        <v>51</v>
      </c>
      <c r="D216" s="1">
        <v>22</v>
      </c>
      <c r="E216" s="1" t="s">
        <v>245</v>
      </c>
      <c r="F216" s="1" t="s">
        <v>255</v>
      </c>
      <c r="G216" s="1" t="s">
        <v>50</v>
      </c>
    </row>
    <row r="217" spans="2:3" ht="12.75">
      <c r="B217" s="1" t="s">
        <v>256</v>
      </c>
      <c r="C217" s="1">
        <v>523.79</v>
      </c>
    </row>
    <row r="219" ht="12.75">
      <c r="B219" s="1" t="s">
        <v>254</v>
      </c>
    </row>
    <row r="220" spans="2:7" ht="12.75">
      <c r="B220" s="1" t="s">
        <v>50</v>
      </c>
      <c r="C220" s="1" t="s">
        <v>51</v>
      </c>
      <c r="D220" s="1">
        <v>36</v>
      </c>
      <c r="E220" s="1" t="s">
        <v>245</v>
      </c>
      <c r="F220" s="1" t="s">
        <v>255</v>
      </c>
      <c r="G220" s="1" t="s">
        <v>50</v>
      </c>
    </row>
    <row r="221" spans="2:3" ht="12.75">
      <c r="B221" s="1" t="s">
        <v>256</v>
      </c>
      <c r="C221" s="1">
        <v>202</v>
      </c>
    </row>
    <row r="223" ht="12.75">
      <c r="B223" s="1" t="s">
        <v>254</v>
      </c>
    </row>
    <row r="224" spans="2:7" ht="12.75">
      <c r="B224" s="1" t="s">
        <v>50</v>
      </c>
      <c r="C224" s="1" t="s">
        <v>51</v>
      </c>
      <c r="D224" s="1">
        <v>63</v>
      </c>
      <c r="E224" s="1" t="s">
        <v>245</v>
      </c>
      <c r="F224" s="1" t="s">
        <v>255</v>
      </c>
      <c r="G224" s="1" t="s">
        <v>50</v>
      </c>
    </row>
    <row r="225" spans="2:3" ht="12.75">
      <c r="B225" s="1" t="s">
        <v>256</v>
      </c>
      <c r="C225" s="1">
        <v>-169.84</v>
      </c>
    </row>
    <row r="227" ht="12.75">
      <c r="B227" s="1" t="s">
        <v>254</v>
      </c>
    </row>
    <row r="228" spans="2:7" ht="12.75">
      <c r="B228" s="1" t="s">
        <v>50</v>
      </c>
      <c r="C228" s="1" t="s">
        <v>51</v>
      </c>
      <c r="D228" s="1">
        <v>78</v>
      </c>
      <c r="E228" s="1" t="s">
        <v>245</v>
      </c>
      <c r="F228" s="1" t="s">
        <v>255</v>
      </c>
      <c r="G228" s="1" t="s">
        <v>50</v>
      </c>
    </row>
    <row r="229" spans="2:3" ht="12.75">
      <c r="B229" s="1" t="s">
        <v>256</v>
      </c>
      <c r="C229" s="1">
        <v>-169.84</v>
      </c>
    </row>
    <row r="231" ht="12.75">
      <c r="B231" s="1" t="s">
        <v>254</v>
      </c>
    </row>
    <row r="232" spans="2:7" ht="12.75">
      <c r="B232" s="1" t="s">
        <v>50</v>
      </c>
      <c r="C232" s="1" t="s">
        <v>51</v>
      </c>
      <c r="D232" s="1">
        <v>98</v>
      </c>
      <c r="E232" s="1" t="s">
        <v>245</v>
      </c>
      <c r="F232" s="1" t="s">
        <v>255</v>
      </c>
      <c r="G232" s="1" t="s">
        <v>50</v>
      </c>
    </row>
    <row r="233" spans="2:3" ht="12.75">
      <c r="B233" s="1" t="s">
        <v>256</v>
      </c>
      <c r="C233" s="1">
        <v>-202</v>
      </c>
    </row>
    <row r="235" ht="12.75">
      <c r="B235" s="1" t="s">
        <v>254</v>
      </c>
    </row>
    <row r="236" spans="2:7" ht="12.75">
      <c r="B236" s="1" t="s">
        <v>50</v>
      </c>
      <c r="C236" s="1" t="s">
        <v>51</v>
      </c>
      <c r="D236" s="1">
        <v>105</v>
      </c>
      <c r="E236" s="1" t="s">
        <v>245</v>
      </c>
      <c r="F236" s="1" t="s">
        <v>255</v>
      </c>
      <c r="G236" s="1" t="s">
        <v>50</v>
      </c>
    </row>
    <row r="237" spans="2:3" ht="12.75">
      <c r="B237" s="1" t="s">
        <v>256</v>
      </c>
      <c r="C237" s="1">
        <v>-202</v>
      </c>
    </row>
    <row r="239" ht="12.75">
      <c r="B239" s="1" t="s">
        <v>254</v>
      </c>
    </row>
    <row r="240" spans="2:7" ht="12.75">
      <c r="B240" s="1" t="s">
        <v>50</v>
      </c>
      <c r="C240" s="1" t="s">
        <v>51</v>
      </c>
      <c r="D240" s="1">
        <v>131</v>
      </c>
      <c r="E240" s="1" t="s">
        <v>245</v>
      </c>
      <c r="F240" s="1" t="s">
        <v>255</v>
      </c>
      <c r="G240" s="1" t="s">
        <v>50</v>
      </c>
    </row>
    <row r="241" spans="2:3" ht="12.75">
      <c r="B241" s="1" t="s">
        <v>256</v>
      </c>
      <c r="C241" s="1">
        <v>169.84</v>
      </c>
    </row>
    <row r="244" spans="2:5" ht="12.75">
      <c r="B244" s="1" t="s">
        <v>257</v>
      </c>
      <c r="C244" s="1" t="s">
        <v>209</v>
      </c>
      <c r="D244" s="1" t="s">
        <v>258</v>
      </c>
      <c r="E244" s="4" t="s">
        <v>45</v>
      </c>
    </row>
    <row r="245" spans="2:5" ht="12.75">
      <c r="B245" s="1" t="s">
        <v>259</v>
      </c>
      <c r="C245" s="1" t="s">
        <v>234</v>
      </c>
      <c r="E245" s="4"/>
    </row>
    <row r="246" spans="2:5" ht="12.75">
      <c r="B246" s="1" t="s">
        <v>260</v>
      </c>
      <c r="E246" s="4"/>
    </row>
    <row r="247" spans="2:9" ht="12.75">
      <c r="B247" s="1" t="s">
        <v>39</v>
      </c>
      <c r="C247" s="1" t="s">
        <v>238</v>
      </c>
      <c r="D247" s="1" t="s">
        <v>14</v>
      </c>
      <c r="E247" s="1" t="s">
        <v>69</v>
      </c>
      <c r="F247" s="1" t="s">
        <v>70</v>
      </c>
      <c r="G247" s="1" t="s">
        <v>261</v>
      </c>
      <c r="H247" s="1" t="s">
        <v>262</v>
      </c>
      <c r="I247" s="1" t="s">
        <v>263</v>
      </c>
    </row>
    <row r="248" ht="12.75">
      <c r="B248" s="1" t="s">
        <v>260</v>
      </c>
    </row>
    <row r="249" spans="2:9" ht="12.75">
      <c r="B249" s="1">
        <v>2</v>
      </c>
      <c r="C249" s="1" t="s">
        <v>264</v>
      </c>
      <c r="D249" s="1">
        <v>0</v>
      </c>
      <c r="E249" s="1">
        <v>0</v>
      </c>
      <c r="F249" s="1">
        <v>0</v>
      </c>
      <c r="G249" s="1">
        <v>0.1829</v>
      </c>
      <c r="H249" s="1">
        <v>0</v>
      </c>
      <c r="I249" s="1">
        <v>0</v>
      </c>
    </row>
    <row r="250" spans="2:9" ht="12.75">
      <c r="B250" s="1">
        <v>3</v>
      </c>
      <c r="C250" s="1" t="s">
        <v>264</v>
      </c>
      <c r="D250" s="1">
        <v>0</v>
      </c>
      <c r="E250" s="1">
        <v>0</v>
      </c>
      <c r="F250" s="1">
        <v>0</v>
      </c>
      <c r="G250" s="1">
        <v>0</v>
      </c>
      <c r="H250" s="1">
        <v>-0.123</v>
      </c>
      <c r="I250" s="1">
        <v>0</v>
      </c>
    </row>
    <row r="251" spans="2:9" ht="12.75">
      <c r="B251" s="1">
        <v>10</v>
      </c>
      <c r="C251" s="1" t="s">
        <v>264</v>
      </c>
      <c r="D251" s="1">
        <v>0</v>
      </c>
      <c r="E251" s="1">
        <v>-91.048</v>
      </c>
      <c r="F251" s="1">
        <v>0</v>
      </c>
      <c r="G251" s="1">
        <v>-1.9766</v>
      </c>
      <c r="H251" s="1">
        <v>0</v>
      </c>
      <c r="I251" s="1">
        <v>0</v>
      </c>
    </row>
    <row r="252" spans="2:9" ht="12.75">
      <c r="B252" s="1">
        <v>11</v>
      </c>
      <c r="C252" s="1" t="s">
        <v>264</v>
      </c>
      <c r="D252" s="1">
        <v>0</v>
      </c>
      <c r="E252" s="1">
        <v>-149.224</v>
      </c>
      <c r="F252" s="1">
        <v>12.676</v>
      </c>
      <c r="G252" s="1">
        <v>-6.7066</v>
      </c>
      <c r="H252" s="1">
        <v>0</v>
      </c>
      <c r="I252" s="1">
        <v>0</v>
      </c>
    </row>
    <row r="253" spans="2:9" ht="12.75">
      <c r="B253" s="1">
        <v>12</v>
      </c>
      <c r="C253" s="1" t="s">
        <v>264</v>
      </c>
      <c r="D253" s="1">
        <v>0</v>
      </c>
      <c r="E253" s="1">
        <v>0</v>
      </c>
      <c r="F253" s="1">
        <v>0</v>
      </c>
      <c r="G253" s="1">
        <v>31.93</v>
      </c>
      <c r="H253" s="1">
        <v>0</v>
      </c>
      <c r="I253" s="1">
        <v>0</v>
      </c>
    </row>
    <row r="254" spans="2:9" ht="12.75">
      <c r="B254" s="1">
        <v>13</v>
      </c>
      <c r="C254" s="1" t="s">
        <v>264</v>
      </c>
      <c r="D254" s="1">
        <v>0</v>
      </c>
      <c r="E254" s="1">
        <v>0</v>
      </c>
      <c r="F254" s="1">
        <v>0</v>
      </c>
      <c r="G254" s="1">
        <v>-12.01</v>
      </c>
      <c r="H254" s="1">
        <v>0</v>
      </c>
      <c r="I254" s="1">
        <v>0</v>
      </c>
    </row>
    <row r="255" spans="2:9" ht="12.75">
      <c r="B255" s="1">
        <v>14</v>
      </c>
      <c r="C255" s="1" t="s">
        <v>264</v>
      </c>
      <c r="D255" s="1">
        <v>0</v>
      </c>
      <c r="E255" s="1">
        <v>0</v>
      </c>
      <c r="F255" s="1">
        <v>0</v>
      </c>
      <c r="G255" s="1">
        <v>0</v>
      </c>
      <c r="H255" s="1">
        <v>0</v>
      </c>
      <c r="I255" s="1">
        <v>0</v>
      </c>
    </row>
    <row r="256" spans="2:9" ht="12.75">
      <c r="B256" s="1">
        <v>16</v>
      </c>
      <c r="C256" s="1" t="s">
        <v>264</v>
      </c>
      <c r="D256" s="1">
        <v>0</v>
      </c>
      <c r="E256" s="1">
        <v>0</v>
      </c>
      <c r="F256" s="1">
        <v>0</v>
      </c>
      <c r="G256" s="1">
        <v>-24.02</v>
      </c>
      <c r="H256" s="1">
        <v>0</v>
      </c>
      <c r="I256" s="1">
        <v>0</v>
      </c>
    </row>
    <row r="257" spans="2:9" ht="12.75">
      <c r="B257" s="1">
        <v>17</v>
      </c>
      <c r="C257" s="1" t="s">
        <v>264</v>
      </c>
      <c r="D257" s="1">
        <v>0</v>
      </c>
      <c r="E257" s="1">
        <v>0</v>
      </c>
      <c r="F257" s="1">
        <v>0</v>
      </c>
      <c r="G257" s="1">
        <v>9.212</v>
      </c>
      <c r="H257" s="1">
        <v>0</v>
      </c>
      <c r="I257" s="1">
        <v>0</v>
      </c>
    </row>
    <row r="258" spans="2:9" ht="12.75">
      <c r="B258" s="1">
        <v>18</v>
      </c>
      <c r="C258" s="1" t="s">
        <v>264</v>
      </c>
      <c r="D258" s="1">
        <v>0</v>
      </c>
      <c r="E258" s="1">
        <v>0</v>
      </c>
      <c r="F258" s="1">
        <v>0</v>
      </c>
      <c r="G258" s="1">
        <v>18.424</v>
      </c>
      <c r="H258" s="1">
        <v>0</v>
      </c>
      <c r="I258" s="1">
        <v>0</v>
      </c>
    </row>
    <row r="259" spans="2:9" ht="12.75">
      <c r="B259" s="1">
        <v>19</v>
      </c>
      <c r="C259" s="1" t="s">
        <v>264</v>
      </c>
      <c r="D259" s="1">
        <v>0</v>
      </c>
      <c r="E259" s="1">
        <v>0</v>
      </c>
      <c r="F259" s="1">
        <v>0</v>
      </c>
      <c r="G259" s="1">
        <v>-24.3574</v>
      </c>
      <c r="H259" s="1">
        <v>0</v>
      </c>
      <c r="I259" s="1">
        <v>0</v>
      </c>
    </row>
    <row r="260" spans="2:9" ht="12.75">
      <c r="B260" s="1">
        <v>20</v>
      </c>
      <c r="C260" s="1" t="s">
        <v>264</v>
      </c>
      <c r="D260" s="1">
        <v>33.82</v>
      </c>
      <c r="E260" s="1">
        <v>-4.442</v>
      </c>
      <c r="F260" s="1">
        <v>0</v>
      </c>
      <c r="G260" s="1">
        <v>0</v>
      </c>
      <c r="H260" s="1">
        <v>0</v>
      </c>
      <c r="I260" s="1">
        <v>74</v>
      </c>
    </row>
    <row r="261" spans="2:9" ht="12.75">
      <c r="B261" s="1">
        <v>21</v>
      </c>
      <c r="C261" s="1" t="s">
        <v>264</v>
      </c>
      <c r="D261" s="1">
        <v>0</v>
      </c>
      <c r="E261" s="1">
        <v>0</v>
      </c>
      <c r="F261" s="1">
        <v>0</v>
      </c>
      <c r="G261" s="1">
        <v>45</v>
      </c>
      <c r="H261" s="1">
        <v>0</v>
      </c>
      <c r="I261" s="1">
        <v>0</v>
      </c>
    </row>
    <row r="262" spans="2:10" ht="12.75">
      <c r="B262" s="1">
        <v>22</v>
      </c>
      <c r="C262" s="1" t="s">
        <v>268</v>
      </c>
      <c r="D262" s="1" t="s">
        <v>408</v>
      </c>
      <c r="E262" s="1">
        <v>0</v>
      </c>
      <c r="F262" s="1">
        <v>0</v>
      </c>
      <c r="G262" s="1">
        <v>0</v>
      </c>
      <c r="H262" s="1">
        <v>10.926</v>
      </c>
      <c r="I262" s="1">
        <v>13.491</v>
      </c>
      <c r="J262" s="1">
        <v>-64.05</v>
      </c>
    </row>
    <row r="263" spans="2:9" ht="12.75">
      <c r="B263" s="1">
        <v>24</v>
      </c>
      <c r="C263" s="1" t="s">
        <v>264</v>
      </c>
      <c r="D263" s="1">
        <v>0</v>
      </c>
      <c r="E263" s="1">
        <v>0</v>
      </c>
      <c r="F263" s="1">
        <v>0</v>
      </c>
      <c r="G263" s="1">
        <v>49.5</v>
      </c>
      <c r="H263" s="1">
        <v>0</v>
      </c>
      <c r="I263" s="1">
        <v>0</v>
      </c>
    </row>
    <row r="264" spans="2:10" ht="12.75">
      <c r="B264" s="1">
        <v>26</v>
      </c>
      <c r="C264" s="1" t="s">
        <v>268</v>
      </c>
      <c r="D264" s="1" t="s">
        <v>408</v>
      </c>
      <c r="E264" s="1">
        <v>0</v>
      </c>
      <c r="F264" s="1">
        <v>0</v>
      </c>
      <c r="G264" s="1">
        <v>0</v>
      </c>
      <c r="H264" s="1">
        <v>26</v>
      </c>
      <c r="I264" s="1">
        <v>12</v>
      </c>
      <c r="J264" s="1">
        <v>0</v>
      </c>
    </row>
    <row r="265" spans="2:9" ht="12.75">
      <c r="B265" s="1">
        <v>28</v>
      </c>
      <c r="C265" s="1" t="s">
        <v>264</v>
      </c>
      <c r="D265" s="1">
        <v>0</v>
      </c>
      <c r="E265" s="1">
        <v>0</v>
      </c>
      <c r="F265" s="1">
        <v>0</v>
      </c>
      <c r="G265" s="1">
        <v>-45</v>
      </c>
      <c r="H265" s="1">
        <v>0</v>
      </c>
      <c r="I265" s="1">
        <v>0</v>
      </c>
    </row>
    <row r="266" spans="2:10" ht="12.75">
      <c r="B266" s="1">
        <v>30</v>
      </c>
      <c r="C266" s="1" t="s">
        <v>268</v>
      </c>
      <c r="D266" s="1" t="s">
        <v>408</v>
      </c>
      <c r="E266" s="1">
        <v>0</v>
      </c>
      <c r="F266" s="1">
        <v>0</v>
      </c>
      <c r="G266" s="1">
        <v>0</v>
      </c>
      <c r="H266" s="1">
        <v>-0.441</v>
      </c>
      <c r="I266" s="1">
        <v>-173.118</v>
      </c>
      <c r="J266" s="1">
        <v>-90</v>
      </c>
    </row>
    <row r="267" spans="2:9" ht="12.75">
      <c r="B267" s="1">
        <v>32</v>
      </c>
      <c r="C267" s="1" t="s">
        <v>264</v>
      </c>
      <c r="D267" s="1">
        <v>0</v>
      </c>
      <c r="E267" s="1">
        <v>0</v>
      </c>
      <c r="F267" s="1">
        <v>0</v>
      </c>
      <c r="G267" s="1">
        <v>-49.5</v>
      </c>
      <c r="H267" s="1">
        <v>0</v>
      </c>
      <c r="I267" s="1">
        <v>0</v>
      </c>
    </row>
    <row r="268" spans="2:9" ht="12.75">
      <c r="B268" s="1">
        <v>33</v>
      </c>
      <c r="C268" s="1" t="s">
        <v>264</v>
      </c>
      <c r="D268" s="1">
        <v>0</v>
      </c>
      <c r="E268" s="1">
        <v>0</v>
      </c>
      <c r="F268" s="1">
        <v>0</v>
      </c>
      <c r="G268" s="1">
        <v>0</v>
      </c>
      <c r="H268" s="1">
        <v>0</v>
      </c>
      <c r="I268" s="1">
        <v>-74</v>
      </c>
    </row>
    <row r="269" spans="2:9" ht="12.75">
      <c r="B269" s="1">
        <v>34</v>
      </c>
      <c r="C269" s="1" t="s">
        <v>264</v>
      </c>
      <c r="D269" s="1">
        <v>0</v>
      </c>
      <c r="E269" s="1">
        <v>0</v>
      </c>
      <c r="F269" s="1">
        <v>0</v>
      </c>
      <c r="G269" s="1">
        <v>10</v>
      </c>
      <c r="H269" s="1">
        <v>0</v>
      </c>
      <c r="I269" s="1">
        <v>0</v>
      </c>
    </row>
    <row r="270" spans="2:9" ht="12.75">
      <c r="B270" s="1">
        <v>35</v>
      </c>
      <c r="C270" s="1" t="s">
        <v>264</v>
      </c>
      <c r="D270" s="1">
        <v>0</v>
      </c>
      <c r="E270" s="1">
        <v>0</v>
      </c>
      <c r="F270" s="1">
        <v>0</v>
      </c>
      <c r="G270" s="1">
        <v>-20</v>
      </c>
      <c r="H270" s="1">
        <v>0</v>
      </c>
      <c r="I270" s="1">
        <v>0</v>
      </c>
    </row>
    <row r="271" spans="2:9" ht="12.75">
      <c r="B271" s="1">
        <v>36</v>
      </c>
      <c r="C271" s="1" t="s">
        <v>264</v>
      </c>
      <c r="D271" s="1">
        <v>0</v>
      </c>
      <c r="E271" s="1">
        <v>0</v>
      </c>
      <c r="F271" s="1">
        <v>0</v>
      </c>
      <c r="G271" s="1">
        <v>0</v>
      </c>
      <c r="H271" s="1">
        <v>0</v>
      </c>
      <c r="I271" s="1">
        <v>-6.22</v>
      </c>
    </row>
    <row r="272" spans="2:9" ht="12.75">
      <c r="B272" s="1">
        <v>38</v>
      </c>
      <c r="C272" s="1" t="s">
        <v>264</v>
      </c>
      <c r="D272" s="1">
        <v>0</v>
      </c>
      <c r="E272" s="1">
        <v>0</v>
      </c>
      <c r="F272" s="1">
        <v>0</v>
      </c>
      <c r="G272" s="1">
        <v>-40</v>
      </c>
      <c r="H272" s="1">
        <v>0</v>
      </c>
      <c r="I272" s="1">
        <v>0</v>
      </c>
    </row>
    <row r="273" spans="2:9" ht="12.75">
      <c r="B273" s="1">
        <v>39</v>
      </c>
      <c r="C273" s="1" t="s">
        <v>264</v>
      </c>
      <c r="D273" s="1">
        <v>0</v>
      </c>
      <c r="E273" s="1">
        <v>0</v>
      </c>
      <c r="F273" s="1">
        <v>0</v>
      </c>
      <c r="G273" s="1">
        <v>30</v>
      </c>
      <c r="H273" s="1">
        <v>0</v>
      </c>
      <c r="I273" s="1">
        <v>0</v>
      </c>
    </row>
    <row r="274" spans="2:9" ht="12.75">
      <c r="B274" s="1">
        <v>40</v>
      </c>
      <c r="C274" s="1" t="s">
        <v>264</v>
      </c>
      <c r="D274" s="1">
        <v>0</v>
      </c>
      <c r="E274" s="1">
        <v>0</v>
      </c>
      <c r="F274" s="1">
        <v>0</v>
      </c>
      <c r="G274" s="1">
        <v>60</v>
      </c>
      <c r="H274" s="1">
        <v>0</v>
      </c>
      <c r="I274" s="1">
        <v>0</v>
      </c>
    </row>
    <row r="275" spans="2:9" ht="12.75">
      <c r="B275" s="1">
        <v>43</v>
      </c>
      <c r="C275" s="1" t="s">
        <v>264</v>
      </c>
      <c r="D275" s="1">
        <v>0</v>
      </c>
      <c r="E275" s="1">
        <v>0</v>
      </c>
      <c r="F275" s="4">
        <v>0</v>
      </c>
      <c r="G275" s="1">
        <v>-15</v>
      </c>
      <c r="H275" s="4">
        <v>0</v>
      </c>
      <c r="I275" s="1">
        <v>0</v>
      </c>
    </row>
    <row r="276" spans="2:9" ht="12.75">
      <c r="B276" s="1">
        <v>44</v>
      </c>
      <c r="C276" s="1" t="s">
        <v>264</v>
      </c>
      <c r="D276" s="1">
        <v>0</v>
      </c>
      <c r="E276" s="1">
        <v>0</v>
      </c>
      <c r="F276" s="4">
        <v>0</v>
      </c>
      <c r="G276" s="1">
        <v>-30</v>
      </c>
      <c r="H276" s="4">
        <v>0</v>
      </c>
      <c r="I276" s="1">
        <v>0</v>
      </c>
    </row>
    <row r="277" spans="2:9" ht="12.75">
      <c r="B277" s="1">
        <v>46</v>
      </c>
      <c r="C277" s="1" t="s">
        <v>264</v>
      </c>
      <c r="D277" s="1">
        <v>0</v>
      </c>
      <c r="E277" s="1">
        <v>0</v>
      </c>
      <c r="F277" s="1">
        <v>0</v>
      </c>
      <c r="G277" s="1">
        <v>45</v>
      </c>
      <c r="H277" s="1">
        <v>0</v>
      </c>
      <c r="I277" s="1">
        <v>0</v>
      </c>
    </row>
    <row r="278" spans="2:9" ht="12.75">
      <c r="B278" s="1">
        <v>47</v>
      </c>
      <c r="C278" s="1" t="s">
        <v>264</v>
      </c>
      <c r="D278" s="1">
        <v>0</v>
      </c>
      <c r="E278" s="1">
        <v>0</v>
      </c>
      <c r="F278" s="1">
        <v>0</v>
      </c>
      <c r="G278" s="1">
        <v>90</v>
      </c>
      <c r="H278" s="1">
        <v>0</v>
      </c>
      <c r="I278" s="1">
        <v>0</v>
      </c>
    </row>
    <row r="279" spans="2:9" ht="12.75">
      <c r="B279" s="1">
        <v>51</v>
      </c>
      <c r="C279" s="1" t="s">
        <v>264</v>
      </c>
      <c r="D279" s="1">
        <v>0</v>
      </c>
      <c r="E279" s="1">
        <v>0</v>
      </c>
      <c r="F279" s="1">
        <v>0</v>
      </c>
      <c r="G279" s="1">
        <v>45</v>
      </c>
      <c r="H279" s="1">
        <v>0</v>
      </c>
      <c r="I279" s="1">
        <v>0</v>
      </c>
    </row>
    <row r="280" spans="2:9" ht="12.75">
      <c r="B280" s="1">
        <v>54</v>
      </c>
      <c r="C280" s="1" t="s">
        <v>264</v>
      </c>
      <c r="D280" s="1">
        <v>0</v>
      </c>
      <c r="E280" s="1">
        <v>0</v>
      </c>
      <c r="F280" s="1">
        <v>0</v>
      </c>
      <c r="G280" s="1">
        <v>45</v>
      </c>
      <c r="H280" s="1">
        <v>0</v>
      </c>
      <c r="I280" s="1">
        <v>0</v>
      </c>
    </row>
    <row r="281" spans="2:9" ht="12.75">
      <c r="B281" s="1">
        <v>56</v>
      </c>
      <c r="C281" s="1" t="s">
        <v>264</v>
      </c>
      <c r="D281" s="1">
        <v>0</v>
      </c>
      <c r="E281" s="1">
        <v>0</v>
      </c>
      <c r="F281" s="4">
        <v>0</v>
      </c>
      <c r="G281" s="1">
        <v>-15</v>
      </c>
      <c r="H281" s="4">
        <v>0</v>
      </c>
      <c r="I281" s="1">
        <v>0</v>
      </c>
    </row>
    <row r="282" spans="2:9" ht="12.75">
      <c r="B282" s="1">
        <v>57</v>
      </c>
      <c r="C282" s="1" t="s">
        <v>264</v>
      </c>
      <c r="D282" s="1">
        <v>0</v>
      </c>
      <c r="E282" s="1">
        <v>0</v>
      </c>
      <c r="F282" s="4">
        <v>0</v>
      </c>
      <c r="G282" s="1">
        <v>-30</v>
      </c>
      <c r="H282" s="4">
        <v>0</v>
      </c>
      <c r="I282" s="1">
        <v>0</v>
      </c>
    </row>
    <row r="283" spans="2:9" ht="12.75">
      <c r="B283" s="1">
        <v>60</v>
      </c>
      <c r="C283" s="1" t="s">
        <v>264</v>
      </c>
      <c r="D283" s="1">
        <v>0</v>
      </c>
      <c r="E283" s="1">
        <v>0</v>
      </c>
      <c r="F283" s="1">
        <v>0</v>
      </c>
      <c r="G283" s="1">
        <v>30</v>
      </c>
      <c r="H283" s="1">
        <v>0</v>
      </c>
      <c r="I283" s="1">
        <v>0</v>
      </c>
    </row>
    <row r="284" spans="2:9" ht="12.75">
      <c r="B284" s="1">
        <v>61</v>
      </c>
      <c r="C284" s="1" t="s">
        <v>264</v>
      </c>
      <c r="D284" s="1">
        <v>0</v>
      </c>
      <c r="E284" s="1">
        <v>0</v>
      </c>
      <c r="F284" s="1">
        <v>0</v>
      </c>
      <c r="G284" s="1">
        <v>60</v>
      </c>
      <c r="H284" s="1">
        <v>0</v>
      </c>
      <c r="I284" s="1">
        <v>0</v>
      </c>
    </row>
    <row r="285" spans="2:9" ht="12.75">
      <c r="B285" s="1">
        <v>62</v>
      </c>
      <c r="C285" s="1" t="s">
        <v>264</v>
      </c>
      <c r="D285" s="1">
        <v>0</v>
      </c>
      <c r="E285" s="1">
        <v>0</v>
      </c>
      <c r="F285" s="1">
        <v>0</v>
      </c>
      <c r="G285" s="1">
        <v>-20</v>
      </c>
      <c r="H285" s="1">
        <v>0</v>
      </c>
      <c r="I285" s="1">
        <v>0</v>
      </c>
    </row>
    <row r="286" spans="2:9" ht="12.75">
      <c r="B286" s="1">
        <v>63</v>
      </c>
      <c r="C286" s="1" t="s">
        <v>264</v>
      </c>
      <c r="D286" s="1">
        <v>0</v>
      </c>
      <c r="E286" s="1">
        <v>0</v>
      </c>
      <c r="F286" s="4">
        <v>0</v>
      </c>
      <c r="G286" s="1">
        <v>0</v>
      </c>
      <c r="H286" s="4">
        <v>0</v>
      </c>
      <c r="I286" s="1">
        <v>0</v>
      </c>
    </row>
    <row r="287" spans="2:9" ht="12.75">
      <c r="B287" s="1">
        <v>65</v>
      </c>
      <c r="C287" s="1" t="s">
        <v>264</v>
      </c>
      <c r="D287" s="1">
        <v>0</v>
      </c>
      <c r="E287" s="1">
        <v>0</v>
      </c>
      <c r="F287" s="4">
        <v>0</v>
      </c>
      <c r="G287" s="1">
        <v>-40</v>
      </c>
      <c r="H287" s="4">
        <v>0</v>
      </c>
      <c r="I287" s="1">
        <v>0</v>
      </c>
    </row>
    <row r="288" spans="2:9" ht="12.75">
      <c r="B288" s="1">
        <v>67</v>
      </c>
      <c r="C288" s="1" t="s">
        <v>264</v>
      </c>
      <c r="D288" s="1">
        <v>0</v>
      </c>
      <c r="E288" s="1">
        <v>0</v>
      </c>
      <c r="F288" s="4">
        <v>0</v>
      </c>
      <c r="G288" s="1">
        <v>0</v>
      </c>
      <c r="H288" s="4">
        <v>-45</v>
      </c>
      <c r="I288" s="1">
        <v>0</v>
      </c>
    </row>
    <row r="289" spans="2:9" ht="12.75">
      <c r="B289" s="1">
        <v>68</v>
      </c>
      <c r="C289" s="1" t="s">
        <v>264</v>
      </c>
      <c r="D289" s="1">
        <v>0</v>
      </c>
      <c r="E289" s="1">
        <v>0</v>
      </c>
      <c r="F289" s="1">
        <v>0</v>
      </c>
      <c r="G289" s="1">
        <v>0</v>
      </c>
      <c r="H289" s="1">
        <v>-90</v>
      </c>
      <c r="I289" s="1">
        <v>0</v>
      </c>
    </row>
    <row r="290" spans="2:9" ht="12.75">
      <c r="B290" s="1">
        <v>71</v>
      </c>
      <c r="C290" s="1" t="s">
        <v>264</v>
      </c>
      <c r="D290" s="1">
        <v>0</v>
      </c>
      <c r="E290" s="1">
        <v>0</v>
      </c>
      <c r="F290" s="1">
        <v>0</v>
      </c>
      <c r="G290" s="1">
        <v>0</v>
      </c>
      <c r="H290" s="1">
        <v>0</v>
      </c>
      <c r="I290" s="1">
        <v>10</v>
      </c>
    </row>
    <row r="291" spans="2:9" ht="12.75">
      <c r="B291" s="1">
        <v>74</v>
      </c>
      <c r="C291" s="1" t="s">
        <v>264</v>
      </c>
      <c r="D291" s="1">
        <v>0</v>
      </c>
      <c r="E291" s="1">
        <v>0</v>
      </c>
      <c r="F291" s="1">
        <v>0</v>
      </c>
      <c r="G291" s="1">
        <v>0</v>
      </c>
      <c r="H291" s="1">
        <v>45</v>
      </c>
      <c r="I291" s="1">
        <v>0</v>
      </c>
    </row>
    <row r="292" spans="2:9" ht="12.75">
      <c r="B292" s="1">
        <v>75</v>
      </c>
      <c r="C292" s="1" t="s">
        <v>264</v>
      </c>
      <c r="D292" s="1">
        <v>0</v>
      </c>
      <c r="E292" s="1">
        <v>0</v>
      </c>
      <c r="F292" s="1">
        <v>0</v>
      </c>
      <c r="G292" s="1">
        <v>0</v>
      </c>
      <c r="H292" s="1">
        <v>90</v>
      </c>
      <c r="I292" s="1">
        <v>0</v>
      </c>
    </row>
    <row r="293" spans="2:9" ht="12.75">
      <c r="B293" s="1">
        <v>77</v>
      </c>
      <c r="C293" s="1" t="s">
        <v>264</v>
      </c>
      <c r="D293" s="1">
        <v>0</v>
      </c>
      <c r="E293" s="1">
        <v>0</v>
      </c>
      <c r="F293" s="1">
        <v>0</v>
      </c>
      <c r="G293" s="1">
        <v>20</v>
      </c>
      <c r="H293" s="1">
        <v>0</v>
      </c>
      <c r="I293" s="1">
        <v>0</v>
      </c>
    </row>
    <row r="294" spans="2:9" ht="12.75">
      <c r="B294" s="1">
        <v>78</v>
      </c>
      <c r="C294" s="1" t="s">
        <v>264</v>
      </c>
      <c r="D294" s="1">
        <v>0</v>
      </c>
      <c r="E294" s="1">
        <v>0</v>
      </c>
      <c r="F294" s="1">
        <v>0</v>
      </c>
      <c r="G294" s="1">
        <v>0</v>
      </c>
      <c r="H294" s="1">
        <v>0</v>
      </c>
      <c r="I294" s="1">
        <v>0</v>
      </c>
    </row>
    <row r="295" spans="2:9" ht="12.75">
      <c r="B295" s="1">
        <v>80</v>
      </c>
      <c r="C295" s="1" t="s">
        <v>264</v>
      </c>
      <c r="D295" s="1">
        <v>0</v>
      </c>
      <c r="E295" s="1">
        <v>0</v>
      </c>
      <c r="F295" s="1">
        <v>0</v>
      </c>
      <c r="G295" s="1">
        <v>40</v>
      </c>
      <c r="H295" s="1">
        <v>0</v>
      </c>
      <c r="I295" s="1">
        <v>0</v>
      </c>
    </row>
    <row r="296" spans="2:9" ht="12.75">
      <c r="B296" s="1">
        <v>81</v>
      </c>
      <c r="C296" s="1" t="s">
        <v>264</v>
      </c>
      <c r="D296" s="1">
        <v>0</v>
      </c>
      <c r="E296" s="1">
        <v>0</v>
      </c>
      <c r="F296" s="1">
        <v>0</v>
      </c>
      <c r="G296" s="1">
        <v>-30</v>
      </c>
      <c r="H296" s="4">
        <v>0</v>
      </c>
      <c r="I296" s="1">
        <v>0</v>
      </c>
    </row>
    <row r="297" spans="2:9" ht="12.75">
      <c r="B297" s="1">
        <v>82</v>
      </c>
      <c r="C297" s="1" t="s">
        <v>264</v>
      </c>
      <c r="D297" s="1">
        <v>0</v>
      </c>
      <c r="E297" s="1">
        <v>0</v>
      </c>
      <c r="F297" s="1">
        <v>0</v>
      </c>
      <c r="G297" s="1">
        <v>-60</v>
      </c>
      <c r="H297" s="4">
        <v>0</v>
      </c>
      <c r="I297" s="1">
        <v>0</v>
      </c>
    </row>
    <row r="298" spans="2:9" ht="12.75">
      <c r="B298" s="1">
        <v>84</v>
      </c>
      <c r="C298" s="1" t="s">
        <v>264</v>
      </c>
      <c r="D298" s="1">
        <v>0</v>
      </c>
      <c r="E298" s="1">
        <v>0</v>
      </c>
      <c r="F298" s="1">
        <v>0</v>
      </c>
      <c r="G298" s="1">
        <v>15</v>
      </c>
      <c r="H298" s="4">
        <v>0</v>
      </c>
      <c r="I298" s="1">
        <v>0</v>
      </c>
    </row>
    <row r="299" spans="2:9" ht="12.75">
      <c r="B299" s="1">
        <v>85</v>
      </c>
      <c r="C299" s="1" t="s">
        <v>264</v>
      </c>
      <c r="D299" s="1">
        <v>0</v>
      </c>
      <c r="E299" s="1">
        <v>0</v>
      </c>
      <c r="F299" s="1">
        <v>0</v>
      </c>
      <c r="G299" s="1">
        <v>30</v>
      </c>
      <c r="H299" s="1">
        <v>0</v>
      </c>
      <c r="I299" s="1">
        <v>0</v>
      </c>
    </row>
    <row r="300" spans="2:9" ht="12.75">
      <c r="B300" s="1">
        <v>87</v>
      </c>
      <c r="C300" s="1" t="s">
        <v>264</v>
      </c>
      <c r="D300" s="1">
        <v>0</v>
      </c>
      <c r="E300" s="1">
        <v>0</v>
      </c>
      <c r="F300" s="1">
        <v>0</v>
      </c>
      <c r="G300" s="1">
        <v>-45</v>
      </c>
      <c r="H300" s="1">
        <v>0</v>
      </c>
      <c r="I300" s="1">
        <v>0</v>
      </c>
    </row>
    <row r="301" spans="2:9" ht="12.75">
      <c r="B301" s="1">
        <v>88</v>
      </c>
      <c r="C301" s="1" t="s">
        <v>264</v>
      </c>
      <c r="D301" s="1">
        <v>0</v>
      </c>
      <c r="E301" s="1">
        <v>0</v>
      </c>
      <c r="F301" s="1">
        <v>0</v>
      </c>
      <c r="G301" s="1">
        <v>-45</v>
      </c>
      <c r="H301" s="1">
        <v>0</v>
      </c>
      <c r="I301" s="1">
        <v>0</v>
      </c>
    </row>
    <row r="302" spans="2:9" ht="12.75">
      <c r="B302" s="1">
        <v>90</v>
      </c>
      <c r="C302" s="1" t="s">
        <v>264</v>
      </c>
      <c r="D302" s="1">
        <v>0</v>
      </c>
      <c r="E302" s="1">
        <v>0</v>
      </c>
      <c r="F302" s="1">
        <v>0</v>
      </c>
      <c r="G302" s="1">
        <v>-45</v>
      </c>
      <c r="H302" s="4">
        <v>0</v>
      </c>
      <c r="I302" s="1">
        <v>0</v>
      </c>
    </row>
    <row r="303" spans="2:9" ht="12.75">
      <c r="B303" s="1">
        <v>91</v>
      </c>
      <c r="C303" s="1" t="s">
        <v>264</v>
      </c>
      <c r="D303" s="1">
        <v>0</v>
      </c>
      <c r="E303" s="1">
        <v>0</v>
      </c>
      <c r="F303" s="1">
        <v>0</v>
      </c>
      <c r="G303" s="1">
        <v>-90</v>
      </c>
      <c r="H303" s="4">
        <v>0</v>
      </c>
      <c r="I303" s="1">
        <v>0</v>
      </c>
    </row>
    <row r="304" spans="2:9" ht="12.75">
      <c r="B304" s="1">
        <v>93</v>
      </c>
      <c r="C304" s="1" t="s">
        <v>264</v>
      </c>
      <c r="D304" s="1">
        <v>0</v>
      </c>
      <c r="E304" s="1">
        <v>0</v>
      </c>
      <c r="F304" s="1">
        <v>0</v>
      </c>
      <c r="G304" s="1">
        <v>15</v>
      </c>
      <c r="H304" s="1">
        <v>0</v>
      </c>
      <c r="I304" s="1">
        <v>0</v>
      </c>
    </row>
    <row r="305" spans="2:9" ht="12.75">
      <c r="B305" s="1">
        <v>94</v>
      </c>
      <c r="C305" s="1" t="s">
        <v>264</v>
      </c>
      <c r="D305" s="1">
        <v>0</v>
      </c>
      <c r="E305" s="1">
        <v>0</v>
      </c>
      <c r="F305" s="1">
        <v>0</v>
      </c>
      <c r="G305" s="1">
        <v>30</v>
      </c>
      <c r="H305" s="1">
        <v>0</v>
      </c>
      <c r="I305" s="1">
        <v>0</v>
      </c>
    </row>
    <row r="306" spans="2:9" ht="12.75">
      <c r="B306" s="1">
        <v>97</v>
      </c>
      <c r="C306" s="1" t="s">
        <v>264</v>
      </c>
      <c r="D306" s="1">
        <v>0</v>
      </c>
      <c r="E306" s="1">
        <v>0</v>
      </c>
      <c r="F306" s="1">
        <v>0</v>
      </c>
      <c r="G306" s="1">
        <v>-20</v>
      </c>
      <c r="H306" s="1">
        <v>0</v>
      </c>
      <c r="I306" s="1">
        <v>0</v>
      </c>
    </row>
    <row r="307" spans="2:9" ht="12.75">
      <c r="B307" s="1">
        <v>98</v>
      </c>
      <c r="C307" s="1" t="s">
        <v>264</v>
      </c>
      <c r="D307" s="1">
        <v>0</v>
      </c>
      <c r="E307" s="1">
        <v>0</v>
      </c>
      <c r="F307" s="1">
        <v>0</v>
      </c>
      <c r="G307" s="1">
        <v>0</v>
      </c>
      <c r="H307" s="1">
        <v>0</v>
      </c>
      <c r="I307" s="1">
        <v>-6.22</v>
      </c>
    </row>
    <row r="308" spans="2:9" ht="12.75">
      <c r="B308" s="1">
        <v>100</v>
      </c>
      <c r="C308" s="1" t="s">
        <v>264</v>
      </c>
      <c r="D308" s="1">
        <v>0</v>
      </c>
      <c r="E308" s="1">
        <v>0</v>
      </c>
      <c r="F308" s="1">
        <v>0</v>
      </c>
      <c r="G308" s="1">
        <v>-40</v>
      </c>
      <c r="H308" s="1">
        <v>0</v>
      </c>
      <c r="I308" s="1">
        <v>0</v>
      </c>
    </row>
    <row r="309" spans="2:9" ht="12.75">
      <c r="B309" s="1">
        <v>104</v>
      </c>
      <c r="C309" s="1" t="s">
        <v>264</v>
      </c>
      <c r="D309" s="1">
        <v>0</v>
      </c>
      <c r="E309" s="1">
        <v>0</v>
      </c>
      <c r="F309" s="1">
        <v>0</v>
      </c>
      <c r="G309" s="1">
        <v>20</v>
      </c>
      <c r="H309" s="1">
        <v>0</v>
      </c>
      <c r="I309" s="1">
        <v>0</v>
      </c>
    </row>
    <row r="310" spans="2:9" ht="12.75">
      <c r="B310" s="1">
        <v>105</v>
      </c>
      <c r="C310" s="1" t="s">
        <v>264</v>
      </c>
      <c r="D310" s="1">
        <v>0</v>
      </c>
      <c r="E310" s="1">
        <v>0</v>
      </c>
      <c r="F310" s="1">
        <v>0</v>
      </c>
      <c r="G310" s="1">
        <v>0</v>
      </c>
      <c r="H310" s="1">
        <v>0</v>
      </c>
      <c r="I310" s="1">
        <v>-6.22</v>
      </c>
    </row>
    <row r="311" spans="2:9" ht="12.75">
      <c r="B311" s="1">
        <v>107</v>
      </c>
      <c r="C311" s="1" t="s">
        <v>264</v>
      </c>
      <c r="D311" s="1">
        <v>0</v>
      </c>
      <c r="E311" s="1">
        <v>0</v>
      </c>
      <c r="F311" s="1">
        <v>0</v>
      </c>
      <c r="G311" s="1">
        <v>40</v>
      </c>
      <c r="H311" s="1">
        <v>0</v>
      </c>
      <c r="I311" s="1">
        <v>0</v>
      </c>
    </row>
    <row r="312" spans="2:9" ht="12.75">
      <c r="B312" s="1">
        <v>108</v>
      </c>
      <c r="C312" s="1" t="s">
        <v>264</v>
      </c>
      <c r="D312" s="1">
        <v>0</v>
      </c>
      <c r="E312" s="1">
        <v>0</v>
      </c>
      <c r="F312" s="1">
        <v>0</v>
      </c>
      <c r="G312" s="1">
        <v>-30</v>
      </c>
      <c r="H312" s="1">
        <v>0</v>
      </c>
      <c r="I312" s="1">
        <v>0</v>
      </c>
    </row>
    <row r="313" spans="2:9" ht="12.75">
      <c r="B313" s="1">
        <v>109</v>
      </c>
      <c r="C313" s="1" t="s">
        <v>264</v>
      </c>
      <c r="D313" s="1">
        <v>0</v>
      </c>
      <c r="E313" s="1">
        <v>0</v>
      </c>
      <c r="F313" s="1">
        <v>0</v>
      </c>
      <c r="G313" s="1">
        <v>-60</v>
      </c>
      <c r="H313" s="1">
        <v>0</v>
      </c>
      <c r="I313" s="1">
        <v>0</v>
      </c>
    </row>
    <row r="314" spans="2:9" ht="12.75">
      <c r="B314" s="1">
        <v>111</v>
      </c>
      <c r="C314" s="1" t="s">
        <v>264</v>
      </c>
      <c r="D314" s="1">
        <v>0</v>
      </c>
      <c r="E314" s="1">
        <v>0</v>
      </c>
      <c r="F314" s="1">
        <v>0</v>
      </c>
      <c r="G314" s="1">
        <v>15</v>
      </c>
      <c r="H314" s="1">
        <v>0</v>
      </c>
      <c r="I314" s="1">
        <v>0</v>
      </c>
    </row>
    <row r="315" spans="2:9" ht="12.75">
      <c r="B315" s="1">
        <v>112</v>
      </c>
      <c r="C315" s="1" t="s">
        <v>264</v>
      </c>
      <c r="D315" s="1">
        <v>0</v>
      </c>
      <c r="E315" s="1">
        <v>0</v>
      </c>
      <c r="F315" s="1">
        <v>0</v>
      </c>
      <c r="G315" s="1">
        <v>30</v>
      </c>
      <c r="H315" s="1">
        <v>0</v>
      </c>
      <c r="I315" s="1">
        <v>0</v>
      </c>
    </row>
    <row r="316" spans="2:9" s="118" customFormat="1" ht="12.75">
      <c r="B316" s="118">
        <v>114</v>
      </c>
      <c r="C316" s="118" t="s">
        <v>264</v>
      </c>
      <c r="D316" s="118">
        <v>0</v>
      </c>
      <c r="E316" s="118">
        <v>0</v>
      </c>
      <c r="F316" s="118">
        <v>0</v>
      </c>
      <c r="G316" s="118">
        <v>-45</v>
      </c>
      <c r="H316" s="118">
        <v>0</v>
      </c>
      <c r="I316" s="118">
        <v>0</v>
      </c>
    </row>
    <row r="317" spans="2:9" ht="12.75">
      <c r="B317" s="1">
        <v>115</v>
      </c>
      <c r="C317" s="1" t="s">
        <v>264</v>
      </c>
      <c r="D317" s="1">
        <v>0</v>
      </c>
      <c r="E317" s="1">
        <v>0</v>
      </c>
      <c r="F317" s="1">
        <v>0</v>
      </c>
      <c r="G317" s="1">
        <v>-90</v>
      </c>
      <c r="H317" s="1">
        <v>0</v>
      </c>
      <c r="I317" s="1">
        <v>0</v>
      </c>
    </row>
    <row r="318" spans="2:9" ht="12.75">
      <c r="B318" s="1">
        <v>119</v>
      </c>
      <c r="C318" s="1" t="s">
        <v>264</v>
      </c>
      <c r="D318" s="1">
        <v>0</v>
      </c>
      <c r="E318" s="1">
        <v>0</v>
      </c>
      <c r="F318" s="1">
        <v>0</v>
      </c>
      <c r="G318" s="1">
        <v>-45</v>
      </c>
      <c r="H318" s="1">
        <v>0</v>
      </c>
      <c r="I318" s="1">
        <v>0</v>
      </c>
    </row>
    <row r="319" spans="2:9" ht="12.75">
      <c r="B319" s="1">
        <v>122</v>
      </c>
      <c r="C319" s="1" t="s">
        <v>264</v>
      </c>
      <c r="D319" s="1">
        <v>0</v>
      </c>
      <c r="E319" s="1">
        <v>0</v>
      </c>
      <c r="F319" s="1">
        <v>0</v>
      </c>
      <c r="G319" s="1">
        <v>-45</v>
      </c>
      <c r="H319" s="1">
        <v>0</v>
      </c>
      <c r="I319" s="1">
        <v>0</v>
      </c>
    </row>
    <row r="320" spans="2:9" ht="12.75">
      <c r="B320" s="1">
        <v>124</v>
      </c>
      <c r="C320" s="1" t="s">
        <v>264</v>
      </c>
      <c r="D320" s="1">
        <v>0</v>
      </c>
      <c r="E320" s="1">
        <v>0</v>
      </c>
      <c r="F320" s="1">
        <v>0</v>
      </c>
      <c r="G320" s="1">
        <v>15</v>
      </c>
      <c r="H320" s="1">
        <v>0</v>
      </c>
      <c r="I320" s="1">
        <v>0</v>
      </c>
    </row>
    <row r="321" spans="2:9" ht="12.75">
      <c r="B321" s="1">
        <v>125</v>
      </c>
      <c r="C321" s="1" t="s">
        <v>264</v>
      </c>
      <c r="D321" s="1">
        <v>0</v>
      </c>
      <c r="E321" s="1">
        <v>0</v>
      </c>
      <c r="F321" s="1">
        <v>0</v>
      </c>
      <c r="G321" s="1">
        <v>30</v>
      </c>
      <c r="H321" s="1">
        <v>0</v>
      </c>
      <c r="I321" s="1">
        <v>0</v>
      </c>
    </row>
    <row r="322" spans="2:9" ht="12.75">
      <c r="B322" s="1">
        <v>128</v>
      </c>
      <c r="C322" s="1" t="s">
        <v>264</v>
      </c>
      <c r="D322" s="1">
        <v>0</v>
      </c>
      <c r="E322" s="1">
        <v>0</v>
      </c>
      <c r="F322" s="1">
        <v>0</v>
      </c>
      <c r="G322" s="1">
        <v>-30</v>
      </c>
      <c r="H322" s="1">
        <v>0</v>
      </c>
      <c r="I322" s="1">
        <v>0</v>
      </c>
    </row>
    <row r="323" spans="2:9" ht="12.75">
      <c r="B323" s="1">
        <v>129</v>
      </c>
      <c r="C323" s="1" t="s">
        <v>264</v>
      </c>
      <c r="D323" s="1">
        <v>0</v>
      </c>
      <c r="E323" s="1">
        <v>0</v>
      </c>
      <c r="F323" s="1">
        <v>0</v>
      </c>
      <c r="G323" s="1">
        <v>-60</v>
      </c>
      <c r="H323" s="1">
        <v>0</v>
      </c>
      <c r="I323" s="1">
        <v>0</v>
      </c>
    </row>
    <row r="324" spans="2:9" ht="12.75">
      <c r="B324" s="1">
        <v>130</v>
      </c>
      <c r="C324" s="1" t="s">
        <v>264</v>
      </c>
      <c r="D324" s="1">
        <v>0</v>
      </c>
      <c r="E324" s="1">
        <v>0</v>
      </c>
      <c r="F324" s="1">
        <v>0</v>
      </c>
      <c r="G324" s="1">
        <v>20</v>
      </c>
      <c r="H324" s="1">
        <v>0</v>
      </c>
      <c r="I324" s="1">
        <v>0</v>
      </c>
    </row>
    <row r="325" spans="2:9" ht="12.75">
      <c r="B325" s="1">
        <v>131</v>
      </c>
      <c r="C325" s="1" t="s">
        <v>264</v>
      </c>
      <c r="D325" s="1">
        <v>0</v>
      </c>
      <c r="E325" s="1">
        <v>0</v>
      </c>
      <c r="F325" s="1">
        <v>0</v>
      </c>
      <c r="G325" s="1">
        <v>0</v>
      </c>
      <c r="H325" s="1">
        <v>0</v>
      </c>
      <c r="I325" s="1">
        <v>0</v>
      </c>
    </row>
    <row r="326" spans="2:9" ht="12.75">
      <c r="B326" s="1">
        <v>134</v>
      </c>
      <c r="C326" s="1" t="s">
        <v>264</v>
      </c>
      <c r="D326" s="1">
        <v>0</v>
      </c>
      <c r="E326" s="1">
        <v>0</v>
      </c>
      <c r="F326" s="1">
        <v>0</v>
      </c>
      <c r="G326" s="1">
        <v>40</v>
      </c>
      <c r="H326" s="1">
        <v>0</v>
      </c>
      <c r="I326" s="1">
        <v>0</v>
      </c>
    </row>
    <row r="327" spans="2:9" ht="12.75">
      <c r="B327" s="1">
        <v>136</v>
      </c>
      <c r="C327" s="1" t="s">
        <v>264</v>
      </c>
      <c r="D327" s="1">
        <v>0</v>
      </c>
      <c r="E327" s="1">
        <v>0</v>
      </c>
      <c r="F327" s="1">
        <v>0</v>
      </c>
      <c r="G327" s="1">
        <v>0</v>
      </c>
      <c r="H327" s="1">
        <v>45</v>
      </c>
      <c r="I327" s="1">
        <v>0</v>
      </c>
    </row>
    <row r="328" spans="2:9" ht="12.75">
      <c r="B328" s="1">
        <v>137</v>
      </c>
      <c r="C328" s="1" t="s">
        <v>264</v>
      </c>
      <c r="D328" s="1">
        <v>0</v>
      </c>
      <c r="E328" s="1">
        <v>0</v>
      </c>
      <c r="F328" s="1">
        <v>0</v>
      </c>
      <c r="G328" s="1">
        <v>0</v>
      </c>
      <c r="H328" s="1">
        <v>90</v>
      </c>
      <c r="I328" s="1">
        <v>0</v>
      </c>
    </row>
    <row r="329" spans="2:9" ht="12.75">
      <c r="B329" s="1">
        <v>140</v>
      </c>
      <c r="C329" s="1" t="s">
        <v>264</v>
      </c>
      <c r="D329" s="1">
        <v>0</v>
      </c>
      <c r="E329" s="1">
        <v>0</v>
      </c>
      <c r="F329" s="1">
        <v>0</v>
      </c>
      <c r="G329" s="1">
        <v>0</v>
      </c>
      <c r="H329" s="1">
        <v>0</v>
      </c>
      <c r="I329" s="1">
        <v>10</v>
      </c>
    </row>
    <row r="331" spans="2:5" ht="12.75">
      <c r="B331" s="1" t="s">
        <v>222</v>
      </c>
      <c r="C331" s="1" t="s">
        <v>223</v>
      </c>
      <c r="D331" s="1" t="s">
        <v>50</v>
      </c>
      <c r="E331" s="1" t="s">
        <v>265</v>
      </c>
    </row>
    <row r="332" ht="12.75">
      <c r="B332" s="1" t="s">
        <v>266</v>
      </c>
    </row>
    <row r="333" spans="2:7" ht="12.75">
      <c r="B333" s="1" t="s">
        <v>267</v>
      </c>
      <c r="C333" s="1" t="s">
        <v>41</v>
      </c>
      <c r="D333" s="1" t="s">
        <v>234</v>
      </c>
      <c r="E333" s="1" t="s">
        <v>268</v>
      </c>
      <c r="F333" s="1" t="s">
        <v>236</v>
      </c>
      <c r="G333" s="1" t="s">
        <v>234</v>
      </c>
    </row>
    <row r="334" spans="2:10" ht="12.75">
      <c r="B334" s="1" t="s">
        <v>264</v>
      </c>
      <c r="C334" s="1" t="s">
        <v>269</v>
      </c>
      <c r="D334" s="1" t="s">
        <v>234</v>
      </c>
      <c r="E334" s="1" t="s">
        <v>270</v>
      </c>
      <c r="F334" s="1" t="s">
        <v>271</v>
      </c>
      <c r="G334" s="1" t="s">
        <v>228</v>
      </c>
      <c r="H334" s="1" t="s">
        <v>46</v>
      </c>
      <c r="I334" s="1" t="s">
        <v>269</v>
      </c>
      <c r="J334" s="1" t="s">
        <v>59</v>
      </c>
    </row>
    <row r="336" spans="2:3" ht="12.75">
      <c r="B336" s="1" t="s">
        <v>39</v>
      </c>
      <c r="C336" s="1" t="s">
        <v>272</v>
      </c>
    </row>
    <row r="337" ht="12.75">
      <c r="B337" s="1" t="s">
        <v>260</v>
      </c>
    </row>
    <row r="338" spans="2:8" ht="12.75">
      <c r="B338" s="1">
        <v>12</v>
      </c>
      <c r="C338" s="1" t="s">
        <v>273</v>
      </c>
      <c r="D338" s="1" t="s">
        <v>274</v>
      </c>
      <c r="E338" s="1" t="s">
        <v>49</v>
      </c>
      <c r="F338" s="1" t="s">
        <v>50</v>
      </c>
      <c r="G338" s="1" t="s">
        <v>51</v>
      </c>
      <c r="H338" s="1">
        <v>11</v>
      </c>
    </row>
    <row r="339" spans="2:8" ht="12.75">
      <c r="B339" s="1">
        <v>15</v>
      </c>
      <c r="C339" s="1" t="s">
        <v>273</v>
      </c>
      <c r="D339" s="1" t="s">
        <v>274</v>
      </c>
      <c r="E339" s="1" t="s">
        <v>49</v>
      </c>
      <c r="F339" s="1" t="s">
        <v>50</v>
      </c>
      <c r="G339" s="1" t="s">
        <v>51</v>
      </c>
      <c r="H339" s="1">
        <v>14</v>
      </c>
    </row>
    <row r="340" spans="2:8" ht="12.75">
      <c r="B340" s="1">
        <v>16</v>
      </c>
      <c r="C340" s="1" t="s">
        <v>273</v>
      </c>
      <c r="D340" s="1" t="s">
        <v>274</v>
      </c>
      <c r="E340" s="1" t="s">
        <v>49</v>
      </c>
      <c r="F340" s="1" t="s">
        <v>50</v>
      </c>
      <c r="G340" s="1" t="s">
        <v>51</v>
      </c>
      <c r="H340" s="1">
        <v>13</v>
      </c>
    </row>
    <row r="341" spans="2:8" ht="12.75">
      <c r="B341" s="1">
        <v>18</v>
      </c>
      <c r="C341" s="1" t="s">
        <v>273</v>
      </c>
      <c r="D341" s="1" t="s">
        <v>274</v>
      </c>
      <c r="E341" s="1" t="s">
        <v>49</v>
      </c>
      <c r="F341" s="1" t="s">
        <v>50</v>
      </c>
      <c r="G341" s="1" t="s">
        <v>51</v>
      </c>
      <c r="H341" s="1">
        <v>17</v>
      </c>
    </row>
    <row r="342" spans="2:7" ht="12.75">
      <c r="B342" s="1">
        <v>23</v>
      </c>
      <c r="C342" s="1" t="s">
        <v>409</v>
      </c>
      <c r="D342" s="1" t="s">
        <v>410</v>
      </c>
      <c r="E342" s="1" t="s">
        <v>50</v>
      </c>
      <c r="F342" s="1" t="s">
        <v>51</v>
      </c>
      <c r="G342" s="1">
        <v>21</v>
      </c>
    </row>
    <row r="343" spans="2:7" ht="12.75">
      <c r="B343" s="1">
        <v>27</v>
      </c>
      <c r="C343" s="1" t="s">
        <v>409</v>
      </c>
      <c r="D343" s="1" t="s">
        <v>410</v>
      </c>
      <c r="E343" s="1" t="s">
        <v>50</v>
      </c>
      <c r="F343" s="1" t="s">
        <v>51</v>
      </c>
      <c r="G343" s="1">
        <v>25</v>
      </c>
    </row>
    <row r="344" spans="2:7" ht="12.75">
      <c r="B344" s="1">
        <v>31</v>
      </c>
      <c r="C344" s="1" t="s">
        <v>409</v>
      </c>
      <c r="D344" s="1" t="s">
        <v>410</v>
      </c>
      <c r="E344" s="1" t="s">
        <v>50</v>
      </c>
      <c r="F344" s="1" t="s">
        <v>51</v>
      </c>
      <c r="G344" s="1">
        <v>29</v>
      </c>
    </row>
    <row r="345" spans="2:8" ht="12.75">
      <c r="B345" s="1">
        <v>37</v>
      </c>
      <c r="C345" s="1" t="s">
        <v>273</v>
      </c>
      <c r="D345" s="1" t="s">
        <v>274</v>
      </c>
      <c r="E345" s="1" t="s">
        <v>49</v>
      </c>
      <c r="F345" s="1" t="s">
        <v>50</v>
      </c>
      <c r="G345" s="1" t="s">
        <v>51</v>
      </c>
      <c r="H345" s="1">
        <v>36</v>
      </c>
    </row>
    <row r="346" spans="2:8" ht="12.75">
      <c r="B346" s="1">
        <v>38</v>
      </c>
      <c r="C346" s="1" t="s">
        <v>273</v>
      </c>
      <c r="D346" s="1" t="s">
        <v>274</v>
      </c>
      <c r="E346" s="1" t="s">
        <v>49</v>
      </c>
      <c r="F346" s="1" t="s">
        <v>50</v>
      </c>
      <c r="G346" s="1" t="s">
        <v>51</v>
      </c>
      <c r="H346" s="1">
        <v>35</v>
      </c>
    </row>
    <row r="347" spans="2:8" ht="12.75">
      <c r="B347" s="1">
        <v>40</v>
      </c>
      <c r="C347" s="1" t="s">
        <v>273</v>
      </c>
      <c r="D347" s="1" t="s">
        <v>274</v>
      </c>
      <c r="E347" s="1" t="s">
        <v>49</v>
      </c>
      <c r="F347" s="1" t="s">
        <v>50</v>
      </c>
      <c r="G347" s="1" t="s">
        <v>51</v>
      </c>
      <c r="H347" s="1">
        <v>39</v>
      </c>
    </row>
    <row r="348" spans="2:8" ht="12.75">
      <c r="B348" s="1">
        <v>44</v>
      </c>
      <c r="C348" s="1" t="s">
        <v>273</v>
      </c>
      <c r="D348" s="1" t="s">
        <v>274</v>
      </c>
      <c r="E348" s="1" t="s">
        <v>49</v>
      </c>
      <c r="F348" s="1" t="s">
        <v>50</v>
      </c>
      <c r="G348" s="1" t="s">
        <v>51</v>
      </c>
      <c r="H348" s="1">
        <v>43</v>
      </c>
    </row>
    <row r="349" spans="2:8" ht="12.75">
      <c r="B349" s="1">
        <v>47</v>
      </c>
      <c r="C349" s="1" t="s">
        <v>273</v>
      </c>
      <c r="D349" s="1" t="s">
        <v>274</v>
      </c>
      <c r="E349" s="1" t="s">
        <v>49</v>
      </c>
      <c r="F349" s="1" t="s">
        <v>50</v>
      </c>
      <c r="G349" s="1" t="s">
        <v>51</v>
      </c>
      <c r="H349" s="1">
        <v>46</v>
      </c>
    </row>
    <row r="350" spans="2:8" ht="12.75">
      <c r="B350" s="1">
        <v>57</v>
      </c>
      <c r="C350" s="1" t="s">
        <v>273</v>
      </c>
      <c r="D350" s="1" t="s">
        <v>274</v>
      </c>
      <c r="E350" s="4" t="s">
        <v>49</v>
      </c>
      <c r="F350" s="1" t="s">
        <v>50</v>
      </c>
      <c r="G350" s="1" t="s">
        <v>51</v>
      </c>
      <c r="H350" s="1">
        <v>56</v>
      </c>
    </row>
    <row r="351" spans="2:8" ht="12.75">
      <c r="B351" s="1">
        <v>61</v>
      </c>
      <c r="C351" s="1" t="s">
        <v>273</v>
      </c>
      <c r="D351" s="1" t="s">
        <v>274</v>
      </c>
      <c r="E351" s="4" t="s">
        <v>49</v>
      </c>
      <c r="F351" s="1" t="s">
        <v>50</v>
      </c>
      <c r="G351" s="1" t="s">
        <v>51</v>
      </c>
      <c r="H351" s="1">
        <v>60</v>
      </c>
    </row>
    <row r="352" spans="2:8" ht="12.75">
      <c r="B352" s="1">
        <v>64</v>
      </c>
      <c r="C352" s="1" t="s">
        <v>273</v>
      </c>
      <c r="D352" s="1" t="s">
        <v>274</v>
      </c>
      <c r="E352" s="4" t="s">
        <v>49</v>
      </c>
      <c r="F352" s="1" t="s">
        <v>50</v>
      </c>
      <c r="G352" s="1" t="s">
        <v>51</v>
      </c>
      <c r="H352" s="1">
        <v>63</v>
      </c>
    </row>
    <row r="353" spans="2:8" ht="12.75">
      <c r="B353" s="1">
        <v>65</v>
      </c>
      <c r="C353" s="1" t="s">
        <v>273</v>
      </c>
      <c r="D353" s="1" t="s">
        <v>274</v>
      </c>
      <c r="E353" s="4" t="s">
        <v>49</v>
      </c>
      <c r="F353" s="1" t="s">
        <v>50</v>
      </c>
      <c r="G353" s="1" t="s">
        <v>51</v>
      </c>
      <c r="H353" s="1">
        <v>62</v>
      </c>
    </row>
    <row r="354" spans="2:8" ht="12.75">
      <c r="B354" s="1">
        <v>68</v>
      </c>
      <c r="C354" s="1" t="s">
        <v>273</v>
      </c>
      <c r="D354" s="1" t="s">
        <v>274</v>
      </c>
      <c r="E354" s="4" t="s">
        <v>49</v>
      </c>
      <c r="F354" s="1" t="s">
        <v>50</v>
      </c>
      <c r="G354" s="1" t="s">
        <v>51</v>
      </c>
      <c r="H354" s="1">
        <v>67</v>
      </c>
    </row>
    <row r="355" spans="2:8" ht="12.75">
      <c r="B355" s="1">
        <v>72</v>
      </c>
      <c r="C355" s="1" t="s">
        <v>273</v>
      </c>
      <c r="D355" s="1" t="s">
        <v>274</v>
      </c>
      <c r="E355" s="1" t="s">
        <v>49</v>
      </c>
      <c r="F355" s="1" t="s">
        <v>50</v>
      </c>
      <c r="G355" s="1" t="s">
        <v>51</v>
      </c>
      <c r="H355" s="1">
        <v>71</v>
      </c>
    </row>
    <row r="356" spans="2:8" ht="12.75">
      <c r="B356" s="1">
        <v>74</v>
      </c>
      <c r="C356" s="1" t="s">
        <v>274</v>
      </c>
      <c r="D356" s="1" t="s">
        <v>242</v>
      </c>
      <c r="E356" s="1" t="s">
        <v>275</v>
      </c>
      <c r="F356" s="1" t="s">
        <v>50</v>
      </c>
      <c r="G356" s="1" t="s">
        <v>51</v>
      </c>
      <c r="H356" s="1">
        <v>-67</v>
      </c>
    </row>
    <row r="357" spans="2:8" ht="12.75">
      <c r="B357" s="1">
        <v>75</v>
      </c>
      <c r="C357" s="1" t="s">
        <v>273</v>
      </c>
      <c r="D357" s="1" t="s">
        <v>274</v>
      </c>
      <c r="E357" s="1" t="s">
        <v>49</v>
      </c>
      <c r="F357" s="1" t="s">
        <v>50</v>
      </c>
      <c r="G357" s="1" t="s">
        <v>51</v>
      </c>
      <c r="H357" s="1">
        <v>74</v>
      </c>
    </row>
    <row r="358" spans="2:8" ht="12.75">
      <c r="B358" s="1">
        <v>75</v>
      </c>
      <c r="C358" s="1" t="s">
        <v>274</v>
      </c>
      <c r="D358" s="1" t="s">
        <v>242</v>
      </c>
      <c r="E358" s="1" t="s">
        <v>275</v>
      </c>
      <c r="F358" s="1" t="s">
        <v>50</v>
      </c>
      <c r="G358" s="1" t="s">
        <v>51</v>
      </c>
      <c r="H358" s="1">
        <v>-68</v>
      </c>
    </row>
    <row r="359" spans="2:8" ht="12.75">
      <c r="B359" s="1">
        <v>77</v>
      </c>
      <c r="C359" s="1" t="s">
        <v>274</v>
      </c>
      <c r="D359" s="1" t="s">
        <v>242</v>
      </c>
      <c r="E359" s="1" t="s">
        <v>275</v>
      </c>
      <c r="F359" s="1" t="s">
        <v>50</v>
      </c>
      <c r="G359" s="1" t="s">
        <v>51</v>
      </c>
      <c r="H359" s="1">
        <v>-62</v>
      </c>
    </row>
    <row r="360" spans="2:8" ht="12.75">
      <c r="B360" s="1">
        <v>78</v>
      </c>
      <c r="C360" s="1" t="s">
        <v>274</v>
      </c>
      <c r="D360" s="1" t="s">
        <v>242</v>
      </c>
      <c r="E360" s="1" t="s">
        <v>275</v>
      </c>
      <c r="F360" s="1" t="s">
        <v>50</v>
      </c>
      <c r="G360" s="1" t="s">
        <v>51</v>
      </c>
      <c r="H360" s="1">
        <v>63</v>
      </c>
    </row>
    <row r="361" spans="2:8" ht="12.75">
      <c r="B361" s="1">
        <v>79</v>
      </c>
      <c r="C361" s="1" t="s">
        <v>273</v>
      </c>
      <c r="D361" s="1" t="s">
        <v>274</v>
      </c>
      <c r="E361" s="1" t="s">
        <v>49</v>
      </c>
      <c r="F361" s="1" t="s">
        <v>50</v>
      </c>
      <c r="G361" s="1" t="s">
        <v>51</v>
      </c>
      <c r="H361" s="1">
        <v>78</v>
      </c>
    </row>
    <row r="362" spans="2:8" ht="12.75">
      <c r="B362" s="1">
        <v>80</v>
      </c>
      <c r="C362" s="1" t="s">
        <v>273</v>
      </c>
      <c r="D362" s="1" t="s">
        <v>274</v>
      </c>
      <c r="E362" s="1" t="s">
        <v>49</v>
      </c>
      <c r="F362" s="1" t="s">
        <v>50</v>
      </c>
      <c r="G362" s="1" t="s">
        <v>51</v>
      </c>
      <c r="H362" s="1">
        <v>77</v>
      </c>
    </row>
    <row r="363" spans="2:8" ht="12.75">
      <c r="B363" s="1">
        <v>80</v>
      </c>
      <c r="C363" s="1" t="s">
        <v>274</v>
      </c>
      <c r="D363" s="1" t="s">
        <v>242</v>
      </c>
      <c r="E363" s="1" t="s">
        <v>275</v>
      </c>
      <c r="F363" s="1" t="s">
        <v>50</v>
      </c>
      <c r="G363" s="1" t="s">
        <v>51</v>
      </c>
      <c r="H363" s="1">
        <v>-65</v>
      </c>
    </row>
    <row r="364" spans="2:8" ht="12.75">
      <c r="B364" s="1">
        <v>81</v>
      </c>
      <c r="C364" s="1" t="s">
        <v>274</v>
      </c>
      <c r="D364" s="1" t="s">
        <v>242</v>
      </c>
      <c r="E364" s="1" t="s">
        <v>275</v>
      </c>
      <c r="F364" s="1" t="s">
        <v>50</v>
      </c>
      <c r="G364" s="1" t="s">
        <v>51</v>
      </c>
      <c r="H364" s="1">
        <v>-60</v>
      </c>
    </row>
    <row r="365" spans="2:8" ht="12.75">
      <c r="B365" s="1">
        <v>82</v>
      </c>
      <c r="C365" s="1" t="s">
        <v>273</v>
      </c>
      <c r="D365" s="1" t="s">
        <v>274</v>
      </c>
      <c r="E365" s="1" t="s">
        <v>49</v>
      </c>
      <c r="F365" s="1" t="s">
        <v>50</v>
      </c>
      <c r="G365" s="1" t="s">
        <v>51</v>
      </c>
      <c r="H365" s="1">
        <v>81</v>
      </c>
    </row>
    <row r="366" spans="2:8" ht="12.75">
      <c r="B366" s="1">
        <v>82</v>
      </c>
      <c r="C366" s="1" t="s">
        <v>274</v>
      </c>
      <c r="D366" s="1" t="s">
        <v>242</v>
      </c>
      <c r="E366" s="1" t="s">
        <v>275</v>
      </c>
      <c r="F366" s="1" t="s">
        <v>50</v>
      </c>
      <c r="G366" s="1" t="s">
        <v>51</v>
      </c>
      <c r="H366" s="1">
        <v>-61</v>
      </c>
    </row>
    <row r="367" spans="2:8" ht="12.75">
      <c r="B367" s="1">
        <v>84</v>
      </c>
      <c r="C367" s="1" t="s">
        <v>274</v>
      </c>
      <c r="D367" s="1" t="s">
        <v>242</v>
      </c>
      <c r="E367" s="1" t="s">
        <v>275</v>
      </c>
      <c r="F367" s="1" t="s">
        <v>50</v>
      </c>
      <c r="G367" s="1" t="s">
        <v>51</v>
      </c>
      <c r="H367" s="1">
        <v>-56</v>
      </c>
    </row>
    <row r="368" spans="2:8" ht="12.75">
      <c r="B368" s="1">
        <v>85</v>
      </c>
      <c r="C368" s="1" t="s">
        <v>273</v>
      </c>
      <c r="D368" s="1" t="s">
        <v>274</v>
      </c>
      <c r="E368" s="1" t="s">
        <v>49</v>
      </c>
      <c r="F368" s="1" t="s">
        <v>50</v>
      </c>
      <c r="G368" s="1" t="s">
        <v>51</v>
      </c>
      <c r="H368" s="1">
        <v>84</v>
      </c>
    </row>
    <row r="369" spans="2:8" ht="12.75">
      <c r="B369" s="1">
        <v>85</v>
      </c>
      <c r="C369" s="1" t="s">
        <v>274</v>
      </c>
      <c r="D369" s="1" t="s">
        <v>242</v>
      </c>
      <c r="E369" s="1" t="s">
        <v>275</v>
      </c>
      <c r="F369" s="1" t="s">
        <v>50</v>
      </c>
      <c r="G369" s="1" t="s">
        <v>51</v>
      </c>
      <c r="H369" s="1">
        <v>-57</v>
      </c>
    </row>
    <row r="370" spans="2:8" ht="12.75">
      <c r="B370" s="1">
        <v>87</v>
      </c>
      <c r="C370" s="1" t="s">
        <v>274</v>
      </c>
      <c r="D370" s="1" t="s">
        <v>242</v>
      </c>
      <c r="E370" s="1" t="s">
        <v>275</v>
      </c>
      <c r="F370" s="1" t="s">
        <v>50</v>
      </c>
      <c r="G370" s="1" t="s">
        <v>51</v>
      </c>
      <c r="H370" s="1">
        <v>-51</v>
      </c>
    </row>
    <row r="371" spans="2:8" ht="12.75">
      <c r="B371" s="1">
        <v>88</v>
      </c>
      <c r="C371" s="1" t="s">
        <v>274</v>
      </c>
      <c r="D371" s="1" t="s">
        <v>242</v>
      </c>
      <c r="E371" s="1" t="s">
        <v>275</v>
      </c>
      <c r="F371" s="1" t="s">
        <v>50</v>
      </c>
      <c r="G371" s="1" t="s">
        <v>51</v>
      </c>
      <c r="H371" s="1">
        <v>-54</v>
      </c>
    </row>
    <row r="372" spans="2:8" ht="12.75">
      <c r="B372" s="1">
        <v>90</v>
      </c>
      <c r="C372" s="1" t="s">
        <v>274</v>
      </c>
      <c r="D372" s="1" t="s">
        <v>242</v>
      </c>
      <c r="E372" s="1" t="s">
        <v>275</v>
      </c>
      <c r="F372" s="1" t="s">
        <v>50</v>
      </c>
      <c r="G372" s="1" t="s">
        <v>51</v>
      </c>
      <c r="H372" s="1">
        <v>-46</v>
      </c>
    </row>
    <row r="373" spans="2:8" ht="12.75">
      <c r="B373" s="1">
        <v>91</v>
      </c>
      <c r="C373" s="1" t="s">
        <v>273</v>
      </c>
      <c r="D373" s="1" t="s">
        <v>274</v>
      </c>
      <c r="E373" s="1" t="s">
        <v>49</v>
      </c>
      <c r="F373" s="1" t="s">
        <v>50</v>
      </c>
      <c r="G373" s="1" t="s">
        <v>51</v>
      </c>
      <c r="H373" s="1">
        <v>90</v>
      </c>
    </row>
    <row r="374" spans="2:8" ht="12.75">
      <c r="B374" s="1">
        <v>91</v>
      </c>
      <c r="C374" s="1" t="s">
        <v>274</v>
      </c>
      <c r="D374" s="1" t="s">
        <v>242</v>
      </c>
      <c r="E374" s="1" t="s">
        <v>275</v>
      </c>
      <c r="F374" s="1" t="s">
        <v>50</v>
      </c>
      <c r="G374" s="1" t="s">
        <v>51</v>
      </c>
      <c r="H374" s="1">
        <v>-47</v>
      </c>
    </row>
    <row r="375" spans="2:8" ht="12.75">
      <c r="B375" s="1">
        <v>93</v>
      </c>
      <c r="C375" s="1" t="s">
        <v>274</v>
      </c>
      <c r="D375" s="1" t="s">
        <v>242</v>
      </c>
      <c r="E375" s="1" t="s">
        <v>275</v>
      </c>
      <c r="F375" s="1" t="s">
        <v>50</v>
      </c>
      <c r="G375" s="1" t="s">
        <v>51</v>
      </c>
      <c r="H375" s="1">
        <v>-43</v>
      </c>
    </row>
    <row r="376" spans="2:8" ht="12.75">
      <c r="B376" s="1">
        <v>94</v>
      </c>
      <c r="C376" s="1" t="s">
        <v>273</v>
      </c>
      <c r="D376" s="1" t="s">
        <v>274</v>
      </c>
      <c r="E376" s="1" t="s">
        <v>49</v>
      </c>
      <c r="F376" s="1" t="s">
        <v>50</v>
      </c>
      <c r="G376" s="1" t="s">
        <v>51</v>
      </c>
      <c r="H376" s="1">
        <v>93</v>
      </c>
    </row>
    <row r="377" spans="2:8" ht="12.75">
      <c r="B377" s="1">
        <v>94</v>
      </c>
      <c r="C377" s="1" t="s">
        <v>274</v>
      </c>
      <c r="D377" s="1" t="s">
        <v>242</v>
      </c>
      <c r="E377" s="1" t="s">
        <v>275</v>
      </c>
      <c r="F377" s="1" t="s">
        <v>50</v>
      </c>
      <c r="G377" s="1" t="s">
        <v>51</v>
      </c>
      <c r="H377" s="1">
        <v>-44</v>
      </c>
    </row>
    <row r="378" spans="2:8" ht="12.75">
      <c r="B378" s="1">
        <v>97</v>
      </c>
      <c r="C378" s="1" t="s">
        <v>274</v>
      </c>
      <c r="D378" s="1" t="s">
        <v>242</v>
      </c>
      <c r="E378" s="1" t="s">
        <v>275</v>
      </c>
      <c r="F378" s="1" t="s">
        <v>50</v>
      </c>
      <c r="G378" s="1" t="s">
        <v>51</v>
      </c>
      <c r="H378" s="1">
        <v>35</v>
      </c>
    </row>
    <row r="379" spans="2:8" ht="12.75">
      <c r="B379" s="1">
        <v>98</v>
      </c>
      <c r="C379" s="1" t="s">
        <v>274</v>
      </c>
      <c r="D379" s="1" t="s">
        <v>242</v>
      </c>
      <c r="E379" s="1" t="s">
        <v>275</v>
      </c>
      <c r="F379" s="1" t="s">
        <v>50</v>
      </c>
      <c r="G379" s="1" t="s">
        <v>51</v>
      </c>
      <c r="H379" s="1">
        <v>36</v>
      </c>
    </row>
    <row r="380" spans="2:8" ht="12.75">
      <c r="B380" s="1">
        <v>99</v>
      </c>
      <c r="C380" s="1" t="s">
        <v>273</v>
      </c>
      <c r="D380" s="1" t="s">
        <v>274</v>
      </c>
      <c r="E380" s="1" t="s">
        <v>49</v>
      </c>
      <c r="F380" s="1" t="s">
        <v>50</v>
      </c>
      <c r="G380" s="1" t="s">
        <v>51</v>
      </c>
      <c r="H380" s="1">
        <v>98</v>
      </c>
    </row>
    <row r="381" spans="2:8" ht="12.75">
      <c r="B381" s="1">
        <v>100</v>
      </c>
      <c r="C381" s="1" t="s">
        <v>273</v>
      </c>
      <c r="D381" s="1" t="s">
        <v>274</v>
      </c>
      <c r="E381" s="1" t="s">
        <v>49</v>
      </c>
      <c r="F381" s="4" t="s">
        <v>50</v>
      </c>
      <c r="G381" s="1" t="s">
        <v>51</v>
      </c>
      <c r="H381" s="4">
        <v>97</v>
      </c>
    </row>
    <row r="382" spans="2:8" ht="12.75">
      <c r="B382" s="1">
        <v>100</v>
      </c>
      <c r="C382" s="1" t="s">
        <v>274</v>
      </c>
      <c r="D382" s="1" t="s">
        <v>242</v>
      </c>
      <c r="E382" s="1" t="s">
        <v>275</v>
      </c>
      <c r="F382" s="1" t="s">
        <v>50</v>
      </c>
      <c r="G382" s="1" t="s">
        <v>51</v>
      </c>
      <c r="H382" s="1">
        <v>38</v>
      </c>
    </row>
    <row r="383" spans="2:8" ht="12.75">
      <c r="B383" s="1">
        <v>104</v>
      </c>
      <c r="C383" s="1" t="s">
        <v>274</v>
      </c>
      <c r="D383" s="1" t="s">
        <v>242</v>
      </c>
      <c r="E383" s="1" t="s">
        <v>275</v>
      </c>
      <c r="F383" s="4" t="s">
        <v>50</v>
      </c>
      <c r="G383" s="1" t="s">
        <v>51</v>
      </c>
      <c r="H383" s="4">
        <v>-97</v>
      </c>
    </row>
    <row r="384" spans="2:8" ht="12.75">
      <c r="B384" s="1">
        <v>105</v>
      </c>
      <c r="C384" s="1" t="s">
        <v>274</v>
      </c>
      <c r="D384" s="1" t="s">
        <v>242</v>
      </c>
      <c r="E384" s="1" t="s">
        <v>275</v>
      </c>
      <c r="F384" s="4" t="s">
        <v>50</v>
      </c>
      <c r="G384" s="1" t="s">
        <v>51</v>
      </c>
      <c r="H384" s="4">
        <v>98</v>
      </c>
    </row>
    <row r="385" spans="2:8" ht="12.75">
      <c r="B385" s="1">
        <v>106</v>
      </c>
      <c r="C385" s="1" t="s">
        <v>273</v>
      </c>
      <c r="D385" s="1" t="s">
        <v>274</v>
      </c>
      <c r="E385" s="1" t="s">
        <v>49</v>
      </c>
      <c r="F385" s="1" t="s">
        <v>50</v>
      </c>
      <c r="G385" s="1" t="s">
        <v>51</v>
      </c>
      <c r="H385" s="1">
        <v>105</v>
      </c>
    </row>
    <row r="386" spans="2:8" ht="12.75">
      <c r="B386" s="1">
        <v>107</v>
      </c>
      <c r="C386" s="1" t="s">
        <v>273</v>
      </c>
      <c r="D386" s="1" t="s">
        <v>274</v>
      </c>
      <c r="E386" s="1" t="s">
        <v>49</v>
      </c>
      <c r="F386" s="1" t="s">
        <v>50</v>
      </c>
      <c r="G386" s="1" t="s">
        <v>51</v>
      </c>
      <c r="H386" s="1">
        <v>104</v>
      </c>
    </row>
    <row r="387" spans="2:8" ht="12.75">
      <c r="B387" s="1">
        <v>107</v>
      </c>
      <c r="C387" s="1" t="s">
        <v>274</v>
      </c>
      <c r="D387" s="1" t="s">
        <v>242</v>
      </c>
      <c r="E387" s="1" t="s">
        <v>275</v>
      </c>
      <c r="F387" s="1" t="s">
        <v>50</v>
      </c>
      <c r="G387" s="1" t="s">
        <v>51</v>
      </c>
      <c r="H387" s="1">
        <v>-100</v>
      </c>
    </row>
    <row r="388" spans="2:8" ht="12.75">
      <c r="B388" s="1">
        <v>108</v>
      </c>
      <c r="C388" s="1" t="s">
        <v>274</v>
      </c>
      <c r="D388" s="1" t="s">
        <v>242</v>
      </c>
      <c r="E388" s="1" t="s">
        <v>275</v>
      </c>
      <c r="F388" s="1" t="s">
        <v>50</v>
      </c>
      <c r="G388" s="1" t="s">
        <v>51</v>
      </c>
      <c r="H388" s="1">
        <v>-39</v>
      </c>
    </row>
    <row r="389" spans="2:8" ht="12.75">
      <c r="B389" s="1">
        <v>109</v>
      </c>
      <c r="C389" s="1" t="s">
        <v>273</v>
      </c>
      <c r="D389" s="1" t="s">
        <v>274</v>
      </c>
      <c r="E389" s="1" t="s">
        <v>49</v>
      </c>
      <c r="F389" s="1" t="s">
        <v>50</v>
      </c>
      <c r="G389" s="1" t="s">
        <v>51</v>
      </c>
      <c r="H389" s="1">
        <v>108</v>
      </c>
    </row>
    <row r="390" spans="2:8" ht="12.75">
      <c r="B390" s="1">
        <v>109</v>
      </c>
      <c r="C390" s="1" t="s">
        <v>274</v>
      </c>
      <c r="D390" s="1" t="s">
        <v>242</v>
      </c>
      <c r="E390" s="1" t="s">
        <v>275</v>
      </c>
      <c r="F390" s="4" t="s">
        <v>50</v>
      </c>
      <c r="G390" s="1" t="s">
        <v>51</v>
      </c>
      <c r="H390" s="4">
        <v>-40</v>
      </c>
    </row>
    <row r="391" spans="2:8" ht="12.75">
      <c r="B391" s="1">
        <v>111</v>
      </c>
      <c r="C391" s="1" t="s">
        <v>274</v>
      </c>
      <c r="D391" s="1" t="s">
        <v>242</v>
      </c>
      <c r="E391" s="1" t="s">
        <v>275</v>
      </c>
      <c r="F391" s="4" t="s">
        <v>50</v>
      </c>
      <c r="G391" s="1" t="s">
        <v>51</v>
      </c>
      <c r="H391" s="4">
        <v>-43</v>
      </c>
    </row>
    <row r="392" spans="2:8" ht="12.75">
      <c r="B392" s="1">
        <v>112</v>
      </c>
      <c r="C392" s="1" t="s">
        <v>273</v>
      </c>
      <c r="D392" s="1" t="s">
        <v>274</v>
      </c>
      <c r="E392" s="1" t="s">
        <v>49</v>
      </c>
      <c r="F392" s="4" t="s">
        <v>50</v>
      </c>
      <c r="G392" s="1" t="s">
        <v>51</v>
      </c>
      <c r="H392" s="4">
        <v>111</v>
      </c>
    </row>
    <row r="393" spans="2:8" ht="12.75">
      <c r="B393" s="1">
        <v>112</v>
      </c>
      <c r="C393" s="1" t="s">
        <v>274</v>
      </c>
      <c r="D393" s="1" t="s">
        <v>242</v>
      </c>
      <c r="E393" s="1" t="s">
        <v>275</v>
      </c>
      <c r="F393" s="4" t="s">
        <v>50</v>
      </c>
      <c r="G393" s="1" t="s">
        <v>51</v>
      </c>
      <c r="H393" s="4">
        <v>-44</v>
      </c>
    </row>
    <row r="394" spans="2:8" ht="12.75">
      <c r="B394" s="1">
        <v>114</v>
      </c>
      <c r="C394" s="1" t="s">
        <v>274</v>
      </c>
      <c r="D394" s="1" t="s">
        <v>242</v>
      </c>
      <c r="E394" s="1" t="s">
        <v>275</v>
      </c>
      <c r="F394" s="4" t="s">
        <v>50</v>
      </c>
      <c r="G394" s="1" t="s">
        <v>51</v>
      </c>
      <c r="H394" s="4">
        <v>-46</v>
      </c>
    </row>
    <row r="395" spans="2:8" ht="12.75">
      <c r="B395" s="1">
        <v>115</v>
      </c>
      <c r="C395" s="1" t="s">
        <v>273</v>
      </c>
      <c r="D395" s="1" t="s">
        <v>274</v>
      </c>
      <c r="E395" s="1" t="s">
        <v>49</v>
      </c>
      <c r="F395" s="4" t="s">
        <v>50</v>
      </c>
      <c r="G395" s="1" t="s">
        <v>51</v>
      </c>
      <c r="H395" s="4">
        <v>114</v>
      </c>
    </row>
    <row r="396" spans="2:8" ht="12.75">
      <c r="B396" s="1">
        <v>115</v>
      </c>
      <c r="C396" s="1" t="s">
        <v>274</v>
      </c>
      <c r="D396" s="1" t="s">
        <v>242</v>
      </c>
      <c r="E396" s="1" t="s">
        <v>275</v>
      </c>
      <c r="F396" s="1" t="s">
        <v>50</v>
      </c>
      <c r="G396" s="1" t="s">
        <v>51</v>
      </c>
      <c r="H396" s="1">
        <v>-47</v>
      </c>
    </row>
    <row r="397" spans="2:8" ht="12.75">
      <c r="B397" s="1">
        <v>119</v>
      </c>
      <c r="C397" s="1" t="s">
        <v>274</v>
      </c>
      <c r="D397" s="1" t="s">
        <v>242</v>
      </c>
      <c r="E397" s="1" t="s">
        <v>275</v>
      </c>
      <c r="F397" s="4" t="s">
        <v>50</v>
      </c>
      <c r="G397" s="1" t="s">
        <v>51</v>
      </c>
      <c r="H397" s="4">
        <v>-51</v>
      </c>
    </row>
    <row r="398" spans="2:8" ht="12.75">
      <c r="B398" s="1">
        <v>122</v>
      </c>
      <c r="C398" s="1" t="s">
        <v>274</v>
      </c>
      <c r="D398" s="1" t="s">
        <v>242</v>
      </c>
      <c r="E398" s="1" t="s">
        <v>275</v>
      </c>
      <c r="F398" s="4" t="s">
        <v>50</v>
      </c>
      <c r="G398" s="1" t="s">
        <v>51</v>
      </c>
      <c r="H398" s="4">
        <v>-54</v>
      </c>
    </row>
    <row r="399" spans="2:8" ht="12.75">
      <c r="B399" s="1">
        <v>124</v>
      </c>
      <c r="C399" s="1" t="s">
        <v>274</v>
      </c>
      <c r="D399" s="1" t="s">
        <v>242</v>
      </c>
      <c r="E399" s="1" t="s">
        <v>275</v>
      </c>
      <c r="F399" s="1" t="s">
        <v>50</v>
      </c>
      <c r="G399" s="1" t="s">
        <v>51</v>
      </c>
      <c r="H399" s="1">
        <v>-56</v>
      </c>
    </row>
    <row r="400" spans="2:8" ht="12.75">
      <c r="B400" s="1">
        <v>125</v>
      </c>
      <c r="C400" s="1" t="s">
        <v>273</v>
      </c>
      <c r="D400" s="1" t="s">
        <v>274</v>
      </c>
      <c r="E400" s="1" t="s">
        <v>49</v>
      </c>
      <c r="F400" s="1" t="s">
        <v>50</v>
      </c>
      <c r="G400" s="1" t="s">
        <v>51</v>
      </c>
      <c r="H400" s="1">
        <v>124</v>
      </c>
    </row>
    <row r="401" spans="2:8" ht="12.75">
      <c r="B401" s="1">
        <v>125</v>
      </c>
      <c r="C401" s="1" t="s">
        <v>274</v>
      </c>
      <c r="D401" s="1" t="s">
        <v>242</v>
      </c>
      <c r="E401" s="1" t="s">
        <v>275</v>
      </c>
      <c r="F401" s="1" t="s">
        <v>50</v>
      </c>
      <c r="G401" s="1" t="s">
        <v>51</v>
      </c>
      <c r="H401" s="1">
        <v>-57</v>
      </c>
    </row>
    <row r="402" spans="2:8" ht="12.75">
      <c r="B402" s="1">
        <v>128</v>
      </c>
      <c r="C402" s="1" t="s">
        <v>274</v>
      </c>
      <c r="D402" s="1" t="s">
        <v>242</v>
      </c>
      <c r="E402" s="1" t="s">
        <v>275</v>
      </c>
      <c r="F402" s="1" t="s">
        <v>50</v>
      </c>
      <c r="G402" s="1" t="s">
        <v>51</v>
      </c>
      <c r="H402" s="1">
        <v>-60</v>
      </c>
    </row>
    <row r="403" spans="2:8" ht="12.75">
      <c r="B403" s="1">
        <v>129</v>
      </c>
      <c r="C403" s="1" t="s">
        <v>273</v>
      </c>
      <c r="D403" s="1" t="s">
        <v>274</v>
      </c>
      <c r="E403" s="1" t="s">
        <v>49</v>
      </c>
      <c r="F403" s="1" t="s">
        <v>50</v>
      </c>
      <c r="G403" s="1" t="s">
        <v>51</v>
      </c>
      <c r="H403" s="1">
        <v>128</v>
      </c>
    </row>
    <row r="404" spans="2:8" ht="12.75">
      <c r="B404" s="1">
        <v>129</v>
      </c>
      <c r="C404" s="1" t="s">
        <v>274</v>
      </c>
      <c r="D404" s="1" t="s">
        <v>242</v>
      </c>
      <c r="E404" s="1" t="s">
        <v>275</v>
      </c>
      <c r="F404" s="1" t="s">
        <v>50</v>
      </c>
      <c r="G404" s="1" t="s">
        <v>51</v>
      </c>
      <c r="H404" s="1">
        <v>-61</v>
      </c>
    </row>
    <row r="405" spans="2:8" ht="12.75">
      <c r="B405" s="1">
        <v>130</v>
      </c>
      <c r="C405" s="1" t="s">
        <v>274</v>
      </c>
      <c r="D405" s="1" t="s">
        <v>242</v>
      </c>
      <c r="E405" s="1" t="s">
        <v>275</v>
      </c>
      <c r="F405" s="1" t="s">
        <v>50</v>
      </c>
      <c r="G405" s="1" t="s">
        <v>51</v>
      </c>
      <c r="H405" s="1">
        <v>-62</v>
      </c>
    </row>
    <row r="406" spans="2:8" ht="12.75">
      <c r="B406" s="1">
        <v>131</v>
      </c>
      <c r="C406" s="1" t="s">
        <v>274</v>
      </c>
      <c r="D406" s="1" t="s">
        <v>242</v>
      </c>
      <c r="E406" s="1" t="s">
        <v>275</v>
      </c>
      <c r="F406" s="1" t="s">
        <v>50</v>
      </c>
      <c r="G406" s="1" t="s">
        <v>51</v>
      </c>
      <c r="H406" s="1">
        <v>63</v>
      </c>
    </row>
    <row r="407" spans="2:8" ht="12.75">
      <c r="B407" s="1">
        <v>132</v>
      </c>
      <c r="C407" s="1" t="s">
        <v>273</v>
      </c>
      <c r="D407" s="1" t="s">
        <v>274</v>
      </c>
      <c r="E407" s="1" t="s">
        <v>49</v>
      </c>
      <c r="F407" s="1" t="s">
        <v>50</v>
      </c>
      <c r="G407" s="1" t="s">
        <v>51</v>
      </c>
      <c r="H407" s="1">
        <v>131</v>
      </c>
    </row>
    <row r="408" spans="2:8" ht="12.75">
      <c r="B408" s="1">
        <v>133</v>
      </c>
      <c r="C408" s="1" t="s">
        <v>273</v>
      </c>
      <c r="D408" s="1" t="s">
        <v>274</v>
      </c>
      <c r="E408" s="1" t="s">
        <v>49</v>
      </c>
      <c r="F408" s="1" t="s">
        <v>50</v>
      </c>
      <c r="G408" s="1" t="s">
        <v>51</v>
      </c>
      <c r="H408" s="1">
        <v>130</v>
      </c>
    </row>
    <row r="409" spans="2:8" ht="12.75">
      <c r="B409" s="1">
        <v>134</v>
      </c>
      <c r="C409" s="1" t="s">
        <v>274</v>
      </c>
      <c r="D409" s="1" t="s">
        <v>242</v>
      </c>
      <c r="E409" s="1" t="s">
        <v>275</v>
      </c>
      <c r="F409" s="1" t="s">
        <v>50</v>
      </c>
      <c r="G409" s="1" t="s">
        <v>51</v>
      </c>
      <c r="H409" s="1">
        <v>-65</v>
      </c>
    </row>
    <row r="410" spans="2:8" ht="12.75">
      <c r="B410" s="1">
        <v>136</v>
      </c>
      <c r="C410" s="1" t="s">
        <v>274</v>
      </c>
      <c r="D410" s="1" t="s">
        <v>242</v>
      </c>
      <c r="E410" s="1" t="s">
        <v>275</v>
      </c>
      <c r="F410" s="1" t="s">
        <v>50</v>
      </c>
      <c r="G410" s="1" t="s">
        <v>51</v>
      </c>
      <c r="H410" s="1">
        <v>-67</v>
      </c>
    </row>
    <row r="411" spans="2:8" ht="12.75">
      <c r="B411" s="1">
        <v>137</v>
      </c>
      <c r="C411" s="1" t="s">
        <v>273</v>
      </c>
      <c r="D411" s="1" t="s">
        <v>274</v>
      </c>
      <c r="E411" s="4" t="s">
        <v>49</v>
      </c>
      <c r="F411" s="1" t="s">
        <v>50</v>
      </c>
      <c r="G411" s="1" t="s">
        <v>51</v>
      </c>
      <c r="H411" s="1">
        <v>136</v>
      </c>
    </row>
    <row r="412" spans="2:8" ht="12.75">
      <c r="B412" s="1">
        <v>137</v>
      </c>
      <c r="C412" s="1" t="s">
        <v>274</v>
      </c>
      <c r="D412" s="1" t="s">
        <v>242</v>
      </c>
      <c r="E412" s="4" t="s">
        <v>275</v>
      </c>
      <c r="F412" s="1" t="s">
        <v>50</v>
      </c>
      <c r="G412" s="1" t="s">
        <v>51</v>
      </c>
      <c r="H412" s="1">
        <v>-68</v>
      </c>
    </row>
    <row r="413" spans="2:8" ht="12.75">
      <c r="B413" s="1">
        <v>140</v>
      </c>
      <c r="C413" s="1" t="s">
        <v>274</v>
      </c>
      <c r="D413" s="1" t="s">
        <v>242</v>
      </c>
      <c r="E413" s="1" t="s">
        <v>275</v>
      </c>
      <c r="F413" s="1" t="s">
        <v>50</v>
      </c>
      <c r="G413" s="1" t="s">
        <v>51</v>
      </c>
      <c r="H413" s="1">
        <v>71</v>
      </c>
    </row>
    <row r="414" spans="6:8" ht="12.75">
      <c r="F414" s="4"/>
      <c r="H414" s="4"/>
    </row>
    <row r="415" spans="2:8" ht="12.75">
      <c r="B415" s="1" t="s">
        <v>41</v>
      </c>
      <c r="C415" s="1" t="s">
        <v>47</v>
      </c>
      <c r="D415" s="1" t="s">
        <v>45</v>
      </c>
      <c r="F415" s="4"/>
      <c r="H415" s="4"/>
    </row>
    <row r="416" spans="6:8" ht="12.75">
      <c r="F416" s="4"/>
      <c r="H416" s="4"/>
    </row>
    <row r="417" spans="2:11" ht="12.75">
      <c r="B417" s="1" t="s">
        <v>41</v>
      </c>
      <c r="C417" s="1" t="s">
        <v>47</v>
      </c>
      <c r="D417" s="1" t="s">
        <v>50</v>
      </c>
      <c r="E417" s="1" t="s">
        <v>181</v>
      </c>
      <c r="F417" s="4" t="s">
        <v>46</v>
      </c>
      <c r="G417" s="1" t="s">
        <v>47</v>
      </c>
      <c r="H417" s="4" t="s">
        <v>48</v>
      </c>
      <c r="I417" s="1" t="s">
        <v>49</v>
      </c>
      <c r="J417" s="1" t="s">
        <v>50</v>
      </c>
      <c r="K417" s="1">
        <v>9</v>
      </c>
    </row>
    <row r="418" spans="2:8" ht="12.75">
      <c r="B418" s="1" t="s">
        <v>260</v>
      </c>
      <c r="E418" s="4"/>
      <c r="F418" s="4"/>
      <c r="H418" s="4"/>
    </row>
    <row r="419" spans="2:9" ht="12.75">
      <c r="B419" s="1" t="s">
        <v>39</v>
      </c>
      <c r="C419" s="1" t="s">
        <v>14</v>
      </c>
      <c r="D419" s="1" t="s">
        <v>69</v>
      </c>
      <c r="E419" s="4" t="s">
        <v>70</v>
      </c>
      <c r="F419" s="1" t="s">
        <v>276</v>
      </c>
      <c r="G419" s="1" t="s">
        <v>261</v>
      </c>
      <c r="H419" s="1" t="s">
        <v>262</v>
      </c>
      <c r="I419" s="1" t="s">
        <v>263</v>
      </c>
    </row>
    <row r="420" spans="2:5" ht="12.75">
      <c r="B420" s="1" t="s">
        <v>260</v>
      </c>
      <c r="E420" s="4"/>
    </row>
    <row r="421" spans="2:8" ht="12.75">
      <c r="B421" s="1">
        <v>1</v>
      </c>
      <c r="C421" s="1">
        <v>38.144766</v>
      </c>
      <c r="D421" s="1">
        <v>56.731939</v>
      </c>
      <c r="E421" s="1">
        <v>-1049.868507</v>
      </c>
      <c r="F421" s="1">
        <v>-0.18291</v>
      </c>
      <c r="G421" s="1">
        <v>0.12298</v>
      </c>
      <c r="H421" s="1">
        <v>-0.00039</v>
      </c>
    </row>
    <row r="422" spans="2:8" ht="12.75">
      <c r="B422" s="1">
        <v>2</v>
      </c>
      <c r="C422" s="1">
        <v>0</v>
      </c>
      <c r="D422" s="1">
        <v>0</v>
      </c>
      <c r="E422" s="4">
        <v>16700</v>
      </c>
      <c r="F422" s="1">
        <v>0</v>
      </c>
      <c r="G422" s="1">
        <v>0.12298</v>
      </c>
      <c r="H422" s="1">
        <v>0</v>
      </c>
    </row>
    <row r="423" spans="2:8" ht="12.75">
      <c r="B423" s="1">
        <v>3</v>
      </c>
      <c r="C423" s="1">
        <v>0</v>
      </c>
      <c r="D423" s="1">
        <v>0</v>
      </c>
      <c r="E423" s="4">
        <v>16700</v>
      </c>
      <c r="F423" s="1">
        <v>0</v>
      </c>
      <c r="G423" s="1">
        <v>0</v>
      </c>
      <c r="H423" s="1">
        <v>0</v>
      </c>
    </row>
    <row r="424" spans="2:8" ht="12.75">
      <c r="B424" s="1">
        <v>4</v>
      </c>
      <c r="C424" s="1">
        <v>0</v>
      </c>
      <c r="D424" s="1">
        <v>0</v>
      </c>
      <c r="E424" s="1">
        <v>-1050</v>
      </c>
      <c r="F424" s="1">
        <v>0</v>
      </c>
      <c r="G424" s="1">
        <v>0</v>
      </c>
      <c r="H424" s="4">
        <v>0</v>
      </c>
    </row>
    <row r="425" spans="2:8" ht="12.75">
      <c r="B425" s="1">
        <v>5</v>
      </c>
      <c r="C425" s="1">
        <v>0</v>
      </c>
      <c r="D425" s="1">
        <v>0</v>
      </c>
      <c r="E425" s="1">
        <v>-3050</v>
      </c>
      <c r="F425" s="1">
        <v>0</v>
      </c>
      <c r="G425" s="1">
        <v>0</v>
      </c>
      <c r="H425" s="4">
        <v>0</v>
      </c>
    </row>
    <row r="426" spans="2:8" ht="12.75">
      <c r="B426" s="1">
        <v>6</v>
      </c>
      <c r="C426" s="1">
        <v>0</v>
      </c>
      <c r="D426" s="1">
        <v>0</v>
      </c>
      <c r="E426" s="1">
        <v>-1050</v>
      </c>
      <c r="F426" s="1">
        <v>0</v>
      </c>
      <c r="G426" s="1">
        <v>0</v>
      </c>
      <c r="H426" s="4">
        <v>0</v>
      </c>
    </row>
    <row r="427" spans="2:8" ht="12.75">
      <c r="B427" s="1" t="s">
        <v>220</v>
      </c>
      <c r="C427" s="1">
        <v>0</v>
      </c>
      <c r="D427" s="1">
        <v>0</v>
      </c>
      <c r="E427" s="1">
        <v>-2637.998</v>
      </c>
      <c r="F427" s="1">
        <v>0</v>
      </c>
      <c r="G427" s="1">
        <v>0</v>
      </c>
      <c r="H427" s="4">
        <v>0</v>
      </c>
    </row>
    <row r="428" spans="2:8" ht="12.75">
      <c r="B428" s="1">
        <v>8</v>
      </c>
      <c r="C428" s="1">
        <v>0</v>
      </c>
      <c r="D428" s="1">
        <v>0</v>
      </c>
      <c r="E428" s="1">
        <v>-1050</v>
      </c>
      <c r="F428" s="1">
        <v>0</v>
      </c>
      <c r="G428" s="1">
        <v>0</v>
      </c>
      <c r="H428" s="4">
        <v>0</v>
      </c>
    </row>
    <row r="429" spans="2:8" ht="12.75">
      <c r="B429" s="1">
        <v>9</v>
      </c>
      <c r="C429" s="1">
        <v>0</v>
      </c>
      <c r="D429" s="1">
        <v>0</v>
      </c>
      <c r="E429" s="1">
        <v>0</v>
      </c>
      <c r="F429" s="1">
        <v>0</v>
      </c>
      <c r="G429" s="1">
        <v>0</v>
      </c>
      <c r="H429" s="1">
        <v>0</v>
      </c>
    </row>
    <row r="430" spans="2:8" ht="12.75">
      <c r="B430" s="1">
        <v>10</v>
      </c>
      <c r="C430" s="1">
        <v>0</v>
      </c>
      <c r="D430" s="1">
        <v>-91.048</v>
      </c>
      <c r="E430" s="1">
        <v>0</v>
      </c>
      <c r="F430" s="1">
        <v>-1.9766</v>
      </c>
      <c r="G430" s="1">
        <v>0</v>
      </c>
      <c r="H430" s="4">
        <v>0</v>
      </c>
    </row>
    <row r="431" spans="2:8" ht="12.75">
      <c r="B431" s="1">
        <v>11</v>
      </c>
      <c r="C431" s="1">
        <v>0</v>
      </c>
      <c r="D431" s="1">
        <v>-243.065859</v>
      </c>
      <c r="E431" s="1">
        <v>78.379337</v>
      </c>
      <c r="F431" s="1">
        <v>-8.6832</v>
      </c>
      <c r="G431" s="1">
        <v>0</v>
      </c>
      <c r="H431" s="1">
        <v>0</v>
      </c>
    </row>
    <row r="432" spans="2:8" ht="12.75">
      <c r="B432" s="1">
        <v>12</v>
      </c>
      <c r="C432" s="1">
        <v>0</v>
      </c>
      <c r="D432" s="1">
        <v>-93.493436</v>
      </c>
      <c r="E432" s="1">
        <v>70.857814</v>
      </c>
      <c r="F432" s="1">
        <v>29.9534</v>
      </c>
      <c r="G432" s="1">
        <v>0</v>
      </c>
      <c r="H432" s="4">
        <v>0</v>
      </c>
    </row>
    <row r="433" spans="2:8" ht="12.75">
      <c r="B433" s="1">
        <v>13</v>
      </c>
      <c r="C433" s="1">
        <v>0</v>
      </c>
      <c r="D433" s="1">
        <v>-200.09302</v>
      </c>
      <c r="E433" s="1">
        <v>-114.125371</v>
      </c>
      <c r="F433" s="1">
        <v>17.9434</v>
      </c>
      <c r="G433" s="1">
        <v>0</v>
      </c>
      <c r="H433" s="4">
        <v>0</v>
      </c>
    </row>
    <row r="434" spans="2:8" ht="12.75">
      <c r="B434" s="1">
        <v>14</v>
      </c>
      <c r="C434" s="1">
        <v>0</v>
      </c>
      <c r="D434" s="1">
        <v>-200.09302</v>
      </c>
      <c r="E434" s="1">
        <v>-114.125371</v>
      </c>
      <c r="F434" s="1">
        <v>17.9434</v>
      </c>
      <c r="G434" s="1">
        <v>0</v>
      </c>
      <c r="H434" s="1">
        <v>0</v>
      </c>
    </row>
    <row r="435" spans="2:8" ht="12.75">
      <c r="B435" s="1">
        <v>15</v>
      </c>
      <c r="C435" s="1">
        <v>0</v>
      </c>
      <c r="D435" s="1">
        <v>-200.09302</v>
      </c>
      <c r="E435" s="1">
        <v>-114.125371</v>
      </c>
      <c r="F435" s="1">
        <v>17.9434</v>
      </c>
      <c r="G435" s="1">
        <v>0</v>
      </c>
      <c r="H435" s="1">
        <v>0</v>
      </c>
    </row>
    <row r="436" spans="2:8" ht="12.75">
      <c r="B436" s="1">
        <v>16</v>
      </c>
      <c r="C436" s="1">
        <v>0</v>
      </c>
      <c r="D436" s="1">
        <v>-200.09302</v>
      </c>
      <c r="E436" s="1">
        <v>-114.125371</v>
      </c>
      <c r="F436" s="1">
        <v>5.9334</v>
      </c>
      <c r="G436" s="1">
        <v>0</v>
      </c>
      <c r="H436" s="1">
        <v>0</v>
      </c>
    </row>
    <row r="437" spans="2:8" ht="12.75">
      <c r="B437" s="1">
        <v>17</v>
      </c>
      <c r="C437" s="1">
        <v>0</v>
      </c>
      <c r="D437" s="1">
        <v>-179.687314</v>
      </c>
      <c r="E437" s="1">
        <v>82.217104</v>
      </c>
      <c r="F437" s="1">
        <v>15.1454</v>
      </c>
      <c r="G437" s="1">
        <v>0</v>
      </c>
      <c r="H437" s="1">
        <v>0</v>
      </c>
    </row>
    <row r="438" spans="2:8" ht="12.75">
      <c r="B438" s="1">
        <v>18</v>
      </c>
      <c r="C438" s="1">
        <v>0</v>
      </c>
      <c r="D438" s="1">
        <v>-179.687314</v>
      </c>
      <c r="E438" s="1">
        <v>82.217104</v>
      </c>
      <c r="F438" s="1">
        <v>24.3574</v>
      </c>
      <c r="G438" s="1">
        <v>0</v>
      </c>
      <c r="H438" s="1">
        <v>0</v>
      </c>
    </row>
    <row r="439" spans="2:8" ht="12.75">
      <c r="B439" s="1">
        <v>19</v>
      </c>
      <c r="C439" s="1">
        <v>0</v>
      </c>
      <c r="D439" s="1">
        <v>-259.533222</v>
      </c>
      <c r="E439" s="1">
        <v>-94.150668</v>
      </c>
      <c r="F439" s="1">
        <v>0</v>
      </c>
      <c r="G439" s="1">
        <v>0</v>
      </c>
      <c r="H439" s="1">
        <v>0</v>
      </c>
    </row>
    <row r="440" spans="2:8" ht="12.75">
      <c r="B440" s="1">
        <v>20</v>
      </c>
      <c r="C440" s="1">
        <v>33.82</v>
      </c>
      <c r="D440" s="1">
        <v>-263.975222</v>
      </c>
      <c r="E440" s="1">
        <v>-104.150668</v>
      </c>
      <c r="F440" s="1">
        <v>0</v>
      </c>
      <c r="G440" s="1">
        <v>0</v>
      </c>
      <c r="H440" s="1">
        <v>74</v>
      </c>
    </row>
    <row r="441" spans="2:8" ht="12.75">
      <c r="B441" s="1">
        <v>21</v>
      </c>
      <c r="C441" s="1">
        <v>33.82</v>
      </c>
      <c r="D441" s="1">
        <v>-263.975222</v>
      </c>
      <c r="E441" s="1">
        <v>-104.150668</v>
      </c>
      <c r="F441" s="1">
        <v>15.4102</v>
      </c>
      <c r="G441" s="1">
        <v>-42.82135</v>
      </c>
      <c r="H441" s="1">
        <v>67.9265</v>
      </c>
    </row>
    <row r="442" spans="2:8" ht="12.75">
      <c r="B442" s="1">
        <v>22</v>
      </c>
      <c r="C442" s="1">
        <v>33.82</v>
      </c>
      <c r="D442" s="1">
        <v>-263.975222</v>
      </c>
      <c r="E442" s="1">
        <v>-104.150668</v>
      </c>
      <c r="F442" s="4">
        <v>39.32223</v>
      </c>
      <c r="G442" s="1">
        <v>-45.23104</v>
      </c>
      <c r="H442" s="4">
        <v>-14.16719</v>
      </c>
    </row>
    <row r="443" spans="2:8" ht="12.75">
      <c r="B443" s="1">
        <v>23</v>
      </c>
      <c r="C443" s="1">
        <v>33.82</v>
      </c>
      <c r="D443" s="1">
        <v>-263.975222</v>
      </c>
      <c r="E443" s="1">
        <v>-104.150668</v>
      </c>
      <c r="F443" s="1">
        <v>15.4102</v>
      </c>
      <c r="G443" s="1">
        <v>-42.82135</v>
      </c>
      <c r="H443" s="1">
        <v>67.9265</v>
      </c>
    </row>
    <row r="444" spans="2:8" ht="12.75">
      <c r="B444" s="1">
        <v>24</v>
      </c>
      <c r="C444" s="1">
        <v>33.82</v>
      </c>
      <c r="D444" s="1">
        <v>-263.975222</v>
      </c>
      <c r="E444" s="1">
        <v>-104.150668</v>
      </c>
      <c r="F444" s="1">
        <v>105.93544</v>
      </c>
      <c r="G444" s="1">
        <v>-73.39516</v>
      </c>
      <c r="H444" s="1">
        <v>-15.30268</v>
      </c>
    </row>
    <row r="445" spans="2:8" ht="12.75">
      <c r="B445" s="1">
        <v>25</v>
      </c>
      <c r="C445" s="1">
        <v>141.695656</v>
      </c>
      <c r="D445" s="1">
        <v>-233.042376</v>
      </c>
      <c r="E445" s="1">
        <v>-112.982809</v>
      </c>
      <c r="F445" s="1">
        <v>105.93544</v>
      </c>
      <c r="G445" s="1">
        <v>-73.39516</v>
      </c>
      <c r="H445" s="1">
        <v>-15.30268</v>
      </c>
    </row>
    <row r="446" spans="2:8" ht="12.75">
      <c r="B446" s="1">
        <v>26</v>
      </c>
      <c r="C446" s="1">
        <v>141.695656</v>
      </c>
      <c r="D446" s="1">
        <v>-233.042376</v>
      </c>
      <c r="E446" s="1">
        <v>-112.982809</v>
      </c>
      <c r="F446" s="1">
        <v>138.95995</v>
      </c>
      <c r="G446" s="1">
        <v>-48.8373</v>
      </c>
      <c r="H446" s="1">
        <v>-47.8363</v>
      </c>
    </row>
    <row r="447" spans="2:8" ht="12.75">
      <c r="B447" s="1">
        <v>27</v>
      </c>
      <c r="C447" s="1">
        <v>141.695656</v>
      </c>
      <c r="D447" s="1">
        <v>-233.042376</v>
      </c>
      <c r="E447" s="1">
        <v>-112.982809</v>
      </c>
      <c r="F447" s="1">
        <v>105.93544</v>
      </c>
      <c r="G447" s="1">
        <v>-73.39516</v>
      </c>
      <c r="H447" s="1">
        <v>-15.30268</v>
      </c>
    </row>
    <row r="448" spans="2:8" ht="12.75">
      <c r="B448" s="1">
        <v>28</v>
      </c>
      <c r="C448" s="1">
        <v>170.856678</v>
      </c>
      <c r="D448" s="1">
        <v>-224.680587</v>
      </c>
      <c r="E448" s="1">
        <v>-115.370319</v>
      </c>
      <c r="F448" s="1">
        <v>17.88644</v>
      </c>
      <c r="G448" s="1">
        <v>-46.96602</v>
      </c>
      <c r="H448" s="1">
        <v>66.1775</v>
      </c>
    </row>
    <row r="449" spans="2:8" ht="12.75">
      <c r="B449" s="1">
        <v>29</v>
      </c>
      <c r="C449" s="1">
        <v>170.856678</v>
      </c>
      <c r="D449" s="1">
        <v>-224.680587</v>
      </c>
      <c r="E449" s="1">
        <v>-115.370319</v>
      </c>
      <c r="F449" s="4">
        <v>17.88644</v>
      </c>
      <c r="G449" s="1">
        <v>-46.96602</v>
      </c>
      <c r="H449" s="4">
        <v>66.1775</v>
      </c>
    </row>
    <row r="450" spans="2:8" ht="12.75">
      <c r="B450" s="1">
        <v>30</v>
      </c>
      <c r="C450" s="1">
        <v>170.856678</v>
      </c>
      <c r="D450" s="1">
        <v>-224.680587</v>
      </c>
      <c r="E450" s="1">
        <v>-115.370319</v>
      </c>
      <c r="F450" s="4">
        <v>-153.67393</v>
      </c>
      <c r="G450" s="1">
        <v>43.46114</v>
      </c>
      <c r="H450" s="4">
        <v>29.79408</v>
      </c>
    </row>
    <row r="451" spans="2:8" ht="12.75">
      <c r="B451" s="1">
        <v>31</v>
      </c>
      <c r="C451" s="1">
        <v>170.856678</v>
      </c>
      <c r="D451" s="1">
        <v>-224.680587</v>
      </c>
      <c r="E451" s="1">
        <v>-115.370319</v>
      </c>
      <c r="F451" s="4">
        <v>17.88644</v>
      </c>
      <c r="G451" s="1">
        <v>-46.96602</v>
      </c>
      <c r="H451" s="4">
        <v>66.1775</v>
      </c>
    </row>
    <row r="452" spans="2:8" ht="12.75">
      <c r="B452" s="1">
        <v>32</v>
      </c>
      <c r="C452" s="1">
        <v>170.856678</v>
      </c>
      <c r="D452" s="1">
        <v>-224.680587</v>
      </c>
      <c r="E452" s="1">
        <v>-115.370319</v>
      </c>
      <c r="F452" s="4">
        <v>0</v>
      </c>
      <c r="G452" s="1">
        <v>0</v>
      </c>
      <c r="H452" s="4">
        <v>74</v>
      </c>
    </row>
    <row r="453" spans="2:8" ht="12.75">
      <c r="B453" s="1">
        <v>33</v>
      </c>
      <c r="C453" s="1">
        <v>170.856678</v>
      </c>
      <c r="D453" s="1">
        <v>-224.680587</v>
      </c>
      <c r="E453" s="1">
        <v>-115.370319</v>
      </c>
      <c r="F453" s="4">
        <v>8.54E-07</v>
      </c>
      <c r="G453" s="1">
        <v>0</v>
      </c>
      <c r="H453" s="4">
        <v>8.54E-07</v>
      </c>
    </row>
    <row r="454" spans="2:8" ht="12.75">
      <c r="B454" s="1">
        <v>34</v>
      </c>
      <c r="C454" s="1">
        <v>170.856678</v>
      </c>
      <c r="D454" s="1">
        <v>-224.680587</v>
      </c>
      <c r="E454" s="1">
        <v>-115.370319</v>
      </c>
      <c r="F454" s="1">
        <v>10</v>
      </c>
      <c r="G454" s="1">
        <v>0</v>
      </c>
      <c r="H454" s="4">
        <v>0</v>
      </c>
    </row>
    <row r="455" spans="2:8" ht="12.75">
      <c r="B455" s="1">
        <v>35</v>
      </c>
      <c r="C455" s="1">
        <v>170.856678</v>
      </c>
      <c r="D455" s="1">
        <v>-234.578533</v>
      </c>
      <c r="E455" s="1">
        <v>-171.504361</v>
      </c>
      <c r="F455" s="4">
        <v>-10</v>
      </c>
      <c r="G455" s="1">
        <v>0</v>
      </c>
      <c r="H455" s="4">
        <v>0</v>
      </c>
    </row>
    <row r="456" spans="2:8" ht="12.75">
      <c r="B456" s="1">
        <v>36</v>
      </c>
      <c r="C456" s="1">
        <v>170.856678</v>
      </c>
      <c r="D456" s="1">
        <v>-234.578533</v>
      </c>
      <c r="E456" s="1">
        <v>-171.504361</v>
      </c>
      <c r="F456" s="4">
        <v>-10</v>
      </c>
      <c r="G456" s="1">
        <v>0</v>
      </c>
      <c r="H456" s="4">
        <v>-6.22</v>
      </c>
    </row>
    <row r="457" spans="2:8" ht="12.75">
      <c r="B457" s="1">
        <v>37</v>
      </c>
      <c r="C457" s="1">
        <v>170.856678</v>
      </c>
      <c r="D457" s="1">
        <v>-234.578533</v>
      </c>
      <c r="E457" s="1">
        <v>-171.504361</v>
      </c>
      <c r="F457" s="1">
        <v>-10</v>
      </c>
      <c r="G457" s="1">
        <v>0</v>
      </c>
      <c r="H457" s="1">
        <v>0</v>
      </c>
    </row>
    <row r="458" spans="2:8" ht="12.75">
      <c r="B458" s="1">
        <v>38</v>
      </c>
      <c r="C458" s="1">
        <v>170.856678</v>
      </c>
      <c r="D458" s="1">
        <v>-234.578533</v>
      </c>
      <c r="E458" s="1">
        <v>-171.504361</v>
      </c>
      <c r="F458" s="1">
        <v>-30</v>
      </c>
      <c r="G458" s="1">
        <v>0</v>
      </c>
      <c r="H458" s="4">
        <v>0</v>
      </c>
    </row>
    <row r="459" spans="2:8" ht="12.75">
      <c r="B459" s="1">
        <v>39</v>
      </c>
      <c r="C459" s="1">
        <v>170.856678</v>
      </c>
      <c r="D459" s="1">
        <v>-321.398533</v>
      </c>
      <c r="E459" s="1">
        <v>-21.12771</v>
      </c>
      <c r="F459" s="4">
        <v>1.05E-06</v>
      </c>
      <c r="G459" s="1">
        <v>0</v>
      </c>
      <c r="H459" s="4">
        <v>1.05E-06</v>
      </c>
    </row>
    <row r="460" spans="2:8" ht="12.75">
      <c r="B460" s="1">
        <v>40</v>
      </c>
      <c r="C460" s="1">
        <v>170.856678</v>
      </c>
      <c r="D460" s="1">
        <v>-321.398533</v>
      </c>
      <c r="E460" s="1">
        <v>-21.12771</v>
      </c>
      <c r="F460" s="4">
        <v>30</v>
      </c>
      <c r="G460" s="1">
        <v>0</v>
      </c>
      <c r="H460" s="4">
        <v>0</v>
      </c>
    </row>
    <row r="461" spans="2:8" ht="12.75">
      <c r="B461" s="1">
        <v>41</v>
      </c>
      <c r="C461" s="1">
        <v>170.856678</v>
      </c>
      <c r="D461" s="1">
        <v>-341.398533</v>
      </c>
      <c r="E461" s="1">
        <v>-55.768726</v>
      </c>
      <c r="F461" s="4">
        <v>30</v>
      </c>
      <c r="G461" s="1">
        <v>0</v>
      </c>
      <c r="H461" s="4">
        <v>0</v>
      </c>
    </row>
    <row r="462" spans="2:8" ht="12.75">
      <c r="B462" s="1">
        <v>42</v>
      </c>
      <c r="C462" s="1">
        <v>170.856678</v>
      </c>
      <c r="D462" s="1">
        <v>-341.398533</v>
      </c>
      <c r="E462" s="1">
        <v>-55.768726</v>
      </c>
      <c r="F462" s="4">
        <v>30</v>
      </c>
      <c r="G462" s="1">
        <v>0</v>
      </c>
      <c r="H462" s="4">
        <v>0</v>
      </c>
    </row>
    <row r="463" spans="2:8" ht="12.75">
      <c r="B463" s="1">
        <v>43</v>
      </c>
      <c r="C463" s="1">
        <v>170.856678</v>
      </c>
      <c r="D463" s="1">
        <v>-407.998533</v>
      </c>
      <c r="E463" s="1">
        <v>-171.12331</v>
      </c>
      <c r="F463" s="1">
        <v>15</v>
      </c>
      <c r="G463" s="1">
        <v>0</v>
      </c>
      <c r="H463" s="1">
        <v>0</v>
      </c>
    </row>
    <row r="464" spans="2:8" ht="12.75">
      <c r="B464" s="1">
        <v>44</v>
      </c>
      <c r="C464" s="1">
        <v>170.856678</v>
      </c>
      <c r="D464" s="1">
        <v>-407.998533</v>
      </c>
      <c r="E464" s="1">
        <v>-171.12331</v>
      </c>
      <c r="F464" s="4">
        <v>1.21E-06</v>
      </c>
      <c r="G464" s="1">
        <v>0</v>
      </c>
      <c r="H464" s="4">
        <v>1.21E-06</v>
      </c>
    </row>
    <row r="465" spans="2:8" ht="12.75">
      <c r="B465" s="1">
        <v>45</v>
      </c>
      <c r="C465" s="1">
        <v>170.856678</v>
      </c>
      <c r="D465" s="1">
        <v>-407.998533</v>
      </c>
      <c r="E465" s="1">
        <v>-21.12331</v>
      </c>
      <c r="F465" s="4">
        <v>1.21E-06</v>
      </c>
      <c r="G465" s="1">
        <v>0</v>
      </c>
      <c r="H465" s="4">
        <v>1.21E-06</v>
      </c>
    </row>
    <row r="466" spans="2:8" ht="12.75">
      <c r="B466" s="1">
        <v>46</v>
      </c>
      <c r="C466" s="1">
        <v>170.856678</v>
      </c>
      <c r="D466" s="1">
        <v>-407.998533</v>
      </c>
      <c r="E466" s="1">
        <v>-46.12331</v>
      </c>
      <c r="F466" s="1">
        <v>45</v>
      </c>
      <c r="G466" s="1">
        <v>0</v>
      </c>
      <c r="H466" s="1">
        <v>0</v>
      </c>
    </row>
    <row r="467" spans="2:8" ht="12.75">
      <c r="B467" s="1">
        <v>47</v>
      </c>
      <c r="C467" s="1">
        <v>170.856678</v>
      </c>
      <c r="D467" s="1">
        <v>-407.998533</v>
      </c>
      <c r="E467" s="1">
        <v>-46.12331</v>
      </c>
      <c r="F467" s="1">
        <v>90</v>
      </c>
      <c r="G467" s="1">
        <v>0</v>
      </c>
      <c r="H467" s="1">
        <v>0</v>
      </c>
    </row>
    <row r="468" spans="2:8" ht="12.75">
      <c r="B468" s="1">
        <v>48</v>
      </c>
      <c r="C468" s="1">
        <v>170.856678</v>
      </c>
      <c r="D468" s="1">
        <v>-432.998533</v>
      </c>
      <c r="E468" s="1">
        <v>-46.12331</v>
      </c>
      <c r="F468" s="1">
        <v>90</v>
      </c>
      <c r="G468" s="1">
        <v>0</v>
      </c>
      <c r="H468" s="1">
        <v>0</v>
      </c>
    </row>
    <row r="469" spans="2:8" ht="12.75">
      <c r="B469" s="1">
        <v>49</v>
      </c>
      <c r="C469" s="1">
        <v>170.856678</v>
      </c>
      <c r="D469" s="1">
        <v>-432.998533</v>
      </c>
      <c r="E469" s="1">
        <v>-46.12331</v>
      </c>
      <c r="F469" s="1">
        <v>90</v>
      </c>
      <c r="G469" s="1">
        <v>0</v>
      </c>
      <c r="H469" s="1">
        <v>0</v>
      </c>
    </row>
    <row r="470" spans="2:8" ht="12.75">
      <c r="B470" s="1">
        <v>50</v>
      </c>
      <c r="C470" s="1">
        <v>170.856678</v>
      </c>
      <c r="D470" s="1">
        <v>-457.998533</v>
      </c>
      <c r="E470" s="1">
        <v>-46.12331</v>
      </c>
      <c r="F470" s="1">
        <v>90</v>
      </c>
      <c r="G470" s="2">
        <v>0</v>
      </c>
      <c r="H470" s="4">
        <v>0</v>
      </c>
    </row>
    <row r="471" spans="2:8" ht="12.75">
      <c r="B471" s="1">
        <v>51</v>
      </c>
      <c r="C471" s="1">
        <v>170.856678</v>
      </c>
      <c r="D471" s="1">
        <v>-457.998533</v>
      </c>
      <c r="E471" s="1">
        <v>-46.12331</v>
      </c>
      <c r="F471" s="1">
        <v>135</v>
      </c>
      <c r="G471" s="1">
        <v>0</v>
      </c>
      <c r="H471" s="4">
        <v>0</v>
      </c>
    </row>
    <row r="472" spans="2:8" ht="12.75">
      <c r="B472" s="1">
        <v>52</v>
      </c>
      <c r="C472" s="1">
        <v>170.856678</v>
      </c>
      <c r="D472" s="1">
        <v>-457.998533</v>
      </c>
      <c r="E472" s="1">
        <v>-46.12331</v>
      </c>
      <c r="F472" s="1">
        <v>135</v>
      </c>
      <c r="G472" s="2">
        <v>0</v>
      </c>
      <c r="H472" s="4">
        <v>0</v>
      </c>
    </row>
    <row r="473" spans="2:8" ht="12.75">
      <c r="B473" s="1">
        <v>53</v>
      </c>
      <c r="C473" s="1">
        <v>170.856678</v>
      </c>
      <c r="D473" s="1">
        <v>-457.998533</v>
      </c>
      <c r="E473" s="1">
        <v>-46.12331</v>
      </c>
      <c r="F473" s="1">
        <v>135</v>
      </c>
      <c r="G473" s="2">
        <v>0</v>
      </c>
      <c r="H473" s="3">
        <v>0</v>
      </c>
    </row>
    <row r="474" spans="2:8" ht="12.75">
      <c r="B474" s="1">
        <v>54</v>
      </c>
      <c r="C474" s="1">
        <v>170.856678</v>
      </c>
      <c r="D474" s="1">
        <v>-457.998533</v>
      </c>
      <c r="E474" s="1">
        <v>-46.12331</v>
      </c>
      <c r="F474" s="1">
        <v>180</v>
      </c>
      <c r="G474" s="1">
        <v>0</v>
      </c>
      <c r="H474" s="4">
        <v>1.21E-06</v>
      </c>
    </row>
    <row r="475" spans="2:8" ht="12.75">
      <c r="B475" s="1">
        <v>55</v>
      </c>
      <c r="C475" s="1">
        <v>170.856678</v>
      </c>
      <c r="D475" s="1">
        <v>-457.998533</v>
      </c>
      <c r="E475" s="1">
        <v>-21.12331</v>
      </c>
      <c r="F475" s="4">
        <v>180</v>
      </c>
      <c r="G475" s="1">
        <v>0</v>
      </c>
      <c r="H475" s="4">
        <v>1.21E-06</v>
      </c>
    </row>
    <row r="476" spans="2:8" ht="12.75">
      <c r="B476" s="1">
        <v>56</v>
      </c>
      <c r="C476" s="1">
        <v>170.856678</v>
      </c>
      <c r="D476" s="1">
        <v>-457.998533</v>
      </c>
      <c r="E476" s="1">
        <v>-171.12331</v>
      </c>
      <c r="F476" s="4">
        <v>165</v>
      </c>
      <c r="G476" s="1">
        <v>0</v>
      </c>
      <c r="H476" s="4">
        <v>0</v>
      </c>
    </row>
    <row r="477" spans="2:8" ht="12.75">
      <c r="B477" s="1">
        <v>57</v>
      </c>
      <c r="C477" s="1">
        <v>170.856678</v>
      </c>
      <c r="D477" s="1">
        <v>-457.998533</v>
      </c>
      <c r="E477" s="1">
        <v>-171.12331</v>
      </c>
      <c r="F477" s="1">
        <v>150</v>
      </c>
      <c r="G477" s="1">
        <v>0</v>
      </c>
      <c r="H477" s="4">
        <v>0</v>
      </c>
    </row>
    <row r="478" spans="2:8" ht="12.75">
      <c r="B478" s="1">
        <v>58</v>
      </c>
      <c r="C478" s="1">
        <v>170.856678</v>
      </c>
      <c r="D478" s="1">
        <v>-524.598533</v>
      </c>
      <c r="E478" s="1">
        <v>-55.768726</v>
      </c>
      <c r="F478" s="1">
        <v>150</v>
      </c>
      <c r="G478" s="1">
        <v>0</v>
      </c>
      <c r="H478" s="1">
        <v>0</v>
      </c>
    </row>
    <row r="479" spans="2:8" ht="12.75">
      <c r="B479" s="1">
        <v>59</v>
      </c>
      <c r="C479" s="1">
        <v>170.856678</v>
      </c>
      <c r="D479" s="1">
        <v>-524.598533</v>
      </c>
      <c r="E479" s="1">
        <v>-55.768726</v>
      </c>
      <c r="F479" s="1">
        <v>150</v>
      </c>
      <c r="G479" s="1">
        <v>0</v>
      </c>
      <c r="H479" s="1">
        <v>0</v>
      </c>
    </row>
    <row r="480" spans="2:8" ht="12.75">
      <c r="B480" s="1">
        <v>60</v>
      </c>
      <c r="C480" s="1">
        <v>170.856678</v>
      </c>
      <c r="D480" s="1">
        <v>-544.598533</v>
      </c>
      <c r="E480" s="1">
        <v>-21.12771</v>
      </c>
      <c r="F480" s="1">
        <v>180</v>
      </c>
      <c r="G480" s="1">
        <v>0</v>
      </c>
      <c r="H480" s="4">
        <v>1.21E-06</v>
      </c>
    </row>
    <row r="481" spans="2:8" ht="12.75">
      <c r="B481" s="1">
        <v>61</v>
      </c>
      <c r="C481" s="1">
        <v>170.856678</v>
      </c>
      <c r="D481" s="1">
        <v>-544.598533</v>
      </c>
      <c r="E481" s="1">
        <v>-21.12771</v>
      </c>
      <c r="F481" s="1">
        <v>-150</v>
      </c>
      <c r="G481" s="1">
        <v>0</v>
      </c>
      <c r="H481" s="1">
        <v>0</v>
      </c>
    </row>
    <row r="482" spans="2:8" ht="12.75">
      <c r="B482" s="1">
        <v>62</v>
      </c>
      <c r="C482" s="1">
        <v>170.856678</v>
      </c>
      <c r="D482" s="1">
        <v>-620.588533</v>
      </c>
      <c r="E482" s="1">
        <v>-152.74625</v>
      </c>
      <c r="F482" s="1">
        <v>-170</v>
      </c>
      <c r="G482" s="1">
        <v>0</v>
      </c>
      <c r="H482" s="1">
        <v>0</v>
      </c>
    </row>
    <row r="483" spans="2:8" ht="12.75">
      <c r="B483" s="1">
        <v>63</v>
      </c>
      <c r="C483" s="1">
        <v>170.856678</v>
      </c>
      <c r="D483" s="1">
        <v>-620.588533</v>
      </c>
      <c r="E483" s="1">
        <v>-152.74625</v>
      </c>
      <c r="F483" s="1">
        <v>-170</v>
      </c>
      <c r="G483" s="1">
        <v>0</v>
      </c>
      <c r="H483" s="1">
        <v>0</v>
      </c>
    </row>
    <row r="484" spans="2:8" ht="12.75">
      <c r="B484" s="1">
        <v>64</v>
      </c>
      <c r="C484" s="1">
        <v>170.856678</v>
      </c>
      <c r="D484" s="1">
        <v>-620.588533</v>
      </c>
      <c r="E484" s="1">
        <v>-152.74625</v>
      </c>
      <c r="F484" s="1">
        <v>-170</v>
      </c>
      <c r="G484" s="1">
        <v>0</v>
      </c>
      <c r="H484" s="1">
        <v>0</v>
      </c>
    </row>
    <row r="485" spans="2:8" ht="12.75">
      <c r="B485" s="1">
        <v>65</v>
      </c>
      <c r="C485" s="1">
        <v>170.856678</v>
      </c>
      <c r="D485" s="1">
        <v>-620.588533</v>
      </c>
      <c r="E485" s="1">
        <v>-152.74625</v>
      </c>
      <c r="F485" s="1">
        <v>170</v>
      </c>
      <c r="G485" s="1">
        <v>0</v>
      </c>
      <c r="H485" s="4">
        <v>0</v>
      </c>
    </row>
    <row r="486" spans="2:8" ht="12.75">
      <c r="B486" s="1">
        <v>66</v>
      </c>
      <c r="C486" s="1">
        <v>170.856678</v>
      </c>
      <c r="D486" s="1">
        <v>-631.007424</v>
      </c>
      <c r="E486" s="1">
        <v>-93.657785</v>
      </c>
      <c r="F486" s="1">
        <v>170</v>
      </c>
      <c r="G486" s="1">
        <v>0</v>
      </c>
      <c r="H486" s="4">
        <v>0</v>
      </c>
    </row>
    <row r="487" spans="2:8" ht="12.75">
      <c r="B487" s="1">
        <v>67</v>
      </c>
      <c r="C487" s="1">
        <v>170.856678</v>
      </c>
      <c r="D487" s="1">
        <v>-636.663145</v>
      </c>
      <c r="E487" s="1">
        <v>-61.582597</v>
      </c>
      <c r="F487" s="1">
        <v>170</v>
      </c>
      <c r="G487" s="1">
        <v>-45</v>
      </c>
      <c r="H487" s="1">
        <v>0</v>
      </c>
    </row>
    <row r="488" spans="2:8" ht="12.75">
      <c r="B488" s="1">
        <v>68</v>
      </c>
      <c r="C488" s="1">
        <v>170.856678</v>
      </c>
      <c r="D488" s="1">
        <v>-636.663145</v>
      </c>
      <c r="E488" s="1">
        <v>-61.582597</v>
      </c>
      <c r="F488" s="1">
        <v>170</v>
      </c>
      <c r="G488" s="1">
        <v>-90</v>
      </c>
      <c r="H488" s="1">
        <v>0</v>
      </c>
    </row>
    <row r="489" spans="2:8" ht="12.75">
      <c r="B489" s="1">
        <v>69</v>
      </c>
      <c r="C489" s="1">
        <v>236.756678</v>
      </c>
      <c r="D489" s="1">
        <v>-636.663145</v>
      </c>
      <c r="E489" s="1">
        <v>-61.582597</v>
      </c>
      <c r="F489" s="1">
        <v>170</v>
      </c>
      <c r="G489" s="1">
        <v>-90</v>
      </c>
      <c r="H489" s="1">
        <v>0</v>
      </c>
    </row>
    <row r="490" spans="2:8" ht="12.75">
      <c r="B490" s="1">
        <v>70</v>
      </c>
      <c r="C490" s="1">
        <v>237.756678</v>
      </c>
      <c r="D490" s="1">
        <v>-636.663145</v>
      </c>
      <c r="E490" s="1">
        <v>-61.582597</v>
      </c>
      <c r="F490" s="1">
        <v>170</v>
      </c>
      <c r="G490" s="1">
        <v>-90</v>
      </c>
      <c r="H490" s="1">
        <v>0</v>
      </c>
    </row>
    <row r="491" spans="2:8" ht="12.75">
      <c r="B491" s="1">
        <v>71</v>
      </c>
      <c r="C491" s="1">
        <v>250.856678</v>
      </c>
      <c r="D491" s="1">
        <v>-636.663145</v>
      </c>
      <c r="E491" s="1">
        <v>-61.582597</v>
      </c>
      <c r="F491" s="1">
        <v>-180</v>
      </c>
      <c r="G491" s="1">
        <v>-90</v>
      </c>
      <c r="H491" s="4">
        <v>0</v>
      </c>
    </row>
    <row r="492" spans="2:8" ht="12.75">
      <c r="B492" s="1">
        <v>72</v>
      </c>
      <c r="C492" s="1">
        <v>237.756678</v>
      </c>
      <c r="D492" s="1">
        <v>-636.663145</v>
      </c>
      <c r="E492" s="1">
        <v>-61.582597</v>
      </c>
      <c r="F492" s="1">
        <v>170</v>
      </c>
      <c r="G492" s="1">
        <v>-90</v>
      </c>
      <c r="H492" s="1">
        <v>0</v>
      </c>
    </row>
    <row r="493" spans="2:8" ht="12.75">
      <c r="B493" s="1">
        <v>73</v>
      </c>
      <c r="C493" s="1">
        <v>236.756678</v>
      </c>
      <c r="D493" s="1">
        <v>-636.663145</v>
      </c>
      <c r="E493" s="1">
        <v>-61.582597</v>
      </c>
      <c r="F493" s="1">
        <v>170</v>
      </c>
      <c r="G493" s="1">
        <v>-90</v>
      </c>
      <c r="H493" s="1">
        <v>0</v>
      </c>
    </row>
    <row r="494" spans="2:8" ht="12.75">
      <c r="B494" s="1">
        <v>74</v>
      </c>
      <c r="C494" s="1">
        <v>170.856678</v>
      </c>
      <c r="D494" s="1">
        <v>-636.663145</v>
      </c>
      <c r="E494" s="1">
        <v>-61.582597</v>
      </c>
      <c r="F494" s="1">
        <v>170</v>
      </c>
      <c r="G494" s="1">
        <v>-45</v>
      </c>
      <c r="H494" s="1">
        <v>0</v>
      </c>
    </row>
    <row r="495" spans="2:8" ht="12.75">
      <c r="B495" s="1">
        <v>75</v>
      </c>
      <c r="C495" s="1">
        <v>170.856678</v>
      </c>
      <c r="D495" s="1">
        <v>-636.663145</v>
      </c>
      <c r="E495" s="1">
        <v>-61.582597</v>
      </c>
      <c r="F495" s="1">
        <v>170</v>
      </c>
      <c r="G495" s="1">
        <v>0</v>
      </c>
      <c r="H495" s="1">
        <v>0</v>
      </c>
    </row>
    <row r="496" spans="2:8" ht="12.75">
      <c r="B496" s="1">
        <v>76</v>
      </c>
      <c r="C496" s="1">
        <v>170.856678</v>
      </c>
      <c r="D496" s="1">
        <v>-631.007424</v>
      </c>
      <c r="E496" s="1">
        <v>-93.657785</v>
      </c>
      <c r="F496" s="1">
        <v>170</v>
      </c>
      <c r="G496" s="1">
        <v>0</v>
      </c>
      <c r="H496" s="1">
        <v>0</v>
      </c>
    </row>
    <row r="497" spans="2:8" ht="12.75">
      <c r="B497" s="1">
        <v>77</v>
      </c>
      <c r="C497" s="1">
        <v>170.856678</v>
      </c>
      <c r="D497" s="1">
        <v>-620.588533</v>
      </c>
      <c r="E497" s="1">
        <v>-152.74625</v>
      </c>
      <c r="F497" s="1">
        <v>-170</v>
      </c>
      <c r="G497" s="1">
        <v>0</v>
      </c>
      <c r="H497" s="4">
        <v>0</v>
      </c>
    </row>
    <row r="498" spans="2:8" ht="12.75">
      <c r="B498" s="1">
        <v>78</v>
      </c>
      <c r="C498" s="1">
        <v>170.856678</v>
      </c>
      <c r="D498" s="1">
        <v>-620.588533</v>
      </c>
      <c r="E498" s="1">
        <v>-152.74625</v>
      </c>
      <c r="F498" s="1">
        <v>-170</v>
      </c>
      <c r="G498" s="1">
        <v>0</v>
      </c>
      <c r="H498" s="4">
        <v>0</v>
      </c>
    </row>
    <row r="499" spans="2:8" ht="12.75">
      <c r="B499" s="1">
        <v>79</v>
      </c>
      <c r="C499" s="1">
        <v>170.856678</v>
      </c>
      <c r="D499" s="1">
        <v>-620.588533</v>
      </c>
      <c r="E499" s="1">
        <v>-152.74625</v>
      </c>
      <c r="F499" s="1">
        <v>-170</v>
      </c>
      <c r="G499" s="1">
        <v>0</v>
      </c>
      <c r="H499" s="1">
        <v>0</v>
      </c>
    </row>
    <row r="500" spans="2:8" ht="12.75">
      <c r="B500" s="1">
        <v>80</v>
      </c>
      <c r="C500" s="1">
        <v>170.856678</v>
      </c>
      <c r="D500" s="1">
        <v>-620.588533</v>
      </c>
      <c r="E500" s="1">
        <v>-152.74625</v>
      </c>
      <c r="F500" s="1">
        <v>-150</v>
      </c>
      <c r="G500" s="1">
        <v>0</v>
      </c>
      <c r="H500" s="1">
        <v>0</v>
      </c>
    </row>
    <row r="501" spans="2:8" ht="12.75">
      <c r="B501" s="1">
        <v>81</v>
      </c>
      <c r="C501" s="1">
        <v>170.856678</v>
      </c>
      <c r="D501" s="1">
        <v>-544.598533</v>
      </c>
      <c r="E501" s="1">
        <v>-21.12771</v>
      </c>
      <c r="F501" s="1">
        <v>180</v>
      </c>
      <c r="G501" s="1">
        <v>0</v>
      </c>
      <c r="H501" s="4">
        <v>1.05E-06</v>
      </c>
    </row>
    <row r="502" spans="2:8" ht="12.75">
      <c r="B502" s="1">
        <v>82</v>
      </c>
      <c r="C502" s="1">
        <v>170.856678</v>
      </c>
      <c r="D502" s="1">
        <v>-544.598533</v>
      </c>
      <c r="E502" s="1">
        <v>-21.12771</v>
      </c>
      <c r="F502" s="1">
        <v>150</v>
      </c>
      <c r="G502" s="1">
        <v>0</v>
      </c>
      <c r="H502" s="4">
        <v>0</v>
      </c>
    </row>
    <row r="503" spans="2:8" ht="12.75">
      <c r="B503" s="1">
        <v>83</v>
      </c>
      <c r="C503" s="1">
        <v>170.856678</v>
      </c>
      <c r="D503" s="1">
        <v>-524.598533</v>
      </c>
      <c r="E503" s="1">
        <v>-55.768726</v>
      </c>
      <c r="F503" s="1">
        <v>150</v>
      </c>
      <c r="G503" s="1">
        <v>0</v>
      </c>
      <c r="H503" s="4">
        <v>0</v>
      </c>
    </row>
    <row r="504" spans="2:8" ht="12.75">
      <c r="B504" s="1">
        <v>84</v>
      </c>
      <c r="C504" s="1">
        <v>170.856678</v>
      </c>
      <c r="D504" s="1">
        <v>-457.998533</v>
      </c>
      <c r="E504" s="1">
        <v>-171.12331</v>
      </c>
      <c r="F504" s="1">
        <v>165</v>
      </c>
      <c r="G504" s="1">
        <v>0</v>
      </c>
      <c r="H504" s="1">
        <v>0</v>
      </c>
    </row>
    <row r="505" spans="2:8" ht="12.75">
      <c r="B505" s="1">
        <v>85</v>
      </c>
      <c r="C505" s="1">
        <v>170.856678</v>
      </c>
      <c r="D505" s="1">
        <v>-457.998533</v>
      </c>
      <c r="E505" s="1">
        <v>-171.12331</v>
      </c>
      <c r="F505" s="1">
        <v>180</v>
      </c>
      <c r="G505" s="1">
        <v>0</v>
      </c>
      <c r="H505" s="4">
        <v>1.21E-06</v>
      </c>
    </row>
    <row r="506" spans="2:8" ht="12.75">
      <c r="B506" s="1">
        <v>86</v>
      </c>
      <c r="C506" s="1">
        <v>170.856678</v>
      </c>
      <c r="D506" s="1">
        <v>-457.998533</v>
      </c>
      <c r="E506" s="1">
        <v>-21.12331</v>
      </c>
      <c r="F506" s="1">
        <v>180</v>
      </c>
      <c r="G506" s="1">
        <v>0</v>
      </c>
      <c r="H506" s="4">
        <v>1.21E-06</v>
      </c>
    </row>
    <row r="507" spans="2:8" ht="12.75">
      <c r="B507" s="1">
        <v>87</v>
      </c>
      <c r="C507" s="1">
        <v>170.856678</v>
      </c>
      <c r="D507" s="1">
        <v>-457.998533</v>
      </c>
      <c r="E507" s="1">
        <v>-46.12331</v>
      </c>
      <c r="F507" s="4">
        <v>135</v>
      </c>
      <c r="G507" s="1">
        <v>0</v>
      </c>
      <c r="H507" s="4">
        <v>0</v>
      </c>
    </row>
    <row r="508" spans="2:8" ht="12.75">
      <c r="B508" s="1">
        <v>88</v>
      </c>
      <c r="C508" s="1">
        <v>170.856678</v>
      </c>
      <c r="D508" s="1">
        <v>-457.998533</v>
      </c>
      <c r="E508" s="1">
        <v>-46.12331</v>
      </c>
      <c r="F508" s="4">
        <v>90</v>
      </c>
      <c r="G508" s="1">
        <v>0</v>
      </c>
      <c r="H508" s="4">
        <v>0</v>
      </c>
    </row>
    <row r="509" spans="2:8" ht="12.75">
      <c r="B509" s="1">
        <v>89</v>
      </c>
      <c r="C509" s="1">
        <v>170.856678</v>
      </c>
      <c r="D509" s="1">
        <v>-432.998533</v>
      </c>
      <c r="E509" s="1">
        <v>-46.12331</v>
      </c>
      <c r="F509" s="4">
        <v>90</v>
      </c>
      <c r="G509" s="1">
        <v>0</v>
      </c>
      <c r="H509" s="4">
        <v>0</v>
      </c>
    </row>
    <row r="510" spans="2:8" ht="12.75">
      <c r="B510" s="1">
        <v>90</v>
      </c>
      <c r="C510" s="1">
        <v>170.856678</v>
      </c>
      <c r="D510" s="1">
        <v>-407.998533</v>
      </c>
      <c r="E510" s="1">
        <v>-46.12331</v>
      </c>
      <c r="F510" s="1">
        <v>45</v>
      </c>
      <c r="G510" s="1">
        <v>0</v>
      </c>
      <c r="H510" s="1">
        <v>0</v>
      </c>
    </row>
    <row r="511" spans="2:8" ht="12.75">
      <c r="B511" s="1">
        <v>91</v>
      </c>
      <c r="C511" s="1">
        <v>170.856678</v>
      </c>
      <c r="D511" s="1">
        <v>-407.998533</v>
      </c>
      <c r="E511" s="1">
        <v>-46.12331</v>
      </c>
      <c r="F511" s="4">
        <v>1.21E-06</v>
      </c>
      <c r="G511" s="1">
        <v>0</v>
      </c>
      <c r="H511" s="4">
        <v>1.21E-06</v>
      </c>
    </row>
    <row r="512" spans="2:8" ht="12.75">
      <c r="B512" s="1">
        <v>92</v>
      </c>
      <c r="C512" s="1">
        <v>170.856678</v>
      </c>
      <c r="D512" s="1">
        <v>-407.998533</v>
      </c>
      <c r="E512" s="1">
        <v>-21.12331</v>
      </c>
      <c r="F512" s="4">
        <v>1.21E-06</v>
      </c>
      <c r="G512" s="1">
        <v>0</v>
      </c>
      <c r="H512" s="4">
        <v>1.21E-06</v>
      </c>
    </row>
    <row r="513" spans="2:8" ht="12.75">
      <c r="B513" s="1">
        <v>93</v>
      </c>
      <c r="C513" s="1">
        <v>170.856678</v>
      </c>
      <c r="D513" s="1">
        <v>-407.998533</v>
      </c>
      <c r="E513" s="1">
        <v>-171.12331</v>
      </c>
      <c r="F513" s="1">
        <v>15</v>
      </c>
      <c r="G513" s="1">
        <v>0</v>
      </c>
      <c r="H513" s="4">
        <v>0</v>
      </c>
    </row>
    <row r="514" spans="2:8" ht="12.75">
      <c r="B514" s="1">
        <v>94</v>
      </c>
      <c r="C514" s="1">
        <v>170.856678</v>
      </c>
      <c r="D514" s="1">
        <v>-407.998533</v>
      </c>
      <c r="E514" s="1">
        <v>-171.12331</v>
      </c>
      <c r="F514" s="1">
        <v>30</v>
      </c>
      <c r="G514" s="1">
        <v>0</v>
      </c>
      <c r="H514" s="1">
        <v>0</v>
      </c>
    </row>
    <row r="515" spans="2:8" ht="12.75">
      <c r="B515" s="1">
        <v>95</v>
      </c>
      <c r="C515" s="1">
        <v>170.856678</v>
      </c>
      <c r="D515" s="1">
        <v>-341.398533</v>
      </c>
      <c r="E515" s="1">
        <v>-55.768726</v>
      </c>
      <c r="F515" s="1">
        <v>30</v>
      </c>
      <c r="G515" s="1">
        <v>0</v>
      </c>
      <c r="H515" s="1">
        <v>0</v>
      </c>
    </row>
    <row r="516" spans="2:8" ht="12.75">
      <c r="B516" s="1">
        <v>96</v>
      </c>
      <c r="C516" s="1">
        <v>170.856678</v>
      </c>
      <c r="D516" s="1">
        <v>-321.398533</v>
      </c>
      <c r="E516" s="1">
        <v>-21.12771</v>
      </c>
      <c r="F516" s="1">
        <v>30</v>
      </c>
      <c r="G516" s="1">
        <v>0</v>
      </c>
      <c r="H516" s="1">
        <v>0</v>
      </c>
    </row>
    <row r="517" spans="2:8" ht="12.75">
      <c r="B517" s="1">
        <v>97</v>
      </c>
      <c r="C517" s="1">
        <v>170.856678</v>
      </c>
      <c r="D517" s="1">
        <v>-234.578533</v>
      </c>
      <c r="E517" s="1">
        <v>129.248941</v>
      </c>
      <c r="F517" s="1">
        <v>10</v>
      </c>
      <c r="G517" s="1">
        <v>0</v>
      </c>
      <c r="H517" s="4">
        <v>0</v>
      </c>
    </row>
    <row r="518" spans="2:8" ht="12.75">
      <c r="B518" s="1">
        <v>98</v>
      </c>
      <c r="C518" s="1">
        <v>170.856678</v>
      </c>
      <c r="D518" s="1">
        <v>-234.578533</v>
      </c>
      <c r="E518" s="1">
        <v>129.248941</v>
      </c>
      <c r="F518" s="1">
        <v>10</v>
      </c>
      <c r="G518" s="1">
        <v>0</v>
      </c>
      <c r="H518" s="1">
        <v>-6.22</v>
      </c>
    </row>
    <row r="519" spans="2:8" ht="12.75">
      <c r="B519" s="1">
        <v>99</v>
      </c>
      <c r="C519" s="1">
        <v>170.856678</v>
      </c>
      <c r="D519" s="1">
        <v>-234.578533</v>
      </c>
      <c r="E519" s="1">
        <v>129.248941</v>
      </c>
      <c r="F519" s="1">
        <v>10</v>
      </c>
      <c r="G519" s="1">
        <v>0</v>
      </c>
      <c r="H519" s="1">
        <v>0</v>
      </c>
    </row>
    <row r="520" spans="2:8" ht="12.75">
      <c r="B520" s="1">
        <v>100</v>
      </c>
      <c r="C520" s="1">
        <v>170.856678</v>
      </c>
      <c r="D520" s="1">
        <v>-234.578533</v>
      </c>
      <c r="E520" s="1">
        <v>129.248941</v>
      </c>
      <c r="F520" s="1">
        <v>-10</v>
      </c>
      <c r="G520" s="1">
        <v>0</v>
      </c>
      <c r="H520" s="1">
        <v>0</v>
      </c>
    </row>
    <row r="521" spans="2:8" ht="12.75">
      <c r="B521" s="1">
        <v>101</v>
      </c>
      <c r="C521" s="1">
        <v>170.856678</v>
      </c>
      <c r="D521" s="1">
        <v>-224.680587</v>
      </c>
      <c r="E521" s="1">
        <v>73.1149</v>
      </c>
      <c r="F521" s="1">
        <v>-10</v>
      </c>
      <c r="G521" s="1">
        <v>0</v>
      </c>
      <c r="H521" s="1">
        <v>0</v>
      </c>
    </row>
    <row r="522" spans="2:8" ht="12.75">
      <c r="B522" s="1">
        <v>102</v>
      </c>
      <c r="C522" s="1">
        <v>170.856678</v>
      </c>
      <c r="D522" s="1">
        <v>-219.396473</v>
      </c>
      <c r="E522" s="1">
        <v>43.1472</v>
      </c>
      <c r="F522" s="1">
        <v>-10</v>
      </c>
      <c r="G522" s="1">
        <v>0</v>
      </c>
      <c r="H522" s="1">
        <v>0</v>
      </c>
    </row>
    <row r="523" spans="2:8" ht="12.75">
      <c r="B523" s="1">
        <v>103</v>
      </c>
      <c r="C523" s="1">
        <v>170.856678</v>
      </c>
      <c r="D523" s="1">
        <v>-224.680587</v>
      </c>
      <c r="E523" s="1">
        <v>73.1149</v>
      </c>
      <c r="F523" s="1">
        <v>-10</v>
      </c>
      <c r="G523" s="1">
        <v>0</v>
      </c>
      <c r="H523" s="1">
        <v>0</v>
      </c>
    </row>
    <row r="524" spans="2:8" ht="12.75">
      <c r="B524" s="1">
        <v>104</v>
      </c>
      <c r="C524" s="1">
        <v>170.856678</v>
      </c>
      <c r="D524" s="1">
        <v>-234.578533</v>
      </c>
      <c r="E524" s="1">
        <v>129.248941</v>
      </c>
      <c r="F524" s="4">
        <v>10</v>
      </c>
      <c r="G524" s="1">
        <v>0</v>
      </c>
      <c r="H524" s="4">
        <v>0</v>
      </c>
    </row>
    <row r="525" spans="2:8" ht="12.75">
      <c r="B525" s="1">
        <v>105</v>
      </c>
      <c r="C525" s="1">
        <v>170.856678</v>
      </c>
      <c r="D525" s="1">
        <v>-234.578533</v>
      </c>
      <c r="E525" s="1">
        <v>129.248941</v>
      </c>
      <c r="F525" s="4">
        <v>10</v>
      </c>
      <c r="G525" s="1">
        <v>0</v>
      </c>
      <c r="H525" s="4">
        <v>-6.22</v>
      </c>
    </row>
    <row r="526" spans="2:8" ht="12.75">
      <c r="B526" s="1">
        <v>106</v>
      </c>
      <c r="C526" s="1">
        <v>170.856678</v>
      </c>
      <c r="D526" s="1">
        <v>-234.578533</v>
      </c>
      <c r="E526" s="1">
        <v>129.248941</v>
      </c>
      <c r="F526" s="1">
        <v>10</v>
      </c>
      <c r="G526" s="1">
        <v>0</v>
      </c>
      <c r="H526" s="1">
        <v>0</v>
      </c>
    </row>
    <row r="527" spans="2:8" ht="12.75">
      <c r="B527" s="1">
        <v>107</v>
      </c>
      <c r="C527" s="1">
        <v>170.856678</v>
      </c>
      <c r="D527" s="1">
        <v>-234.578533</v>
      </c>
      <c r="E527" s="1">
        <v>129.248941</v>
      </c>
      <c r="F527" s="1">
        <v>30</v>
      </c>
      <c r="G527" s="1">
        <v>0</v>
      </c>
      <c r="H527" s="1">
        <v>0</v>
      </c>
    </row>
    <row r="528" spans="2:8" ht="12.75">
      <c r="B528" s="1">
        <v>108</v>
      </c>
      <c r="C528" s="1">
        <v>170.856678</v>
      </c>
      <c r="D528" s="1">
        <v>-321.398533</v>
      </c>
      <c r="E528" s="1">
        <v>-21.12771</v>
      </c>
      <c r="F528" s="4">
        <v>1.35E-06</v>
      </c>
      <c r="G528" s="1">
        <v>0</v>
      </c>
      <c r="H528" s="4">
        <v>1.35E-06</v>
      </c>
    </row>
    <row r="529" spans="2:8" ht="12.75">
      <c r="B529" s="1">
        <v>109</v>
      </c>
      <c r="C529" s="1">
        <v>170.856678</v>
      </c>
      <c r="D529" s="1">
        <v>-321.398533</v>
      </c>
      <c r="E529" s="1">
        <v>-21.12771</v>
      </c>
      <c r="F529" s="4">
        <v>-30</v>
      </c>
      <c r="G529" s="1">
        <v>0</v>
      </c>
      <c r="H529" s="4">
        <v>0</v>
      </c>
    </row>
    <row r="530" spans="2:8" ht="12.75">
      <c r="B530" s="1">
        <v>110</v>
      </c>
      <c r="C530" s="1">
        <v>170.856678</v>
      </c>
      <c r="D530" s="1">
        <v>-341.398533</v>
      </c>
      <c r="E530" s="1">
        <v>13.513306</v>
      </c>
      <c r="F530" s="4">
        <v>-30</v>
      </c>
      <c r="G530" s="1">
        <v>0</v>
      </c>
      <c r="H530" s="4">
        <v>0</v>
      </c>
    </row>
    <row r="531" spans="2:8" ht="12.75">
      <c r="B531" s="1">
        <v>111</v>
      </c>
      <c r="C531" s="1">
        <v>170.856678</v>
      </c>
      <c r="D531" s="1">
        <v>-407.998533</v>
      </c>
      <c r="E531" s="1">
        <v>128.86789</v>
      </c>
      <c r="F531" s="1">
        <v>-15</v>
      </c>
      <c r="G531" s="1">
        <v>0</v>
      </c>
      <c r="H531" s="3">
        <v>0</v>
      </c>
    </row>
    <row r="532" spans="2:8" ht="12.75">
      <c r="B532" s="1">
        <v>112</v>
      </c>
      <c r="C532" s="1">
        <v>170.856678</v>
      </c>
      <c r="D532" s="1">
        <v>-407.998533</v>
      </c>
      <c r="E532" s="1">
        <v>128.86789</v>
      </c>
      <c r="F532" s="4">
        <v>1.35E-06</v>
      </c>
      <c r="G532" s="1">
        <v>0</v>
      </c>
      <c r="H532" s="4">
        <v>1.35E-06</v>
      </c>
    </row>
    <row r="533" spans="2:8" ht="12.75">
      <c r="B533" s="1">
        <v>113</v>
      </c>
      <c r="C533" s="1">
        <v>170.856678</v>
      </c>
      <c r="D533" s="1">
        <v>-407.998533</v>
      </c>
      <c r="E533" s="1">
        <v>-21.13211</v>
      </c>
      <c r="F533" s="4">
        <v>1.35E-06</v>
      </c>
      <c r="G533" s="1">
        <v>0</v>
      </c>
      <c r="H533" s="4">
        <v>1.35E-06</v>
      </c>
    </row>
    <row r="534" spans="2:8" ht="12.75">
      <c r="B534" s="1">
        <v>114</v>
      </c>
      <c r="C534" s="1">
        <v>170.856678</v>
      </c>
      <c r="D534" s="1">
        <v>-407.998533</v>
      </c>
      <c r="E534" s="1">
        <v>3.86789</v>
      </c>
      <c r="F534" s="1">
        <v>-45</v>
      </c>
      <c r="G534" s="1">
        <v>0</v>
      </c>
      <c r="H534" s="1">
        <v>0</v>
      </c>
    </row>
    <row r="535" spans="2:8" ht="12.75">
      <c r="B535" s="1">
        <v>115</v>
      </c>
      <c r="C535" s="1">
        <v>170.856678</v>
      </c>
      <c r="D535" s="1">
        <v>-407.998533</v>
      </c>
      <c r="E535" s="1">
        <v>3.86789</v>
      </c>
      <c r="F535" s="1">
        <v>-90</v>
      </c>
      <c r="G535" s="1">
        <v>0</v>
      </c>
      <c r="H535" s="1">
        <v>0</v>
      </c>
    </row>
    <row r="536" spans="2:8" ht="12.75">
      <c r="B536" s="1">
        <v>116</v>
      </c>
      <c r="C536" s="1">
        <v>170.856678</v>
      </c>
      <c r="D536" s="1">
        <v>-432.998533</v>
      </c>
      <c r="E536" s="1">
        <v>3.86789</v>
      </c>
      <c r="F536" s="1">
        <v>-90</v>
      </c>
      <c r="G536" s="1">
        <v>0</v>
      </c>
      <c r="H536" s="1">
        <v>0</v>
      </c>
    </row>
    <row r="537" spans="2:8" ht="12.75">
      <c r="B537" s="1">
        <v>117</v>
      </c>
      <c r="C537" s="1">
        <v>170.856678</v>
      </c>
      <c r="D537" s="1">
        <v>-432.998533</v>
      </c>
      <c r="E537" s="1">
        <v>3.86789</v>
      </c>
      <c r="F537" s="1">
        <v>-90</v>
      </c>
      <c r="G537" s="1">
        <v>0</v>
      </c>
      <c r="H537" s="1">
        <v>0</v>
      </c>
    </row>
    <row r="538" spans="2:8" ht="12.75">
      <c r="B538" s="1">
        <v>118</v>
      </c>
      <c r="C538" s="1">
        <v>170.856678</v>
      </c>
      <c r="D538" s="1">
        <v>-457.998533</v>
      </c>
      <c r="E538" s="1">
        <v>3.86789</v>
      </c>
      <c r="F538" s="1">
        <v>-90</v>
      </c>
      <c r="G538" s="1">
        <v>0</v>
      </c>
      <c r="H538" s="4">
        <v>0</v>
      </c>
    </row>
    <row r="539" spans="2:8" ht="12.75">
      <c r="B539" s="1">
        <v>119</v>
      </c>
      <c r="C539" s="1">
        <v>170.856678</v>
      </c>
      <c r="D539" s="1">
        <v>-457.998533</v>
      </c>
      <c r="E539" s="1">
        <v>3.86789</v>
      </c>
      <c r="F539" s="1">
        <v>-135</v>
      </c>
      <c r="G539" s="1">
        <v>0</v>
      </c>
      <c r="H539" s="4">
        <v>0</v>
      </c>
    </row>
    <row r="540" spans="2:8" ht="12.75">
      <c r="B540" s="1">
        <v>120</v>
      </c>
      <c r="C540" s="1">
        <v>170.856678</v>
      </c>
      <c r="D540" s="1">
        <v>-457.998533</v>
      </c>
      <c r="E540" s="1">
        <v>3.86789</v>
      </c>
      <c r="F540" s="1">
        <v>-135</v>
      </c>
      <c r="G540" s="1">
        <v>0</v>
      </c>
      <c r="H540" s="4">
        <v>0</v>
      </c>
    </row>
    <row r="541" spans="2:8" ht="12.75">
      <c r="B541" s="1">
        <v>121</v>
      </c>
      <c r="C541" s="1">
        <v>170.856678</v>
      </c>
      <c r="D541" s="1">
        <v>-457.998533</v>
      </c>
      <c r="E541" s="1">
        <v>3.86789</v>
      </c>
      <c r="F541" s="1">
        <v>-135</v>
      </c>
      <c r="G541" s="1">
        <v>0</v>
      </c>
      <c r="H541" s="1">
        <v>0</v>
      </c>
    </row>
    <row r="542" spans="2:8" ht="12.75">
      <c r="B542" s="1">
        <v>122</v>
      </c>
      <c r="C542" s="1">
        <v>170.856678</v>
      </c>
      <c r="D542" s="1">
        <v>-457.998533</v>
      </c>
      <c r="E542" s="1">
        <v>3.86789</v>
      </c>
      <c r="F542" s="1">
        <v>180</v>
      </c>
      <c r="G542" s="1">
        <v>0</v>
      </c>
      <c r="H542" s="4">
        <v>1.35E-06</v>
      </c>
    </row>
    <row r="543" spans="2:8" ht="12.75">
      <c r="B543" s="1">
        <v>123</v>
      </c>
      <c r="C543" s="1">
        <v>170.856678</v>
      </c>
      <c r="D543" s="1">
        <v>-457.998533</v>
      </c>
      <c r="E543" s="1">
        <v>-21.13211</v>
      </c>
      <c r="F543" s="1">
        <v>180</v>
      </c>
      <c r="G543" s="1">
        <v>0</v>
      </c>
      <c r="H543" s="4">
        <v>1.35E-06</v>
      </c>
    </row>
    <row r="544" spans="2:8" ht="12.75">
      <c r="B544" s="1">
        <v>124</v>
      </c>
      <c r="C544" s="1">
        <v>170.856678</v>
      </c>
      <c r="D544" s="1">
        <v>-457.998533</v>
      </c>
      <c r="E544" s="1">
        <v>128.86789</v>
      </c>
      <c r="F544" s="1">
        <v>-165</v>
      </c>
      <c r="G544" s="1">
        <v>0</v>
      </c>
      <c r="H544" s="4">
        <v>0</v>
      </c>
    </row>
    <row r="545" spans="2:8" ht="12.75">
      <c r="B545" s="1">
        <v>125</v>
      </c>
      <c r="C545" s="1">
        <v>170.856678</v>
      </c>
      <c r="D545" s="1">
        <v>-457.998533</v>
      </c>
      <c r="E545" s="1">
        <v>128.86789</v>
      </c>
      <c r="F545" s="1">
        <v>-150</v>
      </c>
      <c r="G545" s="1">
        <v>0</v>
      </c>
      <c r="H545" s="4">
        <v>0</v>
      </c>
    </row>
    <row r="546" spans="2:8" ht="12.75">
      <c r="B546" s="1">
        <v>126</v>
      </c>
      <c r="C546" s="1">
        <v>170.856678</v>
      </c>
      <c r="D546" s="1">
        <v>-524.598533</v>
      </c>
      <c r="E546" s="1">
        <v>13.513306</v>
      </c>
      <c r="F546" s="1">
        <v>-150</v>
      </c>
      <c r="G546" s="1">
        <v>0</v>
      </c>
      <c r="H546" s="1">
        <v>0</v>
      </c>
    </row>
    <row r="547" spans="2:8" ht="12.75">
      <c r="B547" s="1">
        <v>127</v>
      </c>
      <c r="C547" s="1">
        <v>170.856678</v>
      </c>
      <c r="D547" s="1">
        <v>-524.598533</v>
      </c>
      <c r="E547" s="1">
        <v>13.513306</v>
      </c>
      <c r="F547" s="1">
        <v>-150</v>
      </c>
      <c r="G547" s="1">
        <v>0</v>
      </c>
      <c r="H547" s="1">
        <v>0</v>
      </c>
    </row>
    <row r="548" spans="2:8" ht="12.75">
      <c r="B548" s="1">
        <v>128</v>
      </c>
      <c r="C548" s="1">
        <v>170.856678</v>
      </c>
      <c r="D548" s="1">
        <v>-544.598533</v>
      </c>
      <c r="E548" s="1">
        <v>-21.12771</v>
      </c>
      <c r="F548" s="1">
        <v>180</v>
      </c>
      <c r="G548" s="1">
        <v>0</v>
      </c>
      <c r="H548" s="4">
        <v>1.35E-06</v>
      </c>
    </row>
    <row r="549" spans="2:8" ht="12.75">
      <c r="B549" s="1">
        <v>129</v>
      </c>
      <c r="C549" s="1">
        <v>170.856678</v>
      </c>
      <c r="D549" s="1">
        <v>-544.598533</v>
      </c>
      <c r="E549" s="1">
        <v>-21.12771</v>
      </c>
      <c r="F549" s="1">
        <v>150</v>
      </c>
      <c r="G549" s="1">
        <v>0</v>
      </c>
      <c r="H549" s="1">
        <v>0</v>
      </c>
    </row>
    <row r="550" spans="2:8" ht="12.75">
      <c r="B550" s="1">
        <v>130</v>
      </c>
      <c r="C550" s="1">
        <v>170.856678</v>
      </c>
      <c r="D550" s="1">
        <v>-620.588533</v>
      </c>
      <c r="E550" s="1">
        <v>110.490831</v>
      </c>
      <c r="F550" s="1">
        <v>170</v>
      </c>
      <c r="G550" s="1">
        <v>0</v>
      </c>
      <c r="H550" s="1">
        <v>0</v>
      </c>
    </row>
    <row r="551" spans="2:8" ht="12.75">
      <c r="B551" s="1">
        <v>131</v>
      </c>
      <c r="C551" s="1">
        <v>170.856678</v>
      </c>
      <c r="D551" s="1">
        <v>-620.588533</v>
      </c>
      <c r="E551" s="1">
        <v>110.490831</v>
      </c>
      <c r="F551" s="1">
        <v>170</v>
      </c>
      <c r="G551" s="1">
        <v>0</v>
      </c>
      <c r="H551" s="1">
        <v>0</v>
      </c>
    </row>
    <row r="552" spans="2:8" ht="12.75">
      <c r="B552" s="1">
        <v>132</v>
      </c>
      <c r="C552" s="1">
        <v>170.856678</v>
      </c>
      <c r="D552" s="1">
        <v>-620.588533</v>
      </c>
      <c r="E552" s="1">
        <v>110.490831</v>
      </c>
      <c r="F552" s="1">
        <v>170</v>
      </c>
      <c r="G552" s="1">
        <v>0</v>
      </c>
      <c r="H552" s="1">
        <v>0</v>
      </c>
    </row>
    <row r="553" spans="2:8" ht="12.75">
      <c r="B553" s="1">
        <v>133</v>
      </c>
      <c r="C553" s="1">
        <v>170.856678</v>
      </c>
      <c r="D553" s="1">
        <v>-620.588533</v>
      </c>
      <c r="E553" s="1">
        <v>110.490831</v>
      </c>
      <c r="F553" s="1">
        <v>150</v>
      </c>
      <c r="G553" s="1">
        <v>0</v>
      </c>
      <c r="H553" s="1">
        <v>0</v>
      </c>
    </row>
    <row r="554" spans="2:8" ht="12.75">
      <c r="B554" s="1">
        <v>134</v>
      </c>
      <c r="C554" s="1">
        <v>170.856678</v>
      </c>
      <c r="D554" s="1">
        <v>-620.588533</v>
      </c>
      <c r="E554" s="1">
        <v>110.490831</v>
      </c>
      <c r="F554" s="1">
        <v>-170</v>
      </c>
      <c r="G554" s="1">
        <v>0</v>
      </c>
      <c r="H554" s="1">
        <v>0</v>
      </c>
    </row>
    <row r="555" spans="2:8" ht="12.75">
      <c r="B555" s="1">
        <v>135</v>
      </c>
      <c r="C555" s="1">
        <v>170.856678</v>
      </c>
      <c r="D555" s="1">
        <v>-631.007424</v>
      </c>
      <c r="E555" s="1">
        <v>51.402366</v>
      </c>
      <c r="F555" s="1">
        <v>-170</v>
      </c>
      <c r="G555" s="1">
        <v>0</v>
      </c>
      <c r="H555" s="1">
        <v>0</v>
      </c>
    </row>
    <row r="556" spans="2:8" ht="12.75">
      <c r="B556" s="1">
        <v>136</v>
      </c>
      <c r="C556" s="1">
        <v>170.856678</v>
      </c>
      <c r="D556" s="1">
        <v>-636.663145</v>
      </c>
      <c r="E556" s="1">
        <v>19.327177</v>
      </c>
      <c r="F556" s="1">
        <v>-170</v>
      </c>
      <c r="G556" s="1">
        <v>45</v>
      </c>
      <c r="H556" s="1">
        <v>0</v>
      </c>
    </row>
    <row r="557" spans="2:8" ht="12.75">
      <c r="B557" s="1">
        <v>137</v>
      </c>
      <c r="C557" s="1">
        <v>170.856678</v>
      </c>
      <c r="D557" s="1">
        <v>-636.663145</v>
      </c>
      <c r="E557" s="1">
        <v>19.327177</v>
      </c>
      <c r="F557" s="1">
        <v>-170</v>
      </c>
      <c r="G557" s="1">
        <v>90</v>
      </c>
      <c r="H557" s="1">
        <v>0</v>
      </c>
    </row>
    <row r="558" spans="2:8" ht="12.75">
      <c r="B558" s="1">
        <v>138</v>
      </c>
      <c r="C558" s="1">
        <v>246.956678</v>
      </c>
      <c r="D558" s="1">
        <v>-636.663145</v>
      </c>
      <c r="E558" s="1">
        <v>19.327177</v>
      </c>
      <c r="F558" s="1">
        <v>-170</v>
      </c>
      <c r="G558" s="1">
        <v>90</v>
      </c>
      <c r="H558" s="1">
        <v>0</v>
      </c>
    </row>
    <row r="559" spans="2:8" ht="12.75">
      <c r="B559" s="1">
        <v>139</v>
      </c>
      <c r="C559" s="1">
        <v>247.956678</v>
      </c>
      <c r="D559" s="1">
        <v>-636.663145</v>
      </c>
      <c r="E559" s="1">
        <v>19.327177</v>
      </c>
      <c r="F559" s="1">
        <v>-170</v>
      </c>
      <c r="G559" s="1">
        <v>90</v>
      </c>
      <c r="H559" s="1">
        <v>0</v>
      </c>
    </row>
    <row r="560" spans="2:8" ht="12.75">
      <c r="B560" s="1">
        <v>140</v>
      </c>
      <c r="C560" s="1">
        <v>250.856678</v>
      </c>
      <c r="D560" s="1">
        <v>-636.663145</v>
      </c>
      <c r="E560" s="1">
        <v>19.327177</v>
      </c>
      <c r="F560" s="1">
        <v>180</v>
      </c>
      <c r="G560" s="1">
        <v>90</v>
      </c>
      <c r="H560" s="3">
        <v>0</v>
      </c>
    </row>
    <row r="561" spans="7:8" ht="12.75">
      <c r="G561" s="2"/>
      <c r="H561" s="3"/>
    </row>
    <row r="562" spans="2:13" ht="12.75">
      <c r="B562" s="1" t="s">
        <v>277</v>
      </c>
      <c r="C562" s="1" t="s">
        <v>278</v>
      </c>
      <c r="D562" s="1" t="s">
        <v>279</v>
      </c>
      <c r="E562" s="1" t="s">
        <v>280</v>
      </c>
      <c r="F562" s="1" t="s">
        <v>281</v>
      </c>
      <c r="G562" s="1" t="s">
        <v>282</v>
      </c>
      <c r="H562" s="1" t="s">
        <v>283</v>
      </c>
      <c r="I562" s="1" t="s">
        <v>284</v>
      </c>
      <c r="J562" s="1" t="s">
        <v>285</v>
      </c>
      <c r="K562" s="1" t="s">
        <v>286</v>
      </c>
      <c r="L562" s="1" t="s">
        <v>287</v>
      </c>
      <c r="M562" s="1" t="s">
        <v>288</v>
      </c>
    </row>
    <row r="563" spans="2:3" ht="12.75">
      <c r="B563" s="1" t="s">
        <v>28</v>
      </c>
      <c r="C563" s="1" t="s">
        <v>496</v>
      </c>
    </row>
    <row r="564" spans="2:8" ht="12.75">
      <c r="B564" s="1" t="s">
        <v>33</v>
      </c>
      <c r="C564" s="1" t="s">
        <v>35</v>
      </c>
      <c r="D564" s="1" t="s">
        <v>407</v>
      </c>
      <c r="E564" s="1" t="s">
        <v>624</v>
      </c>
      <c r="F564" s="1">
        <v>288</v>
      </c>
      <c r="G564" s="2">
        <v>37260</v>
      </c>
      <c r="H564" s="3">
        <v>0.6810416666666667</v>
      </c>
    </row>
    <row r="566" spans="2:4" ht="12.75">
      <c r="B566" s="1" t="s">
        <v>497</v>
      </c>
      <c r="C566" s="1" t="s">
        <v>197</v>
      </c>
      <c r="D566" s="1" t="s">
        <v>45</v>
      </c>
    </row>
    <row r="567" spans="2:3" ht="12.75">
      <c r="B567" s="1" t="s">
        <v>498</v>
      </c>
      <c r="C567" s="1" t="s">
        <v>499</v>
      </c>
    </row>
    <row r="569" spans="2:9" ht="12.75">
      <c r="B569" s="1" t="s">
        <v>39</v>
      </c>
      <c r="C569" s="1" t="s">
        <v>14</v>
      </c>
      <c r="D569" s="1" t="s">
        <v>500</v>
      </c>
      <c r="E569" s="1" t="s">
        <v>501</v>
      </c>
      <c r="F569" s="1" t="s">
        <v>502</v>
      </c>
      <c r="G569" s="1" t="s">
        <v>503</v>
      </c>
      <c r="H569" s="1" t="s">
        <v>504</v>
      </c>
      <c r="I569" s="1" t="s">
        <v>505</v>
      </c>
    </row>
    <row r="570" ht="12.75">
      <c r="B570" s="1" t="s">
        <v>506</v>
      </c>
    </row>
    <row r="571" spans="2:5" ht="12.75">
      <c r="B571" s="1">
        <v>1</v>
      </c>
      <c r="C571" s="1">
        <v>1650.701</v>
      </c>
      <c r="D571" s="1" t="s">
        <v>507</v>
      </c>
      <c r="E571" s="1" t="s">
        <v>508</v>
      </c>
    </row>
    <row r="572" spans="2:5" ht="12.75">
      <c r="B572" s="1">
        <v>2</v>
      </c>
      <c r="C572" s="1">
        <v>1643.8819</v>
      </c>
      <c r="D572" s="1" t="s">
        <v>507</v>
      </c>
      <c r="E572" s="1" t="s">
        <v>508</v>
      </c>
    </row>
    <row r="573" spans="2:5" ht="12.75">
      <c r="B573" s="1">
        <v>3</v>
      </c>
      <c r="C573" s="1">
        <v>1643.8819</v>
      </c>
      <c r="D573" s="1" t="s">
        <v>507</v>
      </c>
      <c r="E573" s="1" t="s">
        <v>508</v>
      </c>
    </row>
    <row r="574" spans="2:5" ht="12.75">
      <c r="B574" s="1">
        <v>4</v>
      </c>
      <c r="C574" s="1">
        <v>1703.9915</v>
      </c>
      <c r="D574" s="1" t="s">
        <v>507</v>
      </c>
      <c r="E574" s="1" t="s">
        <v>508</v>
      </c>
    </row>
    <row r="575" spans="2:5" ht="12.75">
      <c r="B575" s="1">
        <v>5</v>
      </c>
      <c r="C575" s="1">
        <v>1711.2952</v>
      </c>
      <c r="D575" s="1" t="s">
        <v>507</v>
      </c>
      <c r="E575" s="1" t="s">
        <v>508</v>
      </c>
    </row>
    <row r="576" spans="2:5" ht="12.75">
      <c r="B576" s="1">
        <v>6</v>
      </c>
      <c r="C576" s="1">
        <v>1750</v>
      </c>
      <c r="D576" s="1" t="s">
        <v>509</v>
      </c>
      <c r="E576" s="1" t="s">
        <v>508</v>
      </c>
    </row>
    <row r="577" spans="2:5" ht="12.75">
      <c r="B577" s="1">
        <v>7</v>
      </c>
      <c r="C577" s="1">
        <v>154.9517</v>
      </c>
      <c r="D577" s="1" t="s">
        <v>507</v>
      </c>
      <c r="E577" s="1" t="s">
        <v>508</v>
      </c>
    </row>
    <row r="578" spans="2:5" ht="12.75">
      <c r="B578" s="1">
        <v>8</v>
      </c>
      <c r="C578" s="1">
        <v>127.5675</v>
      </c>
      <c r="D578" s="1" t="s">
        <v>507</v>
      </c>
      <c r="E578" s="1" t="s">
        <v>508</v>
      </c>
    </row>
    <row r="579" spans="2:5" ht="12.75">
      <c r="B579" s="1">
        <v>9</v>
      </c>
      <c r="C579" s="1">
        <v>124</v>
      </c>
      <c r="D579" s="1" t="s">
        <v>509</v>
      </c>
      <c r="E579" s="1" t="s">
        <v>508</v>
      </c>
    </row>
    <row r="580" spans="2:5" ht="12.75">
      <c r="B580" s="1">
        <v>10</v>
      </c>
      <c r="C580" s="1">
        <v>63.1364</v>
      </c>
      <c r="D580" s="1" t="s">
        <v>507</v>
      </c>
      <c r="E580" s="1" t="s">
        <v>508</v>
      </c>
    </row>
    <row r="581" spans="2:8" ht="12.75">
      <c r="B581" s="1">
        <v>11</v>
      </c>
      <c r="C581" s="1">
        <v>139</v>
      </c>
      <c r="D581" s="1">
        <v>62</v>
      </c>
      <c r="E581" s="1" t="s">
        <v>509</v>
      </c>
      <c r="F581" s="1" t="s">
        <v>510</v>
      </c>
      <c r="G581" s="1">
        <v>-19.5</v>
      </c>
      <c r="H581" s="1">
        <v>145</v>
      </c>
    </row>
    <row r="582" spans="2:5" ht="12.75">
      <c r="B582" s="1">
        <v>12</v>
      </c>
      <c r="C582" s="1">
        <v>68.1247</v>
      </c>
      <c r="D582" s="1" t="s">
        <v>507</v>
      </c>
      <c r="E582" s="1" t="s">
        <v>508</v>
      </c>
    </row>
    <row r="583" spans="2:5" ht="12.75">
      <c r="B583" s="1">
        <v>13</v>
      </c>
      <c r="C583" s="1">
        <v>13.0587</v>
      </c>
      <c r="D583" s="1" t="s">
        <v>507</v>
      </c>
      <c r="E583" s="1" t="s">
        <v>508</v>
      </c>
    </row>
    <row r="584" spans="2:6" ht="12.75">
      <c r="B584" s="1">
        <v>14</v>
      </c>
      <c r="C584" s="1">
        <v>15</v>
      </c>
      <c r="D584" s="1">
        <v>16</v>
      </c>
      <c r="E584" s="1" t="s">
        <v>509</v>
      </c>
      <c r="F584" s="1" t="s">
        <v>511</v>
      </c>
    </row>
    <row r="585" spans="2:5" ht="12.75">
      <c r="B585" s="1">
        <v>15</v>
      </c>
      <c r="C585" s="1">
        <v>13.0587</v>
      </c>
      <c r="D585" s="1" t="s">
        <v>507</v>
      </c>
      <c r="E585" s="1" t="s">
        <v>508</v>
      </c>
    </row>
    <row r="586" spans="2:5" ht="12.75">
      <c r="B586" s="1">
        <v>16</v>
      </c>
      <c r="C586" s="1">
        <v>12.5104</v>
      </c>
      <c r="D586" s="1" t="s">
        <v>507</v>
      </c>
      <c r="E586" s="1" t="s">
        <v>508</v>
      </c>
    </row>
    <row r="587" spans="2:8" ht="12.75">
      <c r="B587" s="1">
        <v>17</v>
      </c>
      <c r="C587" s="1">
        <v>161</v>
      </c>
      <c r="D587" s="1">
        <v>85</v>
      </c>
      <c r="E587" s="1" t="s">
        <v>509</v>
      </c>
      <c r="F587" s="1" t="s">
        <v>510</v>
      </c>
      <c r="G587" s="1">
        <v>19.5</v>
      </c>
      <c r="H587" s="1">
        <v>-1.5</v>
      </c>
    </row>
    <row r="588" spans="2:5" ht="12.75">
      <c r="B588" s="1">
        <v>18</v>
      </c>
      <c r="C588" s="1">
        <v>66.4563</v>
      </c>
      <c r="D588" s="1" t="s">
        <v>507</v>
      </c>
      <c r="E588" s="1" t="s">
        <v>508</v>
      </c>
    </row>
    <row r="589" spans="2:5" ht="12.75">
      <c r="B589" s="1">
        <v>19</v>
      </c>
      <c r="C589" s="1">
        <v>37.0709</v>
      </c>
      <c r="D589" s="1" t="s">
        <v>507</v>
      </c>
      <c r="E589" s="1" t="s">
        <v>508</v>
      </c>
    </row>
    <row r="590" spans="2:5" ht="12.75">
      <c r="B590" s="1">
        <v>20</v>
      </c>
      <c r="C590" s="1">
        <v>8.9196</v>
      </c>
      <c r="D590" s="1" t="s">
        <v>507</v>
      </c>
      <c r="E590" s="1" t="s">
        <v>508</v>
      </c>
    </row>
    <row r="591" spans="2:5" ht="12.75">
      <c r="B591" s="1">
        <v>21</v>
      </c>
      <c r="C591" s="1">
        <v>8.3652</v>
      </c>
      <c r="D591" s="1" t="s">
        <v>507</v>
      </c>
      <c r="E591" s="1" t="s">
        <v>508</v>
      </c>
    </row>
    <row r="592" spans="2:8" ht="12.75">
      <c r="B592" s="1">
        <v>22</v>
      </c>
      <c r="C592" s="1">
        <v>12</v>
      </c>
      <c r="D592" s="1">
        <v>9</v>
      </c>
      <c r="E592" s="1" t="s">
        <v>509</v>
      </c>
      <c r="F592" s="1" t="s">
        <v>511</v>
      </c>
      <c r="G592" s="1">
        <v>1</v>
      </c>
      <c r="H592" s="1">
        <v>0</v>
      </c>
    </row>
    <row r="593" spans="2:5" ht="12.75">
      <c r="B593" s="1">
        <v>23</v>
      </c>
      <c r="C593" s="1">
        <v>10.5503</v>
      </c>
      <c r="D593" s="1" t="s">
        <v>507</v>
      </c>
      <c r="E593" s="1" t="s">
        <v>508</v>
      </c>
    </row>
    <row r="594" spans="2:5" ht="12.75">
      <c r="B594" s="1">
        <v>24</v>
      </c>
      <c r="C594" s="1">
        <v>8.4236</v>
      </c>
      <c r="D594" s="1" t="s">
        <v>507</v>
      </c>
      <c r="E594" s="1" t="s">
        <v>508</v>
      </c>
    </row>
    <row r="595" spans="2:5" ht="12.75">
      <c r="B595" s="1">
        <v>25</v>
      </c>
      <c r="C595" s="1">
        <v>11.4267</v>
      </c>
      <c r="D595" s="1" t="s">
        <v>507</v>
      </c>
      <c r="E595" s="1" t="s">
        <v>508</v>
      </c>
    </row>
    <row r="596" spans="2:8" ht="12.75">
      <c r="B596" s="1">
        <v>26</v>
      </c>
      <c r="C596" s="1">
        <v>11.95</v>
      </c>
      <c r="D596" s="1">
        <v>12.57</v>
      </c>
      <c r="E596" s="1" t="s">
        <v>509</v>
      </c>
      <c r="F596" s="1" t="s">
        <v>511</v>
      </c>
      <c r="G596" s="1">
        <v>0.4</v>
      </c>
      <c r="H596" s="1">
        <v>-0.82</v>
      </c>
    </row>
    <row r="597" spans="2:5" ht="12.75">
      <c r="B597" s="1">
        <v>27</v>
      </c>
      <c r="C597" s="1">
        <v>11.4267</v>
      </c>
      <c r="D597" s="1" t="s">
        <v>507</v>
      </c>
      <c r="E597" s="1" t="s">
        <v>508</v>
      </c>
    </row>
    <row r="598" spans="2:5" ht="12.75">
      <c r="B598" s="1">
        <v>28</v>
      </c>
      <c r="C598" s="1">
        <v>21.2242</v>
      </c>
      <c r="D598" s="1" t="s">
        <v>507</v>
      </c>
      <c r="E598" s="1" t="s">
        <v>508</v>
      </c>
    </row>
    <row r="599" spans="2:5" ht="12.75">
      <c r="B599" s="1">
        <v>29</v>
      </c>
      <c r="C599" s="1">
        <v>21.2242</v>
      </c>
      <c r="D599" s="1" t="s">
        <v>507</v>
      </c>
      <c r="E599" s="1" t="s">
        <v>508</v>
      </c>
    </row>
    <row r="600" spans="2:8" ht="12.75">
      <c r="B600" s="1">
        <v>30</v>
      </c>
      <c r="C600" s="1">
        <v>57</v>
      </c>
      <c r="D600" s="1">
        <v>40</v>
      </c>
      <c r="E600" s="1" t="s">
        <v>509</v>
      </c>
      <c r="F600" s="1" t="s">
        <v>510</v>
      </c>
      <c r="G600" s="1">
        <v>4</v>
      </c>
      <c r="H600" s="1">
        <v>0</v>
      </c>
    </row>
    <row r="601" spans="2:5" ht="12.75">
      <c r="B601" s="1">
        <v>31</v>
      </c>
      <c r="C601" s="1">
        <v>18.3802</v>
      </c>
      <c r="D601" s="1" t="s">
        <v>507</v>
      </c>
      <c r="E601" s="1" t="s">
        <v>508</v>
      </c>
    </row>
    <row r="602" spans="2:5" ht="12.75">
      <c r="B602" s="1">
        <v>32</v>
      </c>
      <c r="C602" s="1">
        <v>16.0385</v>
      </c>
      <c r="D602" s="1" t="s">
        <v>507</v>
      </c>
      <c r="E602" s="1" t="s">
        <v>508</v>
      </c>
    </row>
    <row r="603" spans="2:5" ht="12.75">
      <c r="B603" s="1">
        <v>33</v>
      </c>
      <c r="C603" s="1">
        <v>16.0385</v>
      </c>
      <c r="D603" s="1" t="s">
        <v>507</v>
      </c>
      <c r="E603" s="1" t="s">
        <v>508</v>
      </c>
    </row>
    <row r="604" spans="2:5" ht="12.75">
      <c r="B604" s="1">
        <v>34</v>
      </c>
      <c r="C604" s="1">
        <v>16.0337</v>
      </c>
      <c r="D604" s="1" t="s">
        <v>507</v>
      </c>
      <c r="E604" s="1" t="s">
        <v>508</v>
      </c>
    </row>
    <row r="605" spans="2:5" ht="12.75">
      <c r="B605" s="1">
        <v>35</v>
      </c>
      <c r="C605" s="1">
        <v>26.7898</v>
      </c>
      <c r="D605" s="1" t="s">
        <v>507</v>
      </c>
      <c r="E605" s="1" t="s">
        <v>508</v>
      </c>
    </row>
    <row r="606" spans="2:5" ht="12.75">
      <c r="B606" s="1">
        <v>36</v>
      </c>
      <c r="C606" s="1">
        <v>30</v>
      </c>
      <c r="D606" s="1" t="s">
        <v>509</v>
      </c>
      <c r="E606" s="1" t="s">
        <v>508</v>
      </c>
    </row>
    <row r="607" spans="2:5" ht="12.75">
      <c r="B607" s="1">
        <v>37</v>
      </c>
      <c r="C607" s="1">
        <v>25.9942</v>
      </c>
      <c r="D607" s="1" t="s">
        <v>507</v>
      </c>
      <c r="E607" s="1" t="s">
        <v>508</v>
      </c>
    </row>
    <row r="608" spans="2:5" ht="12.75">
      <c r="B608" s="1">
        <v>38</v>
      </c>
      <c r="C608" s="1">
        <v>24.7971</v>
      </c>
      <c r="D608" s="1" t="s">
        <v>507</v>
      </c>
      <c r="E608" s="1" t="s">
        <v>508</v>
      </c>
    </row>
    <row r="609" spans="2:7" ht="12.75">
      <c r="B609" s="1">
        <v>39</v>
      </c>
      <c r="C609" s="1">
        <v>15</v>
      </c>
      <c r="D609" s="1" t="s">
        <v>509</v>
      </c>
      <c r="E609" s="1" t="s">
        <v>508</v>
      </c>
      <c r="F609" s="1">
        <v>0</v>
      </c>
      <c r="G609" s="1">
        <v>1.5</v>
      </c>
    </row>
    <row r="610" spans="2:5" ht="12.75">
      <c r="B610" s="1">
        <v>40</v>
      </c>
      <c r="C610" s="1">
        <v>12.183</v>
      </c>
      <c r="D610" s="1" t="s">
        <v>507</v>
      </c>
      <c r="E610" s="1" t="s">
        <v>508</v>
      </c>
    </row>
    <row r="611" spans="2:5" ht="12.75">
      <c r="B611" s="1">
        <v>41</v>
      </c>
      <c r="C611" s="1">
        <v>9.4815</v>
      </c>
      <c r="D611" s="1" t="s">
        <v>507</v>
      </c>
      <c r="E611" s="1" t="s">
        <v>508</v>
      </c>
    </row>
    <row r="612" spans="2:5" ht="12.75">
      <c r="B612" s="1">
        <v>42</v>
      </c>
      <c r="C612" s="1">
        <v>9.4815</v>
      </c>
      <c r="D612" s="1" t="s">
        <v>507</v>
      </c>
      <c r="E612" s="1" t="s">
        <v>508</v>
      </c>
    </row>
    <row r="613" spans="2:5" ht="12.75">
      <c r="B613" s="1">
        <v>43</v>
      </c>
      <c r="C613" s="1">
        <v>25</v>
      </c>
      <c r="D613" s="1" t="s">
        <v>509</v>
      </c>
      <c r="E613" s="1" t="s">
        <v>508</v>
      </c>
    </row>
    <row r="614" spans="2:5" ht="12.75">
      <c r="B614" s="1">
        <v>44</v>
      </c>
      <c r="C614" s="1">
        <v>21.448</v>
      </c>
      <c r="D614" s="1" t="s">
        <v>507</v>
      </c>
      <c r="E614" s="1" t="s">
        <v>508</v>
      </c>
    </row>
    <row r="615" spans="2:5" ht="12.75">
      <c r="B615" s="1">
        <v>45</v>
      </c>
      <c r="C615" s="1">
        <v>11.5256</v>
      </c>
      <c r="D615" s="1" t="s">
        <v>507</v>
      </c>
      <c r="E615" s="1" t="s">
        <v>508</v>
      </c>
    </row>
    <row r="616" spans="2:5" ht="12.75">
      <c r="B616" s="1">
        <v>46</v>
      </c>
      <c r="C616" s="1">
        <v>18.404</v>
      </c>
      <c r="D616" s="1" t="s">
        <v>507</v>
      </c>
      <c r="E616" s="1" t="s">
        <v>508</v>
      </c>
    </row>
    <row r="617" spans="2:5" ht="12.75">
      <c r="B617" s="1">
        <v>47</v>
      </c>
      <c r="C617" s="1">
        <v>12.5414</v>
      </c>
      <c r="D617" s="1" t="s">
        <v>507</v>
      </c>
      <c r="E617" s="1" t="s">
        <v>508</v>
      </c>
    </row>
    <row r="618" spans="2:5" ht="12.75">
      <c r="B618" s="1">
        <v>48</v>
      </c>
      <c r="C618" s="1">
        <v>16</v>
      </c>
      <c r="D618" s="1" t="s">
        <v>509</v>
      </c>
      <c r="E618" s="1" t="s">
        <v>508</v>
      </c>
    </row>
    <row r="619" spans="2:5" ht="12.75">
      <c r="B619" s="1">
        <v>49</v>
      </c>
      <c r="C619" s="1">
        <v>11.5256</v>
      </c>
      <c r="D619" s="1" t="s">
        <v>507</v>
      </c>
      <c r="E619" s="1" t="s">
        <v>508</v>
      </c>
    </row>
    <row r="620" spans="2:5" ht="12.75">
      <c r="B620" s="1">
        <v>50</v>
      </c>
      <c r="C620" s="1">
        <v>12.9205</v>
      </c>
      <c r="D620" s="1" t="s">
        <v>507</v>
      </c>
      <c r="E620" s="1" t="s">
        <v>508</v>
      </c>
    </row>
    <row r="621" spans="2:5" ht="12.75">
      <c r="B621" s="1">
        <v>51</v>
      </c>
      <c r="C621" s="1">
        <v>19.1308</v>
      </c>
      <c r="D621" s="1" t="s">
        <v>507</v>
      </c>
      <c r="E621" s="1" t="s">
        <v>508</v>
      </c>
    </row>
    <row r="622" spans="2:5" ht="12.75">
      <c r="B622" s="1">
        <v>52</v>
      </c>
      <c r="C622" s="1">
        <v>19.1308</v>
      </c>
      <c r="D622" s="1" t="s">
        <v>507</v>
      </c>
      <c r="E622" s="1" t="s">
        <v>508</v>
      </c>
    </row>
    <row r="623" spans="2:5" ht="12.75">
      <c r="B623" s="1">
        <v>53</v>
      </c>
      <c r="C623" s="1">
        <v>19.1308</v>
      </c>
      <c r="D623" s="1" t="s">
        <v>507</v>
      </c>
      <c r="E623" s="1" t="s">
        <v>508</v>
      </c>
    </row>
    <row r="624" spans="2:5" ht="12.75">
      <c r="B624" s="1">
        <v>54</v>
      </c>
      <c r="C624" s="1">
        <v>12.9205</v>
      </c>
      <c r="D624" s="1" t="s">
        <v>507</v>
      </c>
      <c r="E624" s="1" t="s">
        <v>508</v>
      </c>
    </row>
    <row r="625" spans="2:5" ht="12.75">
      <c r="B625" s="1">
        <v>55</v>
      </c>
      <c r="C625" s="1">
        <v>11.5256</v>
      </c>
      <c r="D625" s="1" t="s">
        <v>507</v>
      </c>
      <c r="E625" s="1" t="s">
        <v>508</v>
      </c>
    </row>
    <row r="626" spans="2:5" ht="12.75">
      <c r="B626" s="1">
        <v>56</v>
      </c>
      <c r="C626" s="1">
        <v>30</v>
      </c>
      <c r="D626" s="1" t="s">
        <v>509</v>
      </c>
      <c r="E626" s="1" t="s">
        <v>508</v>
      </c>
    </row>
    <row r="627" spans="2:5" ht="12.75">
      <c r="B627" s="1">
        <v>57</v>
      </c>
      <c r="C627" s="1">
        <v>20.5581</v>
      </c>
      <c r="D627" s="1" t="s">
        <v>507</v>
      </c>
      <c r="E627" s="1" t="s">
        <v>508</v>
      </c>
    </row>
    <row r="628" spans="2:5" ht="12.75">
      <c r="B628" s="1">
        <v>58</v>
      </c>
      <c r="C628" s="1">
        <v>10</v>
      </c>
      <c r="D628" s="1" t="s">
        <v>509</v>
      </c>
      <c r="E628" s="1" t="s">
        <v>508</v>
      </c>
    </row>
    <row r="629" spans="2:5" ht="12.75">
      <c r="B629" s="1">
        <v>59</v>
      </c>
      <c r="C629" s="1">
        <v>9.8696</v>
      </c>
      <c r="D629" s="1" t="s">
        <v>507</v>
      </c>
      <c r="E629" s="1" t="s">
        <v>508</v>
      </c>
    </row>
    <row r="630" spans="2:7" ht="12.75">
      <c r="B630" s="1">
        <v>60</v>
      </c>
      <c r="C630" s="1">
        <v>18</v>
      </c>
      <c r="D630" s="1" t="s">
        <v>509</v>
      </c>
      <c r="E630" s="1" t="s">
        <v>508</v>
      </c>
      <c r="F630" s="1">
        <v>0</v>
      </c>
      <c r="G630" s="1">
        <v>2</v>
      </c>
    </row>
    <row r="631" spans="2:5" ht="12.75">
      <c r="B631" s="1">
        <v>61</v>
      </c>
      <c r="C631" s="1">
        <v>12.5446</v>
      </c>
      <c r="D631" s="1" t="s">
        <v>507</v>
      </c>
      <c r="E631" s="1" t="s">
        <v>508</v>
      </c>
    </row>
    <row r="632" spans="2:5" ht="12.75">
      <c r="B632" s="1">
        <v>62</v>
      </c>
      <c r="C632" s="1">
        <v>24.6786</v>
      </c>
      <c r="D632" s="1" t="s">
        <v>507</v>
      </c>
      <c r="E632" s="1" t="s">
        <v>508</v>
      </c>
    </row>
    <row r="633" spans="2:7" ht="12.75">
      <c r="B633" s="1">
        <v>63</v>
      </c>
      <c r="C633" s="1">
        <v>37</v>
      </c>
      <c r="D633" s="1" t="s">
        <v>509</v>
      </c>
      <c r="E633" s="1" t="s">
        <v>508</v>
      </c>
      <c r="F633" s="1">
        <v>0</v>
      </c>
      <c r="G633" s="1">
        <v>1</v>
      </c>
    </row>
    <row r="634" spans="2:5" ht="12.75">
      <c r="B634" s="1">
        <v>64</v>
      </c>
      <c r="C634" s="1">
        <v>24.2228</v>
      </c>
      <c r="D634" s="1" t="s">
        <v>507</v>
      </c>
      <c r="E634" s="1" t="s">
        <v>508</v>
      </c>
    </row>
    <row r="635" spans="2:5" ht="12.75">
      <c r="B635" s="1">
        <v>65</v>
      </c>
      <c r="C635" s="1">
        <v>23.8682</v>
      </c>
      <c r="D635" s="1" t="s">
        <v>507</v>
      </c>
      <c r="E635" s="1" t="s">
        <v>508</v>
      </c>
    </row>
    <row r="636" spans="2:7" ht="12.75">
      <c r="B636" s="1">
        <v>66</v>
      </c>
      <c r="C636" s="1">
        <v>18.5</v>
      </c>
      <c r="D636" s="1" t="s">
        <v>509</v>
      </c>
      <c r="E636" s="1" t="s">
        <v>508</v>
      </c>
      <c r="F636" s="1">
        <v>0</v>
      </c>
      <c r="G636" s="1">
        <v>2</v>
      </c>
    </row>
    <row r="637" spans="2:8" ht="12.75">
      <c r="B637" s="1">
        <v>67</v>
      </c>
      <c r="C637" s="1">
        <v>12.4</v>
      </c>
      <c r="D637" s="1">
        <v>9</v>
      </c>
      <c r="E637" s="1" t="s">
        <v>509</v>
      </c>
      <c r="F637" s="1" t="s">
        <v>511</v>
      </c>
      <c r="G637" s="1">
        <v>-0.63</v>
      </c>
      <c r="H637" s="1">
        <v>-0.5</v>
      </c>
    </row>
    <row r="638" spans="2:5" ht="12.75">
      <c r="B638" s="1">
        <v>68</v>
      </c>
      <c r="C638" s="1">
        <v>9.5011</v>
      </c>
      <c r="D638" s="1" t="s">
        <v>507</v>
      </c>
      <c r="E638" s="1" t="s">
        <v>508</v>
      </c>
    </row>
    <row r="639" spans="2:5" ht="12.75">
      <c r="B639" s="1">
        <v>69</v>
      </c>
      <c r="C639" s="1">
        <v>7.5102</v>
      </c>
      <c r="D639" s="1" t="s">
        <v>507</v>
      </c>
      <c r="E639" s="1" t="s">
        <v>508</v>
      </c>
    </row>
    <row r="640" spans="2:5" ht="12.75">
      <c r="B640" s="1">
        <v>70</v>
      </c>
      <c r="C640" s="1">
        <v>7.4831</v>
      </c>
      <c r="D640" s="1" t="s">
        <v>507</v>
      </c>
      <c r="E640" s="1" t="s">
        <v>508</v>
      </c>
    </row>
    <row r="641" spans="2:5" ht="12.75">
      <c r="B641" s="1">
        <v>71</v>
      </c>
      <c r="C641" s="1">
        <v>10</v>
      </c>
      <c r="D641" s="1" t="s">
        <v>509</v>
      </c>
      <c r="E641" s="1" t="s">
        <v>508</v>
      </c>
    </row>
    <row r="642" spans="2:5" ht="12.75">
      <c r="B642" s="1">
        <v>72</v>
      </c>
      <c r="C642" s="1">
        <v>7.4831</v>
      </c>
      <c r="D642" s="1" t="s">
        <v>507</v>
      </c>
      <c r="E642" s="1" t="s">
        <v>508</v>
      </c>
    </row>
    <row r="643" spans="2:5" ht="12.75">
      <c r="B643" s="1">
        <v>73</v>
      </c>
      <c r="C643" s="1">
        <v>7.5102</v>
      </c>
      <c r="D643" s="1" t="s">
        <v>507</v>
      </c>
      <c r="E643" s="1" t="s">
        <v>508</v>
      </c>
    </row>
    <row r="644" spans="2:5" ht="12.75">
      <c r="B644" s="1">
        <v>74</v>
      </c>
      <c r="C644" s="1">
        <v>9.7109</v>
      </c>
      <c r="D644" s="1" t="s">
        <v>507</v>
      </c>
      <c r="E644" s="1" t="s">
        <v>508</v>
      </c>
    </row>
    <row r="645" spans="2:5" ht="12.75">
      <c r="B645" s="1">
        <v>75</v>
      </c>
      <c r="C645" s="1">
        <v>9.5011</v>
      </c>
      <c r="D645" s="1" t="s">
        <v>507</v>
      </c>
      <c r="E645" s="1" t="s">
        <v>508</v>
      </c>
    </row>
    <row r="646" spans="2:5" ht="12.75">
      <c r="B646" s="1">
        <v>76</v>
      </c>
      <c r="C646" s="1">
        <v>13.0142</v>
      </c>
      <c r="D646" s="1" t="s">
        <v>507</v>
      </c>
      <c r="E646" s="1" t="s">
        <v>508</v>
      </c>
    </row>
    <row r="647" spans="2:5" ht="12.75">
      <c r="B647" s="1">
        <v>77</v>
      </c>
      <c r="C647" s="1">
        <v>24.2228</v>
      </c>
      <c r="D647" s="1" t="s">
        <v>507</v>
      </c>
      <c r="E647" s="1" t="s">
        <v>508</v>
      </c>
    </row>
    <row r="648" spans="2:5" ht="12.75">
      <c r="B648" s="1">
        <v>78</v>
      </c>
      <c r="C648" s="1">
        <v>24.0367</v>
      </c>
      <c r="D648" s="1" t="s">
        <v>507</v>
      </c>
      <c r="E648" s="1" t="s">
        <v>508</v>
      </c>
    </row>
    <row r="649" spans="2:5" ht="12.75">
      <c r="B649" s="1">
        <v>79</v>
      </c>
      <c r="C649" s="1">
        <v>24.6786</v>
      </c>
      <c r="D649" s="1" t="s">
        <v>507</v>
      </c>
      <c r="E649" s="1" t="s">
        <v>508</v>
      </c>
    </row>
    <row r="650" spans="2:5" ht="12.75">
      <c r="B650" s="1">
        <v>80</v>
      </c>
      <c r="C650" s="1">
        <v>22.7083</v>
      </c>
      <c r="D650" s="1" t="s">
        <v>507</v>
      </c>
      <c r="E650" s="1" t="s">
        <v>508</v>
      </c>
    </row>
    <row r="651" spans="2:5" ht="12.75">
      <c r="B651" s="1">
        <v>81</v>
      </c>
      <c r="C651" s="1">
        <v>14.9571</v>
      </c>
      <c r="D651" s="1" t="s">
        <v>507</v>
      </c>
      <c r="E651" s="1" t="s">
        <v>508</v>
      </c>
    </row>
    <row r="652" spans="2:5" ht="12.75">
      <c r="B652" s="1">
        <v>82</v>
      </c>
      <c r="C652" s="1">
        <v>12.5446</v>
      </c>
      <c r="D652" s="1" t="s">
        <v>507</v>
      </c>
      <c r="E652" s="1" t="s">
        <v>508</v>
      </c>
    </row>
    <row r="653" spans="2:5" ht="12.75">
      <c r="B653" s="1">
        <v>83</v>
      </c>
      <c r="C653" s="1">
        <v>9.8696</v>
      </c>
      <c r="D653" s="1" t="s">
        <v>507</v>
      </c>
      <c r="E653" s="1" t="s">
        <v>508</v>
      </c>
    </row>
    <row r="654" spans="2:5" ht="12.75">
      <c r="B654" s="1">
        <v>84</v>
      </c>
      <c r="C654" s="1">
        <v>21.4591</v>
      </c>
      <c r="D654" s="1" t="s">
        <v>507</v>
      </c>
      <c r="E654" s="1" t="s">
        <v>508</v>
      </c>
    </row>
    <row r="655" spans="2:5" ht="12.75">
      <c r="B655" s="1">
        <v>85</v>
      </c>
      <c r="C655" s="1">
        <v>20.9882</v>
      </c>
      <c r="D655" s="1" t="s">
        <v>507</v>
      </c>
      <c r="E655" s="1" t="s">
        <v>508</v>
      </c>
    </row>
    <row r="656" spans="2:5" ht="12.75">
      <c r="B656" s="1">
        <v>86</v>
      </c>
      <c r="C656" s="1">
        <v>11.5256</v>
      </c>
      <c r="D656" s="1" t="s">
        <v>507</v>
      </c>
      <c r="E656" s="1" t="s">
        <v>508</v>
      </c>
    </row>
    <row r="657" spans="2:5" ht="12.75">
      <c r="B657" s="1">
        <v>87</v>
      </c>
      <c r="C657" s="1">
        <v>19.1308</v>
      </c>
      <c r="D657" s="1" t="s">
        <v>507</v>
      </c>
      <c r="E657" s="1" t="s">
        <v>508</v>
      </c>
    </row>
    <row r="658" spans="2:5" ht="12.75">
      <c r="B658" s="1">
        <v>88</v>
      </c>
      <c r="C658" s="1">
        <v>12.9205</v>
      </c>
      <c r="D658" s="1" t="s">
        <v>507</v>
      </c>
      <c r="E658" s="1" t="s">
        <v>508</v>
      </c>
    </row>
    <row r="659" spans="2:5" ht="12.75">
      <c r="B659" s="1">
        <v>89</v>
      </c>
      <c r="C659" s="1">
        <v>11.5256</v>
      </c>
      <c r="D659" s="1" t="s">
        <v>507</v>
      </c>
      <c r="E659" s="1" t="s">
        <v>508</v>
      </c>
    </row>
    <row r="660" spans="2:5" ht="12.75">
      <c r="B660" s="1">
        <v>90</v>
      </c>
      <c r="C660" s="1">
        <v>18.404</v>
      </c>
      <c r="D660" s="1" t="s">
        <v>507</v>
      </c>
      <c r="E660" s="1" t="s">
        <v>508</v>
      </c>
    </row>
    <row r="661" spans="2:5" ht="12.75">
      <c r="B661" s="1">
        <v>91</v>
      </c>
      <c r="C661" s="1">
        <v>12.5414</v>
      </c>
      <c r="D661" s="1" t="s">
        <v>507</v>
      </c>
      <c r="E661" s="1" t="s">
        <v>508</v>
      </c>
    </row>
    <row r="662" spans="2:5" ht="12.75">
      <c r="B662" s="1">
        <v>92</v>
      </c>
      <c r="C662" s="1">
        <v>11.5256</v>
      </c>
      <c r="D662" s="1" t="s">
        <v>507</v>
      </c>
      <c r="E662" s="1" t="s">
        <v>508</v>
      </c>
    </row>
    <row r="663" spans="2:5" ht="12.75">
      <c r="B663" s="1">
        <v>93</v>
      </c>
      <c r="C663" s="1">
        <v>21.9133</v>
      </c>
      <c r="D663" s="1" t="s">
        <v>507</v>
      </c>
      <c r="E663" s="1" t="s">
        <v>508</v>
      </c>
    </row>
    <row r="664" spans="2:5" ht="12.75">
      <c r="B664" s="1">
        <v>94</v>
      </c>
      <c r="C664" s="1">
        <v>20.9961</v>
      </c>
      <c r="D664" s="1" t="s">
        <v>507</v>
      </c>
      <c r="E664" s="1" t="s">
        <v>508</v>
      </c>
    </row>
    <row r="665" spans="2:5" ht="12.75">
      <c r="B665" s="1">
        <v>95</v>
      </c>
      <c r="C665" s="1">
        <v>9.4815</v>
      </c>
      <c r="D665" s="1" t="s">
        <v>507</v>
      </c>
      <c r="E665" s="1" t="s">
        <v>508</v>
      </c>
    </row>
    <row r="666" spans="2:5" ht="12.75">
      <c r="B666" s="1">
        <v>96</v>
      </c>
      <c r="C666" s="1">
        <v>12.183</v>
      </c>
      <c r="D666" s="1" t="s">
        <v>507</v>
      </c>
      <c r="E666" s="1" t="s">
        <v>508</v>
      </c>
    </row>
    <row r="667" spans="2:5" ht="12.75">
      <c r="B667" s="1">
        <v>97</v>
      </c>
      <c r="C667" s="1">
        <v>25.9942</v>
      </c>
      <c r="D667" s="1" t="s">
        <v>507</v>
      </c>
      <c r="E667" s="1" t="s">
        <v>508</v>
      </c>
    </row>
    <row r="668" spans="2:5" ht="12.75">
      <c r="B668" s="1">
        <v>98</v>
      </c>
      <c r="C668" s="1">
        <v>30</v>
      </c>
      <c r="D668" s="1" t="s">
        <v>509</v>
      </c>
      <c r="E668" s="1" t="s">
        <v>508</v>
      </c>
    </row>
    <row r="669" spans="2:5" ht="12.75">
      <c r="B669" s="1">
        <v>99</v>
      </c>
      <c r="C669" s="1">
        <v>26.7898</v>
      </c>
      <c r="D669" s="1" t="s">
        <v>507</v>
      </c>
      <c r="E669" s="1" t="s">
        <v>508</v>
      </c>
    </row>
    <row r="670" spans="2:5" ht="12.75">
      <c r="B670" s="1">
        <v>100</v>
      </c>
      <c r="C670" s="1">
        <v>24.9955</v>
      </c>
      <c r="D670" s="1" t="s">
        <v>507</v>
      </c>
      <c r="E670" s="1" t="s">
        <v>508</v>
      </c>
    </row>
    <row r="671" spans="2:5" ht="12.75">
      <c r="B671" s="1">
        <v>101</v>
      </c>
      <c r="C671" s="1">
        <v>16.0337</v>
      </c>
      <c r="D671" s="1" t="s">
        <v>507</v>
      </c>
      <c r="E671" s="1" t="s">
        <v>508</v>
      </c>
    </row>
    <row r="672" spans="2:5" ht="12.75">
      <c r="B672" s="1">
        <v>102</v>
      </c>
      <c r="C672" s="1">
        <v>12.5</v>
      </c>
      <c r="D672" s="1" t="s">
        <v>509</v>
      </c>
      <c r="E672" s="1" t="s">
        <v>508</v>
      </c>
    </row>
    <row r="673" spans="2:5" ht="12.75">
      <c r="B673" s="1">
        <v>103</v>
      </c>
      <c r="C673" s="1">
        <v>16.0337</v>
      </c>
      <c r="D673" s="1" t="s">
        <v>507</v>
      </c>
      <c r="E673" s="1" t="s">
        <v>508</v>
      </c>
    </row>
    <row r="674" spans="2:5" ht="12.75">
      <c r="B674" s="1">
        <v>104</v>
      </c>
      <c r="C674" s="1">
        <v>26.7898</v>
      </c>
      <c r="D674" s="1" t="s">
        <v>507</v>
      </c>
      <c r="E674" s="1" t="s">
        <v>508</v>
      </c>
    </row>
    <row r="675" spans="2:5" ht="12.75">
      <c r="B675" s="1">
        <v>105</v>
      </c>
      <c r="C675" s="1">
        <v>25.9924</v>
      </c>
      <c r="D675" s="1" t="s">
        <v>507</v>
      </c>
      <c r="E675" s="1" t="s">
        <v>508</v>
      </c>
    </row>
    <row r="676" spans="2:5" ht="12.75">
      <c r="B676" s="1">
        <v>106</v>
      </c>
      <c r="C676" s="1">
        <v>25.9942</v>
      </c>
      <c r="D676" s="1" t="s">
        <v>507</v>
      </c>
      <c r="E676" s="1" t="s">
        <v>508</v>
      </c>
    </row>
    <row r="677" spans="2:5" ht="12.75">
      <c r="B677" s="1">
        <v>107</v>
      </c>
      <c r="C677" s="1">
        <v>24.7971</v>
      </c>
      <c r="D677" s="1" t="s">
        <v>507</v>
      </c>
      <c r="E677" s="1" t="s">
        <v>508</v>
      </c>
    </row>
    <row r="678" spans="2:5" ht="12.75">
      <c r="B678" s="1">
        <v>108</v>
      </c>
      <c r="C678" s="1">
        <v>14.5408</v>
      </c>
      <c r="D678" s="1" t="s">
        <v>507</v>
      </c>
      <c r="E678" s="1" t="s">
        <v>508</v>
      </c>
    </row>
    <row r="679" spans="2:5" ht="12.75">
      <c r="B679" s="1">
        <v>109</v>
      </c>
      <c r="C679" s="1">
        <v>12.183</v>
      </c>
      <c r="D679" s="1" t="s">
        <v>507</v>
      </c>
      <c r="E679" s="1" t="s">
        <v>508</v>
      </c>
    </row>
    <row r="680" spans="2:5" ht="12.75">
      <c r="B680" s="1">
        <v>110</v>
      </c>
      <c r="C680" s="1">
        <v>9.4815</v>
      </c>
      <c r="D680" s="1" t="s">
        <v>507</v>
      </c>
      <c r="E680" s="1" t="s">
        <v>508</v>
      </c>
    </row>
    <row r="681" spans="2:5" ht="12.75">
      <c r="B681" s="1">
        <v>111</v>
      </c>
      <c r="C681" s="1">
        <v>25</v>
      </c>
      <c r="D681" s="1" t="s">
        <v>509</v>
      </c>
      <c r="E681" s="1" t="s">
        <v>508</v>
      </c>
    </row>
    <row r="682" spans="2:5" ht="12.75">
      <c r="B682" s="1">
        <v>112</v>
      </c>
      <c r="C682" s="1">
        <v>21.448</v>
      </c>
      <c r="D682" s="1" t="s">
        <v>507</v>
      </c>
      <c r="E682" s="1" t="s">
        <v>508</v>
      </c>
    </row>
    <row r="683" spans="2:5" ht="12.75">
      <c r="B683" s="1">
        <v>113</v>
      </c>
      <c r="C683" s="1">
        <v>11.5256</v>
      </c>
      <c r="D683" s="1" t="s">
        <v>507</v>
      </c>
      <c r="E683" s="1" t="s">
        <v>508</v>
      </c>
    </row>
    <row r="684" spans="2:5" ht="12.75">
      <c r="B684" s="1">
        <v>114</v>
      </c>
      <c r="C684" s="1">
        <v>18.404</v>
      </c>
      <c r="D684" s="1" t="s">
        <v>507</v>
      </c>
      <c r="E684" s="1" t="s">
        <v>508</v>
      </c>
    </row>
    <row r="685" spans="2:5" ht="12.75">
      <c r="B685" s="1">
        <v>115</v>
      </c>
      <c r="C685" s="1">
        <v>12.5414</v>
      </c>
      <c r="D685" s="1" t="s">
        <v>507</v>
      </c>
      <c r="E685" s="1" t="s">
        <v>508</v>
      </c>
    </row>
    <row r="686" spans="2:5" ht="12.75">
      <c r="B686" s="1">
        <v>116</v>
      </c>
      <c r="C686" s="1">
        <v>16</v>
      </c>
      <c r="D686" s="1" t="s">
        <v>509</v>
      </c>
      <c r="E686" s="1" t="s">
        <v>508</v>
      </c>
    </row>
    <row r="687" spans="2:5" ht="12.75">
      <c r="B687" s="1">
        <v>117</v>
      </c>
      <c r="C687" s="1">
        <v>11.5256</v>
      </c>
      <c r="D687" s="1" t="s">
        <v>507</v>
      </c>
      <c r="E687" s="1" t="s">
        <v>508</v>
      </c>
    </row>
    <row r="688" spans="2:5" ht="12.75">
      <c r="B688" s="1">
        <v>118</v>
      </c>
      <c r="C688" s="1">
        <v>12.9205</v>
      </c>
      <c r="D688" s="1" t="s">
        <v>507</v>
      </c>
      <c r="E688" s="1" t="s">
        <v>508</v>
      </c>
    </row>
    <row r="689" spans="2:5" ht="12.75">
      <c r="B689" s="1">
        <v>119</v>
      </c>
      <c r="C689" s="1">
        <v>19.1308</v>
      </c>
      <c r="D689" s="1" t="s">
        <v>507</v>
      </c>
      <c r="E689" s="1" t="s">
        <v>508</v>
      </c>
    </row>
    <row r="690" spans="2:5" ht="12.75">
      <c r="B690" s="1">
        <v>120</v>
      </c>
      <c r="C690" s="1">
        <v>19.1308</v>
      </c>
      <c r="D690" s="1" t="s">
        <v>507</v>
      </c>
      <c r="E690" s="1" t="s">
        <v>508</v>
      </c>
    </row>
    <row r="691" spans="2:5" ht="12.75">
      <c r="B691" s="1">
        <v>121</v>
      </c>
      <c r="C691" s="1">
        <v>19.1308</v>
      </c>
      <c r="D691" s="1" t="s">
        <v>507</v>
      </c>
      <c r="E691" s="1" t="s">
        <v>508</v>
      </c>
    </row>
    <row r="692" spans="2:5" ht="12.75">
      <c r="B692" s="1">
        <v>122</v>
      </c>
      <c r="C692" s="1">
        <v>12.9205</v>
      </c>
      <c r="D692" s="1" t="s">
        <v>507</v>
      </c>
      <c r="E692" s="1" t="s">
        <v>508</v>
      </c>
    </row>
    <row r="693" spans="2:5" ht="12.75">
      <c r="B693" s="1">
        <v>123</v>
      </c>
      <c r="C693" s="1">
        <v>11.5256</v>
      </c>
      <c r="D693" s="1" t="s">
        <v>507</v>
      </c>
      <c r="E693" s="1" t="s">
        <v>508</v>
      </c>
    </row>
    <row r="694" spans="2:5" ht="12.75">
      <c r="B694" s="1">
        <v>124</v>
      </c>
      <c r="C694" s="1">
        <v>30</v>
      </c>
      <c r="D694" s="1" t="s">
        <v>509</v>
      </c>
      <c r="E694" s="1" t="s">
        <v>508</v>
      </c>
    </row>
    <row r="695" spans="2:5" ht="12.75">
      <c r="B695" s="1">
        <v>125</v>
      </c>
      <c r="C695" s="1">
        <v>20.5581</v>
      </c>
      <c r="D695" s="1" t="s">
        <v>507</v>
      </c>
      <c r="E695" s="1" t="s">
        <v>508</v>
      </c>
    </row>
    <row r="696" spans="2:5" ht="12.75">
      <c r="B696" s="1">
        <v>126</v>
      </c>
      <c r="C696" s="1">
        <v>10</v>
      </c>
      <c r="D696" s="1" t="s">
        <v>509</v>
      </c>
      <c r="E696" s="1" t="s">
        <v>508</v>
      </c>
    </row>
    <row r="697" spans="2:5" ht="12.75">
      <c r="B697" s="1">
        <v>127</v>
      </c>
      <c r="C697" s="1">
        <v>9.8696</v>
      </c>
      <c r="D697" s="1" t="s">
        <v>507</v>
      </c>
      <c r="E697" s="1" t="s">
        <v>508</v>
      </c>
    </row>
    <row r="698" spans="2:7" ht="12.75">
      <c r="B698" s="1">
        <v>128</v>
      </c>
      <c r="C698" s="1">
        <v>18</v>
      </c>
      <c r="D698" s="1" t="s">
        <v>509</v>
      </c>
      <c r="E698" s="1" t="s">
        <v>508</v>
      </c>
      <c r="F698" s="1">
        <v>0</v>
      </c>
      <c r="G698" s="1">
        <v>2</v>
      </c>
    </row>
    <row r="699" spans="2:5" ht="12.75">
      <c r="B699" s="1">
        <v>129</v>
      </c>
      <c r="C699" s="1">
        <v>12.5446</v>
      </c>
      <c r="D699" s="1" t="s">
        <v>507</v>
      </c>
      <c r="E699" s="1" t="s">
        <v>508</v>
      </c>
    </row>
    <row r="700" spans="2:5" ht="12.75">
      <c r="B700" s="1">
        <v>130</v>
      </c>
      <c r="C700" s="1">
        <v>24.6786</v>
      </c>
      <c r="D700" s="1" t="s">
        <v>507</v>
      </c>
      <c r="E700" s="1" t="s">
        <v>508</v>
      </c>
    </row>
    <row r="701" spans="2:7" ht="12.75">
      <c r="B701" s="1">
        <v>131</v>
      </c>
      <c r="C701" s="1">
        <v>37</v>
      </c>
      <c r="D701" s="1" t="s">
        <v>509</v>
      </c>
      <c r="E701" s="1" t="s">
        <v>508</v>
      </c>
      <c r="F701" s="1">
        <v>0</v>
      </c>
      <c r="G701" s="1">
        <v>1</v>
      </c>
    </row>
    <row r="702" spans="2:5" ht="12.75">
      <c r="B702" s="1">
        <v>132</v>
      </c>
      <c r="C702" s="1">
        <v>24.2228</v>
      </c>
      <c r="D702" s="1" t="s">
        <v>507</v>
      </c>
      <c r="E702" s="1" t="s">
        <v>508</v>
      </c>
    </row>
    <row r="703" spans="2:5" ht="12.75">
      <c r="B703" s="1">
        <v>133</v>
      </c>
      <c r="C703" s="1">
        <v>32.0159</v>
      </c>
      <c r="D703" s="1" t="s">
        <v>507</v>
      </c>
      <c r="E703" s="1" t="s">
        <v>508</v>
      </c>
    </row>
    <row r="704" spans="2:5" ht="12.75">
      <c r="B704" s="1">
        <v>134</v>
      </c>
      <c r="C704" s="1">
        <v>23.8682</v>
      </c>
      <c r="D704" s="1" t="s">
        <v>507</v>
      </c>
      <c r="E704" s="1" t="s">
        <v>508</v>
      </c>
    </row>
    <row r="705" spans="2:7" ht="12.75">
      <c r="B705" s="1">
        <v>135</v>
      </c>
      <c r="C705" s="1">
        <v>18.5</v>
      </c>
      <c r="D705" s="1" t="s">
        <v>509</v>
      </c>
      <c r="E705" s="1" t="s">
        <v>508</v>
      </c>
      <c r="F705" s="1">
        <v>0</v>
      </c>
      <c r="G705" s="1">
        <v>2</v>
      </c>
    </row>
    <row r="706" spans="2:8" ht="12.75">
      <c r="B706" s="1">
        <v>136</v>
      </c>
      <c r="C706" s="1">
        <v>12.4</v>
      </c>
      <c r="D706" s="1">
        <v>9</v>
      </c>
      <c r="E706" s="1" t="s">
        <v>509</v>
      </c>
      <c r="F706" s="1" t="s">
        <v>511</v>
      </c>
      <c r="G706" s="1">
        <v>-0.63</v>
      </c>
      <c r="H706" s="1">
        <v>-0.5</v>
      </c>
    </row>
    <row r="707" spans="2:5" ht="12.75">
      <c r="B707" s="1">
        <v>137</v>
      </c>
      <c r="C707" s="1">
        <v>9.5011</v>
      </c>
      <c r="D707" s="1" t="s">
        <v>507</v>
      </c>
      <c r="E707" s="1" t="s">
        <v>508</v>
      </c>
    </row>
    <row r="708" spans="2:5" ht="12.75">
      <c r="B708" s="1">
        <v>138</v>
      </c>
      <c r="C708" s="1">
        <v>7.3434</v>
      </c>
      <c r="D708" s="1" t="s">
        <v>507</v>
      </c>
      <c r="E708" s="1" t="s">
        <v>508</v>
      </c>
    </row>
    <row r="709" spans="2:5" ht="12.75">
      <c r="B709" s="1">
        <v>139</v>
      </c>
      <c r="C709" s="1">
        <v>7.3138</v>
      </c>
      <c r="D709" s="1" t="s">
        <v>507</v>
      </c>
      <c r="E709" s="1" t="s">
        <v>508</v>
      </c>
    </row>
    <row r="710" spans="2:5" ht="12.75">
      <c r="B710" s="1">
        <v>140</v>
      </c>
      <c r="C710" s="1">
        <v>10</v>
      </c>
      <c r="D710" s="1" t="s">
        <v>509</v>
      </c>
      <c r="E710" s="1" t="s">
        <v>508</v>
      </c>
    </row>
    <row r="712" spans="2:10" ht="12.75">
      <c r="B712" s="1" t="s">
        <v>512</v>
      </c>
      <c r="C712" s="1" t="s">
        <v>513</v>
      </c>
      <c r="D712" s="1" t="s">
        <v>514</v>
      </c>
      <c r="E712" s="1" t="s">
        <v>515</v>
      </c>
      <c r="F712" s="1" t="s">
        <v>516</v>
      </c>
      <c r="G712" s="1" t="s">
        <v>517</v>
      </c>
      <c r="H712" s="1" t="s">
        <v>518</v>
      </c>
      <c r="I712" s="1" t="s">
        <v>519</v>
      </c>
      <c r="J712" s="1" t="s">
        <v>520</v>
      </c>
    </row>
    <row r="713" spans="2:8" ht="12.75">
      <c r="B713" s="1" t="s">
        <v>510</v>
      </c>
      <c r="C713" s="1" t="s">
        <v>516</v>
      </c>
      <c r="D713" s="1" t="s">
        <v>521</v>
      </c>
      <c r="E713" s="1" t="s">
        <v>518</v>
      </c>
      <c r="F713" s="1" t="s">
        <v>519</v>
      </c>
      <c r="G713" s="1" t="s">
        <v>522</v>
      </c>
      <c r="H713" s="1" t="s">
        <v>523</v>
      </c>
    </row>
    <row r="715" spans="2:4" ht="12.75">
      <c r="B715" s="1" t="s">
        <v>533</v>
      </c>
      <c r="C715" s="1" t="s">
        <v>197</v>
      </c>
      <c r="D715" s="1" t="s">
        <v>45</v>
      </c>
    </row>
    <row r="717" spans="2:4" ht="12.75">
      <c r="B717" s="1" t="s">
        <v>39</v>
      </c>
      <c r="C717" s="1" t="s">
        <v>197</v>
      </c>
      <c r="D717" s="1" t="s">
        <v>153</v>
      </c>
    </row>
    <row r="718" ht="12.75">
      <c r="B718" s="1" t="s">
        <v>534</v>
      </c>
    </row>
    <row r="719" spans="2:8" ht="12.75">
      <c r="B719" s="1">
        <v>43</v>
      </c>
      <c r="C719" s="1" t="s">
        <v>535</v>
      </c>
      <c r="D719" s="1" t="s">
        <v>197</v>
      </c>
      <c r="E719" s="1" t="s">
        <v>410</v>
      </c>
      <c r="F719" s="1">
        <v>4</v>
      </c>
      <c r="G719" s="1" t="s">
        <v>536</v>
      </c>
      <c r="H719" s="1" t="s">
        <v>537</v>
      </c>
    </row>
    <row r="720" spans="2:3" ht="12.75">
      <c r="B720" s="1" t="s">
        <v>14</v>
      </c>
      <c r="C720" s="1" t="s">
        <v>69</v>
      </c>
    </row>
    <row r="721" spans="2:3" ht="12.75">
      <c r="B721" s="1">
        <v>-30</v>
      </c>
      <c r="C721" s="1">
        <v>30</v>
      </c>
    </row>
    <row r="722" spans="2:3" ht="12.75">
      <c r="B722" s="1">
        <v>30</v>
      </c>
      <c r="C722" s="1">
        <v>30</v>
      </c>
    </row>
    <row r="723" spans="2:3" ht="12.75">
      <c r="B723" s="1">
        <v>30</v>
      </c>
      <c r="C723" s="1">
        <v>-22.5</v>
      </c>
    </row>
    <row r="724" spans="2:3" ht="12.75">
      <c r="B724" s="1">
        <v>-30</v>
      </c>
      <c r="C724" s="1">
        <v>-22.5</v>
      </c>
    </row>
    <row r="726" spans="2:8" ht="12.75">
      <c r="B726" s="1">
        <v>46</v>
      </c>
      <c r="C726" s="1" t="s">
        <v>535</v>
      </c>
      <c r="D726" s="1" t="s">
        <v>197</v>
      </c>
      <c r="E726" s="1" t="s">
        <v>410</v>
      </c>
      <c r="F726" s="1">
        <v>7</v>
      </c>
      <c r="G726" s="1" t="s">
        <v>536</v>
      </c>
      <c r="H726" s="1" t="s">
        <v>537</v>
      </c>
    </row>
    <row r="727" spans="2:3" ht="12.75">
      <c r="B727" s="1" t="s">
        <v>14</v>
      </c>
      <c r="C727" s="1" t="s">
        <v>69</v>
      </c>
    </row>
    <row r="728" spans="2:3" ht="12.75">
      <c r="B728" s="1">
        <v>-20</v>
      </c>
      <c r="C728" s="1">
        <v>15</v>
      </c>
    </row>
    <row r="729" spans="2:3" ht="12.75">
      <c r="B729" s="1">
        <v>-10</v>
      </c>
      <c r="C729" s="1">
        <v>25</v>
      </c>
    </row>
    <row r="730" spans="2:3" ht="12.75">
      <c r="B730" s="1">
        <v>10</v>
      </c>
      <c r="C730" s="1">
        <v>25</v>
      </c>
    </row>
    <row r="731" spans="2:3" ht="12.75">
      <c r="B731" s="1">
        <v>20</v>
      </c>
      <c r="C731" s="1">
        <v>15</v>
      </c>
    </row>
    <row r="732" spans="2:3" ht="12.75">
      <c r="B732" s="1">
        <v>20</v>
      </c>
      <c r="C732" s="1">
        <v>-15</v>
      </c>
    </row>
    <row r="733" spans="2:3" ht="12.75">
      <c r="B733" s="1">
        <v>0</v>
      </c>
      <c r="C733" s="1">
        <v>-35</v>
      </c>
    </row>
    <row r="734" spans="2:3" ht="12.75">
      <c r="B734" s="1">
        <v>-20</v>
      </c>
      <c r="C734" s="1">
        <v>-15</v>
      </c>
    </row>
    <row r="736" spans="2:8" ht="12.75">
      <c r="B736" s="1">
        <v>51</v>
      </c>
      <c r="C736" s="1" t="s">
        <v>535</v>
      </c>
      <c r="D736" s="1" t="s">
        <v>197</v>
      </c>
      <c r="E736" s="1" t="s">
        <v>410</v>
      </c>
      <c r="F736" s="1">
        <v>7</v>
      </c>
      <c r="G736" s="1" t="s">
        <v>536</v>
      </c>
      <c r="H736" s="1" t="s">
        <v>537</v>
      </c>
    </row>
    <row r="737" spans="2:3" ht="12.75">
      <c r="B737" s="1" t="s">
        <v>14</v>
      </c>
      <c r="C737" s="1" t="s">
        <v>69</v>
      </c>
    </row>
    <row r="738" spans="2:3" ht="12.75">
      <c r="B738" s="1">
        <v>-20</v>
      </c>
      <c r="C738" s="1">
        <v>15</v>
      </c>
    </row>
    <row r="739" spans="2:3" ht="12.75">
      <c r="B739" s="1">
        <v>-10</v>
      </c>
      <c r="C739" s="1">
        <v>25</v>
      </c>
    </row>
    <row r="740" spans="2:3" ht="12.75">
      <c r="B740" s="1">
        <v>10</v>
      </c>
      <c r="C740" s="1">
        <v>25</v>
      </c>
    </row>
    <row r="741" spans="2:3" ht="12.75">
      <c r="B741" s="1">
        <v>20</v>
      </c>
      <c r="C741" s="1">
        <v>15</v>
      </c>
    </row>
    <row r="742" spans="2:3" ht="12.75">
      <c r="B742" s="1">
        <v>20</v>
      </c>
      <c r="C742" s="1">
        <v>-15</v>
      </c>
    </row>
    <row r="743" spans="2:3" ht="12.75">
      <c r="B743" s="1">
        <v>0</v>
      </c>
      <c r="C743" s="1">
        <v>-35</v>
      </c>
    </row>
    <row r="744" spans="2:3" ht="12.75">
      <c r="B744" s="1">
        <v>-20</v>
      </c>
      <c r="C744" s="1">
        <v>-15</v>
      </c>
    </row>
    <row r="746" spans="2:8" ht="12.75">
      <c r="B746" s="1">
        <v>56</v>
      </c>
      <c r="C746" s="1" t="s">
        <v>535</v>
      </c>
      <c r="D746" s="1" t="s">
        <v>197</v>
      </c>
      <c r="E746" s="1" t="s">
        <v>410</v>
      </c>
      <c r="F746" s="1">
        <v>4</v>
      </c>
      <c r="G746" s="1" t="s">
        <v>536</v>
      </c>
      <c r="H746" s="1" t="s">
        <v>537</v>
      </c>
    </row>
    <row r="747" spans="2:3" ht="12.75">
      <c r="B747" s="1" t="s">
        <v>14</v>
      </c>
      <c r="C747" s="1" t="s">
        <v>69</v>
      </c>
    </row>
    <row r="748" spans="2:3" ht="12.75">
      <c r="B748" s="1">
        <v>-40</v>
      </c>
      <c r="C748" s="1">
        <v>40</v>
      </c>
    </row>
    <row r="749" spans="2:3" ht="12.75">
      <c r="B749" s="1">
        <v>40</v>
      </c>
      <c r="C749" s="1">
        <v>40</v>
      </c>
    </row>
    <row r="750" spans="2:3" ht="12.75">
      <c r="B750" s="1">
        <v>40</v>
      </c>
      <c r="C750" s="1">
        <v>-28</v>
      </c>
    </row>
    <row r="751" spans="2:3" ht="12.75">
      <c r="B751" s="1">
        <v>-40</v>
      </c>
      <c r="C751" s="1">
        <v>-28</v>
      </c>
    </row>
    <row r="753" spans="2:8" ht="12.75">
      <c r="B753" s="1">
        <v>111</v>
      </c>
      <c r="C753" s="1" t="s">
        <v>535</v>
      </c>
      <c r="D753" s="1" t="s">
        <v>197</v>
      </c>
      <c r="E753" s="1" t="s">
        <v>410</v>
      </c>
      <c r="F753" s="1">
        <v>4</v>
      </c>
      <c r="G753" s="1" t="s">
        <v>536</v>
      </c>
      <c r="H753" s="1" t="s">
        <v>537</v>
      </c>
    </row>
    <row r="754" spans="2:3" ht="12.75">
      <c r="B754" s="1" t="s">
        <v>14</v>
      </c>
      <c r="C754" s="1" t="s">
        <v>69</v>
      </c>
    </row>
    <row r="755" spans="2:3" ht="12.75">
      <c r="B755" s="1">
        <v>-30</v>
      </c>
      <c r="C755" s="1">
        <v>30</v>
      </c>
    </row>
    <row r="756" spans="2:3" ht="12.75">
      <c r="B756" s="1">
        <v>30</v>
      </c>
      <c r="C756" s="1">
        <v>30</v>
      </c>
    </row>
    <row r="757" spans="2:3" ht="12.75">
      <c r="B757" s="1">
        <v>30</v>
      </c>
      <c r="C757" s="1">
        <v>-22.5</v>
      </c>
    </row>
    <row r="758" spans="2:3" ht="12.75">
      <c r="B758" s="1">
        <v>-30</v>
      </c>
      <c r="C758" s="1">
        <v>-22.5</v>
      </c>
    </row>
    <row r="760" spans="2:8" ht="12.75">
      <c r="B760" s="1">
        <v>114</v>
      </c>
      <c r="C760" s="1" t="s">
        <v>535</v>
      </c>
      <c r="D760" s="1" t="s">
        <v>197</v>
      </c>
      <c r="E760" s="1" t="s">
        <v>410</v>
      </c>
      <c r="F760" s="1">
        <v>7</v>
      </c>
      <c r="G760" s="1" t="s">
        <v>536</v>
      </c>
      <c r="H760" s="1" t="s">
        <v>537</v>
      </c>
    </row>
    <row r="761" spans="2:3" ht="12.75">
      <c r="B761" s="1" t="s">
        <v>14</v>
      </c>
      <c r="C761" s="1" t="s">
        <v>69</v>
      </c>
    </row>
    <row r="762" spans="2:3" ht="12.75">
      <c r="B762" s="1">
        <v>-20</v>
      </c>
      <c r="C762" s="1">
        <v>15</v>
      </c>
    </row>
    <row r="763" spans="2:3" ht="12.75">
      <c r="B763" s="1">
        <v>-10</v>
      </c>
      <c r="C763" s="1">
        <v>25</v>
      </c>
    </row>
    <row r="764" spans="2:3" ht="12.75">
      <c r="B764" s="1">
        <v>10</v>
      </c>
      <c r="C764" s="1">
        <v>25</v>
      </c>
    </row>
    <row r="765" spans="2:3" ht="12.75">
      <c r="B765" s="1">
        <v>20</v>
      </c>
      <c r="C765" s="1">
        <v>15</v>
      </c>
    </row>
    <row r="766" spans="2:3" ht="12.75">
      <c r="B766" s="1">
        <v>20</v>
      </c>
      <c r="C766" s="1">
        <v>-15</v>
      </c>
    </row>
    <row r="767" spans="2:3" ht="12.75">
      <c r="B767" s="1">
        <v>0</v>
      </c>
      <c r="C767" s="1">
        <v>-35</v>
      </c>
    </row>
    <row r="768" spans="2:3" ht="12.75">
      <c r="B768" s="1">
        <v>-20</v>
      </c>
      <c r="C768" s="1">
        <v>-15</v>
      </c>
    </row>
    <row r="770" spans="2:8" ht="12.75">
      <c r="B770" s="1">
        <v>119</v>
      </c>
      <c r="C770" s="1" t="s">
        <v>535</v>
      </c>
      <c r="D770" s="1" t="s">
        <v>197</v>
      </c>
      <c r="E770" s="1" t="s">
        <v>410</v>
      </c>
      <c r="F770" s="1">
        <v>7</v>
      </c>
      <c r="G770" s="1" t="s">
        <v>536</v>
      </c>
      <c r="H770" s="1" t="s">
        <v>537</v>
      </c>
    </row>
    <row r="771" spans="2:3" ht="12.75">
      <c r="B771" s="1" t="s">
        <v>14</v>
      </c>
      <c r="C771" s="1" t="s">
        <v>69</v>
      </c>
    </row>
    <row r="772" spans="2:3" ht="12.75">
      <c r="B772" s="1">
        <v>-20</v>
      </c>
      <c r="C772" s="1">
        <v>15</v>
      </c>
    </row>
    <row r="773" spans="2:3" ht="12.75">
      <c r="B773" s="1">
        <v>-10</v>
      </c>
      <c r="C773" s="1">
        <v>25</v>
      </c>
    </row>
    <row r="774" spans="2:3" ht="12.75">
      <c r="B774" s="1">
        <v>10</v>
      </c>
      <c r="C774" s="1">
        <v>25</v>
      </c>
    </row>
    <row r="775" spans="2:3" ht="12.75">
      <c r="B775" s="1">
        <v>20</v>
      </c>
      <c r="C775" s="1">
        <v>15</v>
      </c>
    </row>
    <row r="776" spans="2:3" ht="12.75">
      <c r="B776" s="1">
        <v>20</v>
      </c>
      <c r="C776" s="1">
        <v>-15</v>
      </c>
    </row>
    <row r="777" spans="2:3" ht="12.75">
      <c r="B777" s="1">
        <v>0</v>
      </c>
      <c r="C777" s="1">
        <v>-35</v>
      </c>
    </row>
    <row r="778" spans="2:3" ht="12.75">
      <c r="B778" s="1">
        <v>-20</v>
      </c>
      <c r="C778" s="1">
        <v>-15</v>
      </c>
    </row>
    <row r="780" spans="2:8" ht="12.75">
      <c r="B780" s="1">
        <v>124</v>
      </c>
      <c r="C780" s="1" t="s">
        <v>535</v>
      </c>
      <c r="D780" s="1" t="s">
        <v>197</v>
      </c>
      <c r="E780" s="1" t="s">
        <v>410</v>
      </c>
      <c r="F780" s="1">
        <v>4</v>
      </c>
      <c r="G780" s="1" t="s">
        <v>536</v>
      </c>
      <c r="H780" s="1" t="s">
        <v>537</v>
      </c>
    </row>
    <row r="781" spans="2:3" ht="12.75">
      <c r="B781" s="1" t="s">
        <v>14</v>
      </c>
      <c r="C781" s="1" t="s">
        <v>69</v>
      </c>
    </row>
    <row r="782" spans="2:3" ht="12.75">
      <c r="B782" s="1">
        <v>-40</v>
      </c>
      <c r="C782" s="1">
        <v>40</v>
      </c>
    </row>
    <row r="783" spans="2:3" ht="12.75">
      <c r="B783" s="1">
        <v>40</v>
      </c>
      <c r="C783" s="1">
        <v>40</v>
      </c>
    </row>
    <row r="784" spans="2:3" ht="12.75">
      <c r="B784" s="1">
        <v>40</v>
      </c>
      <c r="C784" s="1">
        <v>-28</v>
      </c>
    </row>
    <row r="785" spans="2:3" ht="12.75">
      <c r="B785" s="1">
        <v>-40</v>
      </c>
      <c r="C785" s="1">
        <v>-28</v>
      </c>
    </row>
    <row r="787" spans="2:4" ht="12.75">
      <c r="B787" s="1" t="s">
        <v>28</v>
      </c>
      <c r="C787" s="1" t="s">
        <v>572</v>
      </c>
      <c r="D787" s="1" t="s">
        <v>573</v>
      </c>
    </row>
    <row r="788" spans="2:5" ht="12.75">
      <c r="B788" s="1" t="s">
        <v>574</v>
      </c>
      <c r="C788" s="1" t="s">
        <v>575</v>
      </c>
      <c r="D788" s="1" t="s">
        <v>576</v>
      </c>
      <c r="E788" s="1" t="s">
        <v>577</v>
      </c>
    </row>
    <row r="789" ht="12.75">
      <c r="B789" s="1" t="s">
        <v>573</v>
      </c>
    </row>
    <row r="790" spans="2:9" ht="12.75">
      <c r="B790" s="1" t="s">
        <v>578</v>
      </c>
      <c r="C790" s="1">
        <v>210700</v>
      </c>
      <c r="D790" s="1" t="s">
        <v>491</v>
      </c>
      <c r="E790" s="1" t="s">
        <v>579</v>
      </c>
      <c r="F790" s="1" t="s">
        <v>580</v>
      </c>
      <c r="G790" s="1" t="s">
        <v>581</v>
      </c>
      <c r="H790" s="1" t="s">
        <v>582</v>
      </c>
      <c r="I790" s="1" t="s">
        <v>583</v>
      </c>
    </row>
    <row r="791" spans="2:6" ht="12.75">
      <c r="B791" s="1" t="s">
        <v>584</v>
      </c>
      <c r="C791" s="1" t="s">
        <v>585</v>
      </c>
      <c r="D791" s="1" t="s">
        <v>586</v>
      </c>
      <c r="E791" s="1" t="s">
        <v>587</v>
      </c>
      <c r="F791" s="1" t="s">
        <v>588</v>
      </c>
    </row>
    <row r="792" spans="2:8" ht="12.75">
      <c r="B792" s="1" t="s">
        <v>589</v>
      </c>
      <c r="C792" s="1">
        <v>10900</v>
      </c>
      <c r="D792" s="1" t="s">
        <v>590</v>
      </c>
      <c r="E792" s="1" t="s">
        <v>579</v>
      </c>
      <c r="F792" s="1" t="s">
        <v>580</v>
      </c>
      <c r="G792" s="1" t="s">
        <v>591</v>
      </c>
      <c r="H792" s="1" t="s">
        <v>592</v>
      </c>
    </row>
    <row r="793" spans="2:7" ht="12.75">
      <c r="B793" s="1" t="s">
        <v>584</v>
      </c>
      <c r="C793" s="1">
        <v>2</v>
      </c>
      <c r="D793" s="1">
        <v>270901</v>
      </c>
      <c r="E793" s="1" t="s">
        <v>593</v>
      </c>
      <c r="F793" s="1" t="s">
        <v>496</v>
      </c>
      <c r="G793" s="1" t="s">
        <v>594</v>
      </c>
    </row>
    <row r="794" spans="2:12" ht="12.75">
      <c r="B794" s="1" t="s">
        <v>584</v>
      </c>
      <c r="C794" s="1">
        <v>3</v>
      </c>
      <c r="D794" s="1">
        <v>121101</v>
      </c>
      <c r="E794" s="1" t="s">
        <v>595</v>
      </c>
      <c r="F794" s="1">
        <v>74</v>
      </c>
      <c r="G794" s="1" t="s">
        <v>596</v>
      </c>
      <c r="H794" s="1" t="s">
        <v>597</v>
      </c>
      <c r="I794" s="1" t="s">
        <v>598</v>
      </c>
      <c r="J794" s="1" t="s">
        <v>599</v>
      </c>
      <c r="K794" s="1" t="s">
        <v>284</v>
      </c>
      <c r="L794" s="1" t="s">
        <v>600</v>
      </c>
    </row>
    <row r="796" spans="2:3" ht="12.75">
      <c r="B796" s="1" t="s">
        <v>601</v>
      </c>
      <c r="C796" s="1">
        <v>74</v>
      </c>
    </row>
    <row r="797" spans="2:3" ht="12.75">
      <c r="B797" s="1" t="s">
        <v>602</v>
      </c>
      <c r="C797" s="1" t="s">
        <v>603</v>
      </c>
    </row>
    <row r="799" spans="2:4" ht="12.75">
      <c r="B799" s="1" t="s">
        <v>604</v>
      </c>
      <c r="C799" s="1" t="s">
        <v>605</v>
      </c>
      <c r="D799" s="1" t="s">
        <v>606</v>
      </c>
    </row>
    <row r="800" spans="2:4" ht="12.75">
      <c r="B800" s="1" t="s">
        <v>607</v>
      </c>
      <c r="C800" s="1" t="s">
        <v>608</v>
      </c>
      <c r="D800" s="1">
        <v>9</v>
      </c>
    </row>
    <row r="802" spans="2:3" ht="12.75">
      <c r="B802" s="1" t="s">
        <v>609</v>
      </c>
      <c r="C802" s="1" t="s">
        <v>610</v>
      </c>
    </row>
    <row r="804" ht="12.75">
      <c r="B804" s="1" t="s">
        <v>611</v>
      </c>
    </row>
    <row r="805" ht="12.75">
      <c r="B805" s="1" t="s">
        <v>612</v>
      </c>
    </row>
    <row r="807" spans="2:9" ht="12.75">
      <c r="B807" s="1" t="s">
        <v>613</v>
      </c>
      <c r="C807" s="1">
        <v>2</v>
      </c>
      <c r="D807" s="1">
        <v>0</v>
      </c>
      <c r="E807" s="1">
        <v>0</v>
      </c>
      <c r="F807" s="1">
        <v>0</v>
      </c>
      <c r="G807" s="1" t="s">
        <v>605</v>
      </c>
      <c r="H807" s="1">
        <v>0</v>
      </c>
      <c r="I807" s="1" t="s">
        <v>607</v>
      </c>
    </row>
    <row r="808" spans="2:4" ht="12.75">
      <c r="B808" s="1" t="s">
        <v>614</v>
      </c>
      <c r="C808" s="1" t="s">
        <v>615</v>
      </c>
      <c r="D808" s="1" t="s">
        <v>607</v>
      </c>
    </row>
    <row r="809" ht="12.75">
      <c r="B809" s="1" t="s">
        <v>616</v>
      </c>
    </row>
    <row r="810" spans="2:3" ht="12.75">
      <c r="B810" s="1" t="s">
        <v>617</v>
      </c>
      <c r="C810" s="1" t="s">
        <v>618</v>
      </c>
    </row>
    <row r="812" spans="2:3" ht="12.75">
      <c r="B812" s="1" t="s">
        <v>619</v>
      </c>
      <c r="C812" s="1" t="s">
        <v>89</v>
      </c>
    </row>
    <row r="814" spans="2:3" ht="12.75">
      <c r="B814" s="1" t="s">
        <v>661</v>
      </c>
      <c r="C814" s="1">
        <v>74</v>
      </c>
    </row>
    <row r="815" ht="12.75">
      <c r="B815" s="1" t="s">
        <v>620</v>
      </c>
    </row>
    <row r="816" ht="12.75">
      <c r="B816" s="1" t="s">
        <v>28</v>
      </c>
    </row>
    <row r="817" spans="2:4" ht="12.75">
      <c r="B817" s="1" t="s">
        <v>28</v>
      </c>
      <c r="C817" s="1" t="s">
        <v>74</v>
      </c>
      <c r="D817" s="1" t="s">
        <v>75</v>
      </c>
    </row>
  </sheetData>
  <printOptions/>
  <pageMargins left="0.7874015748031497" right="0.4724409448818898" top="0.7086614173228347" bottom="0.4724409448818898" header="0.5118110236220472" footer="0.31496062992125984"/>
  <pageSetup fitToHeight="4" fitToWidth="1" horizontalDpi="600" verticalDpi="600" orientation="portrait" paperSize="9" scale="28" r:id="rId1"/>
  <headerFooter alignWithMargins="0">
    <oddHeader>&amp;L&amp;F, &amp;A&amp;R&amp;T, &amp;D</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5"/>
  <sheetViews>
    <sheetView workbookViewId="0" topLeftCell="A16">
      <selection activeCell="C34" sqref="C34"/>
    </sheetView>
  </sheetViews>
  <sheetFormatPr defaultColWidth="12" defaultRowHeight="12.75"/>
  <cols>
    <col min="1" max="1" width="20.66015625" style="72" customWidth="1"/>
    <col min="2" max="2" width="12" style="73" customWidth="1"/>
    <col min="3" max="3" width="74" style="74" customWidth="1"/>
    <col min="4" max="16384" width="12" style="1" customWidth="1"/>
  </cols>
  <sheetData>
    <row r="1" spans="1:3" s="5" customFormat="1" ht="12.75">
      <c r="A1" s="69" t="s">
        <v>347</v>
      </c>
      <c r="B1" s="70" t="s">
        <v>348</v>
      </c>
      <c r="C1" s="71" t="s">
        <v>349</v>
      </c>
    </row>
    <row r="2" spans="1:2" ht="12.75">
      <c r="A2" s="72" t="s">
        <v>350</v>
      </c>
      <c r="B2" s="73">
        <v>210700</v>
      </c>
    </row>
    <row r="3" spans="1:3" ht="25.5">
      <c r="A3" s="72" t="s">
        <v>351</v>
      </c>
      <c r="B3" s="73">
        <v>240800</v>
      </c>
      <c r="C3" s="74" t="s">
        <v>352</v>
      </c>
    </row>
    <row r="4" spans="1:3" ht="12.75">
      <c r="A4" s="72" t="s">
        <v>353</v>
      </c>
      <c r="B4" s="73">
        <v>240800</v>
      </c>
      <c r="C4" s="74" t="s">
        <v>354</v>
      </c>
    </row>
    <row r="5" spans="1:3" ht="12.75">
      <c r="A5" s="72" t="s">
        <v>355</v>
      </c>
      <c r="B5" s="73">
        <v>10900</v>
      </c>
      <c r="C5" s="74" t="s">
        <v>356</v>
      </c>
    </row>
    <row r="6" spans="1:3" ht="12.75">
      <c r="A6" s="72" t="s">
        <v>357</v>
      </c>
      <c r="B6" s="73">
        <v>171000</v>
      </c>
      <c r="C6" s="74" t="s">
        <v>358</v>
      </c>
    </row>
    <row r="7" ht="12.75">
      <c r="A7" s="72" t="s">
        <v>359</v>
      </c>
    </row>
    <row r="8" spans="1:3" ht="12.75">
      <c r="A8" s="72" t="s">
        <v>360</v>
      </c>
      <c r="B8" s="73">
        <v>141100</v>
      </c>
      <c r="C8" s="74" t="s">
        <v>361</v>
      </c>
    </row>
    <row r="9" ht="12.75">
      <c r="A9" s="72" t="s">
        <v>362</v>
      </c>
    </row>
    <row r="10" spans="1:3" ht="12.75">
      <c r="A10" s="72" t="s">
        <v>363</v>
      </c>
      <c r="B10" s="73">
        <v>160101</v>
      </c>
      <c r="C10" s="74" t="s">
        <v>364</v>
      </c>
    </row>
    <row r="11" spans="1:3" ht="12.75">
      <c r="A11" s="72" t="s">
        <v>387</v>
      </c>
      <c r="B11" s="73">
        <v>200301</v>
      </c>
      <c r="C11" s="74" t="s">
        <v>388</v>
      </c>
    </row>
    <row r="12" spans="1:3" ht="25.5">
      <c r="A12" s="72" t="s">
        <v>396</v>
      </c>
      <c r="B12" s="73">
        <v>230301</v>
      </c>
      <c r="C12" s="74" t="s">
        <v>395</v>
      </c>
    </row>
    <row r="13" spans="1:3" ht="25.5">
      <c r="A13" s="72" t="s">
        <v>399</v>
      </c>
      <c r="B13" s="73">
        <v>260301</v>
      </c>
      <c r="C13" s="74" t="s">
        <v>400</v>
      </c>
    </row>
    <row r="14" spans="1:3" ht="12.75">
      <c r="A14" s="72" t="s">
        <v>401</v>
      </c>
      <c r="B14" s="73">
        <v>110501</v>
      </c>
      <c r="C14" s="74" t="s">
        <v>404</v>
      </c>
    </row>
    <row r="15" spans="1:3" ht="12.75">
      <c r="A15" s="72" t="s">
        <v>405</v>
      </c>
      <c r="B15" s="73">
        <v>130601</v>
      </c>
      <c r="C15" s="74" t="s">
        <v>406</v>
      </c>
    </row>
    <row r="16" spans="1:3" ht="25.5">
      <c r="A16" s="72" t="s">
        <v>481</v>
      </c>
      <c r="C16" s="74" t="s">
        <v>484</v>
      </c>
    </row>
    <row r="17" spans="1:3" ht="12.75">
      <c r="A17" s="72" t="s">
        <v>482</v>
      </c>
      <c r="B17" s="73">
        <v>200701</v>
      </c>
      <c r="C17" s="74" t="s">
        <v>483</v>
      </c>
    </row>
    <row r="18" spans="1:3" ht="12.75">
      <c r="A18" s="72" t="s">
        <v>485</v>
      </c>
      <c r="B18" s="73">
        <v>200801</v>
      </c>
      <c r="C18" s="74" t="s">
        <v>486</v>
      </c>
    </row>
    <row r="19" spans="1:3" ht="12.75">
      <c r="A19" s="72" t="s">
        <v>493</v>
      </c>
      <c r="B19" s="73">
        <v>240801</v>
      </c>
      <c r="C19" s="74" t="s">
        <v>494</v>
      </c>
    </row>
    <row r="20" spans="1:3" ht="12.75">
      <c r="A20" s="72" t="s">
        <v>495</v>
      </c>
      <c r="B20" s="73">
        <v>270901</v>
      </c>
      <c r="C20" s="74" t="s">
        <v>558</v>
      </c>
    </row>
    <row r="21" spans="1:3" ht="12.75">
      <c r="A21" s="72" t="s">
        <v>542</v>
      </c>
      <c r="B21" s="73" t="str">
        <f>"031001"</f>
        <v>031001</v>
      </c>
      <c r="C21" s="74" t="s">
        <v>567</v>
      </c>
    </row>
    <row r="22" spans="1:3" ht="38.25">
      <c r="A22" s="72" t="s">
        <v>557</v>
      </c>
      <c r="B22" s="73" t="str">
        <f>"071101"</f>
        <v>071101</v>
      </c>
      <c r="C22" s="74" t="s">
        <v>568</v>
      </c>
    </row>
    <row r="23" spans="1:3" ht="25.5">
      <c r="A23" s="72" t="s">
        <v>569</v>
      </c>
      <c r="B23" s="73">
        <v>211101</v>
      </c>
      <c r="C23" s="74" t="s">
        <v>570</v>
      </c>
    </row>
    <row r="24" spans="1:3" ht="25.5">
      <c r="A24" s="72" t="s">
        <v>621</v>
      </c>
      <c r="B24" s="73" t="str">
        <f>"051201"</f>
        <v>051201</v>
      </c>
      <c r="C24" s="74" t="s">
        <v>623</v>
      </c>
    </row>
    <row r="25" spans="1:3" ht="38.25">
      <c r="A25" s="72" t="s">
        <v>660</v>
      </c>
      <c r="B25" s="73" t="str">
        <f>"040102"</f>
        <v>040102</v>
      </c>
      <c r="C25" s="74" t="s">
        <v>674</v>
      </c>
    </row>
  </sheetData>
  <printOptions/>
  <pageMargins left="0.7874015748031497" right="0.68" top="0.984251968503937" bottom="0.984251968503937" header="0.5118110236220472" footer="0.5118110236220472"/>
  <pageSetup fitToHeight="1" fitToWidth="1" horizontalDpi="600" verticalDpi="600" orientation="portrait" paperSize="9" scale="90" r:id="rId1"/>
  <headerFooter alignWithMargins="0">
    <oddHeader>&amp;L&amp;F, &amp;A&amp;R&amp;T, &amp;D</oddHeader>
    <oddFooter>&amp;CPage &amp;P of &amp;N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B1:J88"/>
  <sheetViews>
    <sheetView workbookViewId="0" topLeftCell="A1">
      <selection activeCell="J4" sqref="J4"/>
    </sheetView>
  </sheetViews>
  <sheetFormatPr defaultColWidth="12" defaultRowHeight="12.75"/>
  <cols>
    <col min="1" max="16384" width="12" style="1" customWidth="1"/>
  </cols>
  <sheetData>
    <row r="1" ht="12.75">
      <c r="B1" s="1" t="s">
        <v>28</v>
      </c>
    </row>
    <row r="2" spans="2:3" ht="12.75">
      <c r="B2" s="1" t="s">
        <v>28</v>
      </c>
      <c r="C2" s="1" t="s">
        <v>29</v>
      </c>
    </row>
    <row r="4" spans="2:10" ht="12.75">
      <c r="B4" s="1" t="s">
        <v>30</v>
      </c>
      <c r="C4" s="1" t="s">
        <v>31</v>
      </c>
      <c r="D4" s="1" t="s">
        <v>32</v>
      </c>
      <c r="E4" s="1" t="s">
        <v>33</v>
      </c>
      <c r="F4" s="1" t="s">
        <v>34</v>
      </c>
      <c r="G4" s="1" t="s">
        <v>33</v>
      </c>
      <c r="H4" s="1" t="s">
        <v>35</v>
      </c>
      <c r="I4" s="1" t="s">
        <v>36</v>
      </c>
      <c r="J4" s="1" t="s">
        <v>402</v>
      </c>
    </row>
    <row r="6" spans="2:3" ht="12.75">
      <c r="B6" s="1" t="s">
        <v>28</v>
      </c>
      <c r="C6" s="1" t="s">
        <v>37</v>
      </c>
    </row>
    <row r="7" spans="2:3" ht="12.75">
      <c r="B7" s="2" t="s">
        <v>403</v>
      </c>
      <c r="C7" s="3">
        <v>0.622662037037037</v>
      </c>
    </row>
    <row r="8" ht="12.75">
      <c r="B8" s="1" t="s">
        <v>28</v>
      </c>
    </row>
    <row r="9" spans="2:10" ht="12.75">
      <c r="B9" s="1" t="s">
        <v>28</v>
      </c>
      <c r="C9" s="1" t="s">
        <v>38</v>
      </c>
      <c r="D9" s="1">
        <v>2</v>
      </c>
      <c r="E9" s="1">
        <v>0</v>
      </c>
      <c r="F9" s="1">
        <v>0</v>
      </c>
      <c r="G9" s="1">
        <v>0</v>
      </c>
      <c r="H9" s="1" t="s">
        <v>39</v>
      </c>
      <c r="I9" s="1">
        <v>0</v>
      </c>
      <c r="J9" s="1" t="s">
        <v>40</v>
      </c>
    </row>
    <row r="10" spans="2:8" ht="12.75">
      <c r="B10" s="1" t="s">
        <v>33</v>
      </c>
      <c r="C10" s="1" t="s">
        <v>35</v>
      </c>
      <c r="D10" s="1" t="s">
        <v>36</v>
      </c>
      <c r="E10" s="1" t="s">
        <v>402</v>
      </c>
      <c r="F10" s="1">
        <v>247</v>
      </c>
      <c r="G10" s="2" t="s">
        <v>403</v>
      </c>
      <c r="H10" s="3">
        <v>0.622662037037037</v>
      </c>
    </row>
    <row r="12" spans="2:4" ht="12.75">
      <c r="B12" s="1" t="s">
        <v>41</v>
      </c>
      <c r="C12" s="1" t="s">
        <v>42</v>
      </c>
      <c r="D12" s="1" t="s">
        <v>43</v>
      </c>
    </row>
    <row r="14" spans="2:10" ht="12.75">
      <c r="B14" s="1" t="s">
        <v>44</v>
      </c>
      <c r="C14" s="1" t="s">
        <v>45</v>
      </c>
      <c r="D14" s="1" t="s">
        <v>46</v>
      </c>
      <c r="E14" s="1" t="s">
        <v>47</v>
      </c>
      <c r="F14" s="1" t="s">
        <v>48</v>
      </c>
      <c r="G14" s="1" t="s">
        <v>49</v>
      </c>
      <c r="H14" s="1" t="s">
        <v>50</v>
      </c>
      <c r="I14" s="1" t="s">
        <v>51</v>
      </c>
      <c r="J14" s="1">
        <v>9</v>
      </c>
    </row>
    <row r="16" spans="2:8" ht="12.75">
      <c r="B16" s="1" t="s">
        <v>52</v>
      </c>
      <c r="C16" s="1" t="s">
        <v>53</v>
      </c>
      <c r="D16" s="1" t="s">
        <v>54</v>
      </c>
      <c r="E16" s="1" t="s">
        <v>55</v>
      </c>
      <c r="F16" s="1">
        <v>0</v>
      </c>
      <c r="G16" s="1" t="s">
        <v>56</v>
      </c>
      <c r="H16" s="1">
        <v>0</v>
      </c>
    </row>
    <row r="17" spans="2:9" ht="12.75">
      <c r="B17" s="1" t="s">
        <v>52</v>
      </c>
      <c r="C17" s="1" t="s">
        <v>57</v>
      </c>
      <c r="D17" s="1" t="s">
        <v>58</v>
      </c>
      <c r="E17" s="1" t="s">
        <v>59</v>
      </c>
      <c r="F17" s="1" t="s">
        <v>60</v>
      </c>
      <c r="G17" s="1">
        <v>0</v>
      </c>
      <c r="H17" s="1" t="s">
        <v>61</v>
      </c>
      <c r="I17" s="1">
        <v>0</v>
      </c>
    </row>
    <row r="18" spans="2:4" ht="12.75">
      <c r="B18" s="1" t="s">
        <v>62</v>
      </c>
      <c r="C18" s="1" t="s">
        <v>63</v>
      </c>
      <c r="D18" s="1">
        <v>2</v>
      </c>
    </row>
    <row r="20" spans="2:9" ht="12.75">
      <c r="B20" s="1" t="s">
        <v>44</v>
      </c>
      <c r="C20" s="1" t="s">
        <v>64</v>
      </c>
      <c r="D20" s="1" t="s">
        <v>65</v>
      </c>
      <c r="E20" s="1" t="s">
        <v>66</v>
      </c>
      <c r="F20" s="1" t="s">
        <v>67</v>
      </c>
      <c r="G20" s="1" t="s">
        <v>68</v>
      </c>
      <c r="H20" s="1" t="s">
        <v>66</v>
      </c>
      <c r="I20" s="1" t="s">
        <v>67</v>
      </c>
    </row>
    <row r="21" spans="2:7" ht="12.75">
      <c r="B21" s="1" t="s">
        <v>39</v>
      </c>
      <c r="C21" s="1" t="s">
        <v>14</v>
      </c>
      <c r="D21" s="1" t="s">
        <v>69</v>
      </c>
      <c r="E21" s="1" t="s">
        <v>70</v>
      </c>
      <c r="F21" s="1" t="s">
        <v>71</v>
      </c>
      <c r="G21" s="1" t="s">
        <v>72</v>
      </c>
    </row>
    <row r="22" ht="12.75">
      <c r="B22" s="1" t="s">
        <v>73</v>
      </c>
    </row>
    <row r="23" spans="2:7" ht="12.75">
      <c r="B23" s="1">
        <v>1</v>
      </c>
      <c r="C23" s="1">
        <v>0</v>
      </c>
      <c r="D23" s="1">
        <v>54.791802</v>
      </c>
      <c r="E23" s="1">
        <v>-1049.915639</v>
      </c>
      <c r="F23" s="1">
        <v>0</v>
      </c>
      <c r="G23" s="1">
        <v>-0.003192</v>
      </c>
    </row>
    <row r="24" spans="2:7" ht="12.75">
      <c r="B24" s="1">
        <v>2</v>
      </c>
      <c r="C24" s="1">
        <v>0</v>
      </c>
      <c r="D24" s="1">
        <v>-1.940157</v>
      </c>
      <c r="E24" s="1">
        <v>16721.1</v>
      </c>
      <c r="F24" s="1">
        <v>0</v>
      </c>
      <c r="G24" s="1">
        <v>-0.003192</v>
      </c>
    </row>
    <row r="25" spans="2:7" ht="12.75">
      <c r="B25" s="1">
        <v>3</v>
      </c>
      <c r="C25" s="1">
        <v>0</v>
      </c>
      <c r="D25" s="1">
        <v>-1.940157</v>
      </c>
      <c r="E25" s="1">
        <v>16721.1</v>
      </c>
      <c r="F25" s="1">
        <v>0</v>
      </c>
      <c r="G25" s="1">
        <v>-0.003192</v>
      </c>
    </row>
    <row r="26" spans="2:7" ht="12.75">
      <c r="B26" s="1">
        <v>4</v>
      </c>
      <c r="C26" s="1">
        <v>0</v>
      </c>
      <c r="D26" s="1">
        <v>54.792071</v>
      </c>
      <c r="E26" s="1">
        <v>-1050</v>
      </c>
      <c r="F26" s="1">
        <v>0</v>
      </c>
      <c r="G26" s="1">
        <v>-0.003192</v>
      </c>
    </row>
    <row r="27" spans="2:7" ht="12.75">
      <c r="B27" s="1">
        <v>5</v>
      </c>
      <c r="C27" s="1">
        <v>0</v>
      </c>
      <c r="D27" s="1">
        <v>61.176845</v>
      </c>
      <c r="E27" s="1">
        <v>-3050</v>
      </c>
      <c r="F27" s="1">
        <v>0</v>
      </c>
      <c r="G27" s="1">
        <v>-0.003192</v>
      </c>
    </row>
    <row r="28" spans="2:7" ht="12.75">
      <c r="B28" s="1">
        <v>6</v>
      </c>
      <c r="C28" s="1">
        <v>0</v>
      </c>
      <c r="D28" s="1">
        <v>54.793441</v>
      </c>
      <c r="E28" s="1">
        <v>-1050.428903</v>
      </c>
      <c r="F28" s="1">
        <v>0</v>
      </c>
      <c r="G28" s="1">
        <v>0.034514</v>
      </c>
    </row>
    <row r="29" spans="2:7" ht="12.75">
      <c r="B29" s="1">
        <v>7</v>
      </c>
      <c r="C29" s="1">
        <v>0</v>
      </c>
      <c r="D29" s="4">
        <v>7.11E-15</v>
      </c>
      <c r="E29" s="1">
        <v>-2637.998</v>
      </c>
      <c r="F29" s="1">
        <v>0</v>
      </c>
      <c r="G29" s="1">
        <v>-0.034514</v>
      </c>
    </row>
    <row r="30" spans="2:7" ht="12.75">
      <c r="B30" s="1">
        <v>8</v>
      </c>
      <c r="C30" s="1">
        <v>0</v>
      </c>
      <c r="D30" s="1">
        <v>-54.808244</v>
      </c>
      <c r="E30" s="1">
        <v>-1050</v>
      </c>
      <c r="F30" s="1">
        <v>0</v>
      </c>
      <c r="G30" s="1">
        <v>-0.034514</v>
      </c>
    </row>
    <row r="31" spans="2:7" ht="12.75">
      <c r="B31" s="1">
        <v>9</v>
      </c>
      <c r="C31" s="1">
        <v>0</v>
      </c>
      <c r="D31" s="1">
        <v>-90.137429</v>
      </c>
      <c r="E31" s="1">
        <v>-26.382552</v>
      </c>
      <c r="F31" s="1">
        <v>0</v>
      </c>
      <c r="G31" s="1">
        <v>-0.034514</v>
      </c>
    </row>
    <row r="32" spans="2:7" ht="12.75">
      <c r="B32" s="1">
        <v>10</v>
      </c>
      <c r="C32" s="1">
        <v>0</v>
      </c>
      <c r="D32" s="1">
        <v>-91.047997</v>
      </c>
      <c r="E32" s="4">
        <v>8.98E-08</v>
      </c>
      <c r="F32" s="1">
        <v>0</v>
      </c>
      <c r="G32" s="1">
        <v>-0.034514</v>
      </c>
    </row>
    <row r="33" spans="2:7" ht="12.75">
      <c r="B33" s="1">
        <v>11</v>
      </c>
      <c r="C33" s="1">
        <v>0</v>
      </c>
      <c r="D33" s="1">
        <v>-93.493606</v>
      </c>
      <c r="E33" s="1">
        <v>70.85834</v>
      </c>
      <c r="F33" s="1">
        <v>0</v>
      </c>
      <c r="G33" s="1">
        <v>0.576269</v>
      </c>
    </row>
    <row r="34" spans="2:7" ht="12.75">
      <c r="B34" s="1">
        <v>12</v>
      </c>
      <c r="C34" s="1">
        <v>0</v>
      </c>
      <c r="D34" s="1">
        <v>-93.493791</v>
      </c>
      <c r="E34" s="1">
        <v>70.858019</v>
      </c>
      <c r="F34" s="1">
        <v>0</v>
      </c>
      <c r="G34" s="1">
        <v>0.576269</v>
      </c>
    </row>
    <row r="35" spans="2:7" ht="12.75">
      <c r="B35" s="1">
        <v>13</v>
      </c>
      <c r="C35" s="1">
        <v>0</v>
      </c>
      <c r="D35" s="1">
        <v>-200.09386</v>
      </c>
      <c r="E35" s="1">
        <v>-114.125099</v>
      </c>
      <c r="F35" s="1">
        <v>0</v>
      </c>
      <c r="G35" s="1">
        <v>0.576269</v>
      </c>
    </row>
    <row r="36" spans="2:7" ht="12.75">
      <c r="B36" s="1">
        <v>14</v>
      </c>
      <c r="C36" s="1">
        <v>0</v>
      </c>
      <c r="D36" s="1">
        <v>-200.09386</v>
      </c>
      <c r="E36" s="1">
        <v>-114.125099</v>
      </c>
      <c r="F36" s="1">
        <v>0</v>
      </c>
      <c r="G36" s="1">
        <v>0.103927</v>
      </c>
    </row>
    <row r="37" spans="2:7" ht="12.75">
      <c r="B37" s="1">
        <v>15</v>
      </c>
      <c r="C37" s="1">
        <v>0</v>
      </c>
      <c r="D37" s="1">
        <v>-200.09386</v>
      </c>
      <c r="E37" s="1">
        <v>-114.125099</v>
      </c>
      <c r="F37" s="1">
        <v>0</v>
      </c>
      <c r="G37" s="1">
        <v>0.103927</v>
      </c>
    </row>
    <row r="38" spans="2:7" ht="12.75">
      <c r="B38" s="1">
        <v>16</v>
      </c>
      <c r="C38" s="1">
        <v>0</v>
      </c>
      <c r="D38" s="1">
        <v>-200.093879</v>
      </c>
      <c r="E38" s="1">
        <v>-114.125281</v>
      </c>
      <c r="F38" s="1">
        <v>0</v>
      </c>
      <c r="G38" s="1">
        <v>0.103927</v>
      </c>
    </row>
    <row r="39" spans="2:7" ht="12.75">
      <c r="B39" s="1">
        <v>17</v>
      </c>
      <c r="C39" s="1">
        <v>0</v>
      </c>
      <c r="D39" s="1">
        <v>-179.688568</v>
      </c>
      <c r="E39" s="1">
        <v>82.217443</v>
      </c>
      <c r="F39" s="1">
        <v>0</v>
      </c>
      <c r="G39" s="1">
        <v>0.452716</v>
      </c>
    </row>
    <row r="40" spans="2:7" ht="12.75">
      <c r="B40" s="1">
        <v>18</v>
      </c>
      <c r="C40" s="1">
        <v>0</v>
      </c>
      <c r="D40" s="1">
        <v>-179.688483</v>
      </c>
      <c r="E40" s="1">
        <v>82.217633</v>
      </c>
      <c r="F40" s="1">
        <v>0</v>
      </c>
      <c r="G40" s="1">
        <v>0.452716</v>
      </c>
    </row>
    <row r="41" spans="2:7" ht="12.75">
      <c r="B41" s="1">
        <v>19</v>
      </c>
      <c r="C41" s="1">
        <v>0</v>
      </c>
      <c r="D41" s="1">
        <v>-259.533206</v>
      </c>
      <c r="E41" s="1">
        <v>-94.150666</v>
      </c>
      <c r="F41" s="1">
        <v>0</v>
      </c>
      <c r="G41" s="1">
        <v>0.452716</v>
      </c>
    </row>
    <row r="42" spans="2:7" ht="12.75">
      <c r="B42" s="1">
        <v>20</v>
      </c>
      <c r="C42" s="1">
        <v>0</v>
      </c>
      <c r="D42" s="1">
        <v>-259.533208</v>
      </c>
      <c r="E42" s="1">
        <v>-94.15067</v>
      </c>
      <c r="F42" s="1">
        <v>0</v>
      </c>
      <c r="G42" s="1">
        <v>-0.098795</v>
      </c>
    </row>
    <row r="43" spans="2:7" ht="12.75">
      <c r="B43" s="1">
        <v>21</v>
      </c>
      <c r="C43" s="1">
        <v>0</v>
      </c>
      <c r="D43" s="1">
        <v>-259.533209</v>
      </c>
      <c r="E43" s="1">
        <v>-94.150667</v>
      </c>
      <c r="F43" s="1">
        <v>0</v>
      </c>
      <c r="G43" s="1">
        <v>-0.098795</v>
      </c>
    </row>
    <row r="44" spans="2:7" ht="12.75">
      <c r="B44" s="1">
        <v>22</v>
      </c>
      <c r="C44" s="1">
        <v>0</v>
      </c>
      <c r="D44" s="1">
        <v>-279.481485</v>
      </c>
      <c r="E44" s="1">
        <v>107.765764</v>
      </c>
      <c r="F44" s="1">
        <v>0</v>
      </c>
      <c r="G44" s="1">
        <v>0.80798</v>
      </c>
    </row>
    <row r="45" spans="2:7" ht="12.75">
      <c r="B45" s="1">
        <v>23</v>
      </c>
      <c r="C45" s="1">
        <v>0</v>
      </c>
      <c r="D45" s="1">
        <v>-279.481843</v>
      </c>
      <c r="E45" s="1">
        <v>107.76532</v>
      </c>
      <c r="F45" s="1">
        <v>0</v>
      </c>
      <c r="G45" s="1">
        <v>0.80798</v>
      </c>
    </row>
    <row r="46" spans="2:7" ht="12.75">
      <c r="B46" s="1">
        <v>24</v>
      </c>
      <c r="C46" s="1">
        <v>0</v>
      </c>
      <c r="D46" s="1">
        <v>-397.634151</v>
      </c>
      <c r="E46" s="1">
        <v>-38.46633</v>
      </c>
      <c r="F46" s="1">
        <v>0</v>
      </c>
      <c r="G46" s="1">
        <v>-1.078323</v>
      </c>
    </row>
    <row r="47" spans="2:7" ht="12.75">
      <c r="B47" s="1">
        <v>25</v>
      </c>
      <c r="C47" s="1">
        <v>0</v>
      </c>
      <c r="D47" s="1">
        <v>-397.634808</v>
      </c>
      <c r="E47" s="1">
        <v>-38.465722</v>
      </c>
      <c r="F47" s="1">
        <v>0</v>
      </c>
      <c r="G47" s="1">
        <v>-1.078323</v>
      </c>
    </row>
    <row r="48" spans="2:7" ht="12.75">
      <c r="B48" s="1">
        <v>26</v>
      </c>
      <c r="C48" s="1">
        <v>0</v>
      </c>
      <c r="D48" s="1">
        <v>-448.961193</v>
      </c>
      <c r="E48" s="1">
        <v>9.13262</v>
      </c>
      <c r="F48" s="1">
        <v>0</v>
      </c>
      <c r="G48" s="1">
        <v>-1.078323</v>
      </c>
    </row>
    <row r="49" spans="2:7" ht="12.75">
      <c r="B49" s="1">
        <v>27</v>
      </c>
      <c r="C49" s="1">
        <v>0</v>
      </c>
      <c r="D49" s="1">
        <v>-544.281002</v>
      </c>
      <c r="E49" s="1">
        <v>97.528965</v>
      </c>
      <c r="F49" s="1">
        <v>0</v>
      </c>
      <c r="G49" s="1">
        <v>-0.125588</v>
      </c>
    </row>
    <row r="50" spans="2:7" ht="12.75">
      <c r="B50" s="1">
        <v>28</v>
      </c>
      <c r="C50" s="1">
        <v>0</v>
      </c>
      <c r="D50" s="1">
        <v>-544.280897</v>
      </c>
      <c r="E50" s="1">
        <v>97.528125</v>
      </c>
      <c r="F50" s="1">
        <v>0</v>
      </c>
      <c r="G50" s="1">
        <v>-0.125588</v>
      </c>
    </row>
    <row r="51" spans="2:7" ht="12.75">
      <c r="B51" s="1">
        <v>29</v>
      </c>
      <c r="C51" s="1">
        <v>0</v>
      </c>
      <c r="D51" s="1">
        <v>-504.405979</v>
      </c>
      <c r="E51" s="1">
        <v>-219.977766</v>
      </c>
      <c r="F51" s="1">
        <v>0</v>
      </c>
      <c r="G51" s="1">
        <v>-0.125588</v>
      </c>
    </row>
    <row r="52" spans="2:7" ht="12.75">
      <c r="B52" s="1">
        <v>30</v>
      </c>
      <c r="C52" s="1">
        <v>0</v>
      </c>
      <c r="D52" s="1">
        <v>-504.405979</v>
      </c>
      <c r="E52" s="1">
        <v>-219.977766</v>
      </c>
      <c r="F52" s="1">
        <v>0</v>
      </c>
      <c r="G52" s="1">
        <v>-0.125588</v>
      </c>
    </row>
    <row r="53" spans="2:7" ht="12.75">
      <c r="B53" s="1">
        <v>31</v>
      </c>
      <c r="C53" s="1">
        <v>0</v>
      </c>
      <c r="D53" s="1">
        <v>-527.45872</v>
      </c>
      <c r="E53" s="1">
        <v>-36.419239</v>
      </c>
      <c r="F53" s="1">
        <v>0</v>
      </c>
      <c r="G53" s="1">
        <v>-0.937717</v>
      </c>
    </row>
    <row r="54" spans="2:7" ht="12.75">
      <c r="B54" s="1">
        <v>32</v>
      </c>
      <c r="C54" s="1">
        <v>0</v>
      </c>
      <c r="D54" s="1">
        <v>-523.862577</v>
      </c>
      <c r="E54" s="1">
        <v>-40.254237</v>
      </c>
      <c r="F54" s="1">
        <v>0</v>
      </c>
      <c r="G54" s="1">
        <v>-0.937717</v>
      </c>
    </row>
    <row r="55" spans="2:7" ht="12.75">
      <c r="B55" s="1">
        <v>33</v>
      </c>
      <c r="C55" s="1">
        <v>0</v>
      </c>
      <c r="D55" s="1">
        <v>-531.054864</v>
      </c>
      <c r="E55" s="1">
        <v>-32.584242</v>
      </c>
      <c r="F55" s="1">
        <v>0</v>
      </c>
      <c r="G55" s="1">
        <v>-0.937717</v>
      </c>
    </row>
    <row r="56" spans="2:7" ht="12.75">
      <c r="B56" s="1">
        <v>34</v>
      </c>
      <c r="C56" s="1">
        <v>0</v>
      </c>
      <c r="D56" s="1">
        <v>-527.45872</v>
      </c>
      <c r="E56" s="1">
        <v>-36.419239</v>
      </c>
      <c r="F56" s="1">
        <v>0</v>
      </c>
      <c r="G56" s="1">
        <v>-0.937717</v>
      </c>
    </row>
    <row r="57" spans="2:7" ht="12.75">
      <c r="B57" s="1">
        <v>35</v>
      </c>
      <c r="C57" s="1">
        <v>0</v>
      </c>
      <c r="D57" s="1">
        <v>-527.459019</v>
      </c>
      <c r="E57" s="1">
        <v>-36.418921</v>
      </c>
      <c r="F57" s="1">
        <v>0</v>
      </c>
      <c r="G57" s="1">
        <v>-0.937717</v>
      </c>
    </row>
    <row r="58" spans="2:7" ht="12.75">
      <c r="B58" s="1">
        <v>36</v>
      </c>
      <c r="C58" s="4">
        <v>1.82E-14</v>
      </c>
      <c r="D58" s="1">
        <v>-619.802462</v>
      </c>
      <c r="E58" s="1">
        <v>62.057922</v>
      </c>
      <c r="F58" s="4">
        <v>201000</v>
      </c>
      <c r="G58" s="1">
        <v>1.06654</v>
      </c>
    </row>
    <row r="59" spans="2:7" ht="12.75">
      <c r="B59" s="1">
        <v>37</v>
      </c>
      <c r="C59" s="4">
        <v>-3.85E-15</v>
      </c>
      <c r="D59" s="1">
        <v>-619.802462</v>
      </c>
      <c r="E59" s="1">
        <v>62.057922</v>
      </c>
      <c r="F59" s="4">
        <v>201000</v>
      </c>
      <c r="G59" s="1">
        <v>1.06654</v>
      </c>
    </row>
    <row r="60" spans="2:7" ht="12.75">
      <c r="B60" s="1">
        <v>38</v>
      </c>
      <c r="C60" s="1">
        <v>-50</v>
      </c>
      <c r="D60" s="1">
        <v>-619.802728</v>
      </c>
      <c r="E60" s="1">
        <v>62.057673</v>
      </c>
      <c r="F60" s="4">
        <v>201000</v>
      </c>
      <c r="G60" s="1">
        <v>1.06654</v>
      </c>
    </row>
    <row r="61" spans="2:7" ht="12.75">
      <c r="B61" s="1">
        <v>39</v>
      </c>
      <c r="C61" s="1">
        <v>-34.14</v>
      </c>
      <c r="D61" s="1">
        <v>-619.802643</v>
      </c>
      <c r="E61" s="1">
        <v>62.057752</v>
      </c>
      <c r="F61" s="4">
        <v>201000</v>
      </c>
      <c r="G61" s="1">
        <v>1.06654</v>
      </c>
    </row>
    <row r="62" spans="2:7" ht="12.75">
      <c r="B62" s="1">
        <v>40</v>
      </c>
      <c r="C62" s="1">
        <v>-29.14</v>
      </c>
      <c r="D62" s="1">
        <v>-619.802617</v>
      </c>
      <c r="E62" s="1">
        <v>62.057777</v>
      </c>
      <c r="F62" s="4">
        <v>201000</v>
      </c>
      <c r="G62" s="1">
        <v>1.06654</v>
      </c>
    </row>
    <row r="63" spans="2:7" ht="12.75">
      <c r="B63" s="1">
        <v>41</v>
      </c>
      <c r="C63" s="1">
        <v>-34.14</v>
      </c>
      <c r="D63" s="1">
        <v>-619.802643</v>
      </c>
      <c r="E63" s="1">
        <v>62.057752</v>
      </c>
      <c r="F63" s="4">
        <v>201000</v>
      </c>
      <c r="G63" s="1">
        <v>1.06654</v>
      </c>
    </row>
    <row r="64" spans="2:7" ht="12.75">
      <c r="B64" s="1">
        <v>42</v>
      </c>
      <c r="C64" s="4">
        <v>1.82E-14</v>
      </c>
      <c r="D64" s="1">
        <v>-619.802462</v>
      </c>
      <c r="E64" s="1">
        <v>62.057922</v>
      </c>
      <c r="F64" s="4">
        <v>3.23E-16</v>
      </c>
      <c r="G64" s="1">
        <v>-0.937717</v>
      </c>
    </row>
    <row r="65" spans="2:7" ht="12.75">
      <c r="B65" s="1">
        <v>43</v>
      </c>
      <c r="C65" s="4">
        <v>-3.44E-15</v>
      </c>
      <c r="D65" s="1">
        <v>-619.802462</v>
      </c>
      <c r="E65" s="1">
        <v>62.057922</v>
      </c>
      <c r="F65" s="4">
        <v>2.42E-16</v>
      </c>
      <c r="G65" s="1">
        <v>-0.937717</v>
      </c>
    </row>
    <row r="66" spans="2:7" ht="12.75">
      <c r="B66" s="1">
        <v>44</v>
      </c>
      <c r="C66" s="4">
        <v>-2.72E-14</v>
      </c>
      <c r="D66" s="1">
        <v>-527.45872</v>
      </c>
      <c r="E66" s="1">
        <v>-36.419239</v>
      </c>
      <c r="F66" s="4">
        <v>-2.74E-16</v>
      </c>
      <c r="G66" s="1">
        <v>-0.125588</v>
      </c>
    </row>
    <row r="67" spans="2:7" ht="12.75">
      <c r="B67" s="1">
        <v>45</v>
      </c>
      <c r="C67" s="4">
        <v>-2.72E-14</v>
      </c>
      <c r="D67" s="1">
        <v>-527.458666</v>
      </c>
      <c r="E67" s="1">
        <v>-36.419673</v>
      </c>
      <c r="F67" s="4">
        <v>-2.74E-16</v>
      </c>
      <c r="G67" s="1">
        <v>-0.125588</v>
      </c>
    </row>
    <row r="68" spans="2:7" ht="12.75">
      <c r="B68" s="1">
        <v>46</v>
      </c>
      <c r="C68" s="4">
        <v>-4.41E-16</v>
      </c>
      <c r="D68" s="1">
        <v>-514.997754</v>
      </c>
      <c r="E68" s="1">
        <v>-135.640264</v>
      </c>
      <c r="F68" s="1">
        <v>-1.201118</v>
      </c>
      <c r="G68" s="1">
        <v>-0.125607</v>
      </c>
    </row>
    <row r="69" spans="2:7" ht="12.75">
      <c r="B69" s="1">
        <v>47</v>
      </c>
      <c r="C69" s="1">
        <v>4.226183</v>
      </c>
      <c r="D69" s="1">
        <v>-514.555801</v>
      </c>
      <c r="E69" s="1">
        <v>-139.158805</v>
      </c>
      <c r="F69" s="1">
        <v>-1.201118</v>
      </c>
      <c r="G69" s="1">
        <v>-0.125607</v>
      </c>
    </row>
    <row r="70" spans="2:7" ht="12.75">
      <c r="B70" s="1">
        <v>48</v>
      </c>
      <c r="C70" s="1">
        <v>-4.226183</v>
      </c>
      <c r="D70" s="1">
        <v>-515.439707</v>
      </c>
      <c r="E70" s="1">
        <v>-132.121723</v>
      </c>
      <c r="F70" s="1">
        <v>-1.201118</v>
      </c>
      <c r="G70" s="1">
        <v>-0.125607</v>
      </c>
    </row>
    <row r="71" spans="2:7" ht="12.75">
      <c r="B71" s="1">
        <v>49</v>
      </c>
      <c r="C71" s="4">
        <v>-5E-16</v>
      </c>
      <c r="D71" s="1">
        <v>-514.997754</v>
      </c>
      <c r="E71" s="1">
        <v>-135.640264</v>
      </c>
      <c r="F71" s="1">
        <v>-1.201118</v>
      </c>
      <c r="G71" s="1">
        <v>-0.125607</v>
      </c>
    </row>
    <row r="72" spans="2:7" ht="12.75">
      <c r="B72" s="1">
        <v>50</v>
      </c>
      <c r="C72" s="4">
        <v>-4.92E-15</v>
      </c>
      <c r="D72" s="1">
        <v>-514.997754</v>
      </c>
      <c r="E72" s="1">
        <v>-135.640264</v>
      </c>
      <c r="F72" s="1">
        <v>-1.201118</v>
      </c>
      <c r="G72" s="1">
        <v>-0.125607</v>
      </c>
    </row>
    <row r="73" spans="2:7" ht="12.75">
      <c r="B73" s="1">
        <v>51</v>
      </c>
      <c r="C73" s="1">
        <v>-65.113778</v>
      </c>
      <c r="D73" s="1">
        <v>-521.807023</v>
      </c>
      <c r="E73" s="1">
        <v>-81.429289</v>
      </c>
      <c r="F73" s="1">
        <v>-1.201118</v>
      </c>
      <c r="G73" s="1">
        <v>-0.125607</v>
      </c>
    </row>
    <row r="74" spans="2:7" ht="12.75">
      <c r="B74" s="1">
        <v>52</v>
      </c>
      <c r="C74" s="1">
        <v>-58.6024</v>
      </c>
      <c r="D74" s="1">
        <v>-521.126096</v>
      </c>
      <c r="E74" s="1">
        <v>-86.850387</v>
      </c>
      <c r="F74" s="1">
        <v>-1.201118</v>
      </c>
      <c r="G74" s="1">
        <v>-0.125607</v>
      </c>
    </row>
    <row r="75" spans="2:7" ht="12.75">
      <c r="B75" s="1">
        <v>53</v>
      </c>
      <c r="C75" s="1">
        <v>-54.772178</v>
      </c>
      <c r="D75" s="1">
        <v>-520.725551</v>
      </c>
      <c r="E75" s="1">
        <v>-90.039268</v>
      </c>
      <c r="F75" s="1">
        <v>-1.201118</v>
      </c>
      <c r="G75" s="1">
        <v>-0.125607</v>
      </c>
    </row>
    <row r="76" spans="2:7" ht="12.75">
      <c r="B76" s="1">
        <v>54</v>
      </c>
      <c r="C76" s="1">
        <v>-58.6024</v>
      </c>
      <c r="D76" s="1">
        <v>-521.126096</v>
      </c>
      <c r="E76" s="1">
        <v>-86.850387</v>
      </c>
      <c r="F76" s="1">
        <v>-1.201118</v>
      </c>
      <c r="G76" s="1">
        <v>-0.125607</v>
      </c>
    </row>
    <row r="77" spans="2:7" ht="12.75">
      <c r="B77" s="1">
        <v>55</v>
      </c>
      <c r="C77" s="4">
        <v>-1.48E-14</v>
      </c>
      <c r="D77" s="1">
        <v>-514.997754</v>
      </c>
      <c r="E77" s="1">
        <v>-135.640264</v>
      </c>
      <c r="F77" s="4">
        <v>-3.55E-16</v>
      </c>
      <c r="G77" s="1">
        <v>-0.125588</v>
      </c>
    </row>
    <row r="78" spans="2:7" ht="12.75">
      <c r="B78" s="1">
        <v>56</v>
      </c>
      <c r="C78" s="4">
        <v>-1.56E-14</v>
      </c>
      <c r="D78" s="1">
        <v>-514.997754</v>
      </c>
      <c r="E78" s="1">
        <v>-135.640264</v>
      </c>
      <c r="F78" s="4">
        <v>-2.47E-16</v>
      </c>
      <c r="G78" s="1">
        <v>-0.125588</v>
      </c>
    </row>
    <row r="79" spans="2:7" ht="12.75">
      <c r="B79" s="1">
        <v>57</v>
      </c>
      <c r="C79" s="4">
        <v>-4.78E-15</v>
      </c>
      <c r="D79" s="1">
        <v>-509.514911</v>
      </c>
      <c r="E79" s="1">
        <v>-179.297659</v>
      </c>
      <c r="F79" s="4">
        <v>-2E-11</v>
      </c>
      <c r="G79" s="4">
        <v>-58265.83511</v>
      </c>
    </row>
    <row r="80" spans="2:7" ht="12.75">
      <c r="B80" s="1">
        <v>58</v>
      </c>
      <c r="C80" s="4">
        <v>-4.78E-15</v>
      </c>
      <c r="D80" s="1">
        <v>-509.515249</v>
      </c>
      <c r="E80" s="1">
        <v>-179.297659</v>
      </c>
      <c r="F80" s="4">
        <v>-2E-11</v>
      </c>
      <c r="G80" s="4">
        <v>-58265.83511</v>
      </c>
    </row>
    <row r="81" spans="2:7" ht="12.75">
      <c r="B81" s="1">
        <v>59</v>
      </c>
      <c r="C81" s="4">
        <v>9.28E-15</v>
      </c>
      <c r="D81" s="1">
        <v>-468.515249</v>
      </c>
      <c r="E81" s="1">
        <v>-179.298363</v>
      </c>
      <c r="F81" s="4">
        <v>-2E-11</v>
      </c>
      <c r="G81" s="4">
        <v>-58265.83511</v>
      </c>
    </row>
    <row r="82" spans="2:7" ht="12.75">
      <c r="B82" s="1">
        <v>60</v>
      </c>
      <c r="C82" s="4">
        <v>6.2E-15</v>
      </c>
      <c r="D82" s="1">
        <v>-477.505249</v>
      </c>
      <c r="E82" s="1">
        <v>-179.298209</v>
      </c>
      <c r="F82" s="4">
        <v>-2E-11</v>
      </c>
      <c r="G82" s="4">
        <v>-58265.83511</v>
      </c>
    </row>
    <row r="83" spans="2:7" ht="12.75">
      <c r="B83" s="1">
        <v>61</v>
      </c>
      <c r="C83" s="4">
        <v>4.48E-15</v>
      </c>
      <c r="D83" s="1">
        <v>-482.505249</v>
      </c>
      <c r="E83" s="1">
        <v>-179.298123</v>
      </c>
      <c r="F83" s="4">
        <v>-2E-11</v>
      </c>
      <c r="G83" s="4">
        <v>-58265.83511</v>
      </c>
    </row>
    <row r="84" spans="2:7" ht="12.75">
      <c r="B84" s="1">
        <v>62</v>
      </c>
      <c r="C84" s="4">
        <v>6.2E-15</v>
      </c>
      <c r="D84" s="1">
        <v>-477.505249</v>
      </c>
      <c r="E84" s="1">
        <v>-179.298209</v>
      </c>
      <c r="F84" s="4">
        <v>-2E-11</v>
      </c>
      <c r="G84" s="4">
        <v>-58265.83511</v>
      </c>
    </row>
    <row r="85" spans="2:5" ht="12.75">
      <c r="B85" s="1">
        <v>63</v>
      </c>
      <c r="C85" s="4">
        <v>9.28E-15</v>
      </c>
      <c r="D85" s="1">
        <v>-468.515249</v>
      </c>
      <c r="E85" s="1">
        <v>-179.298363</v>
      </c>
    </row>
    <row r="86" ht="12.75">
      <c r="B86" s="1" t="s">
        <v>28</v>
      </c>
    </row>
    <row r="87" ht="12.75">
      <c r="B87" s="1" t="s">
        <v>28</v>
      </c>
    </row>
    <row r="88" spans="2:4" ht="12.75">
      <c r="B88" s="1" t="s">
        <v>28</v>
      </c>
      <c r="C88" s="1" t="s">
        <v>74</v>
      </c>
      <c r="D88" s="1" t="s">
        <v>75</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61" r:id="rId1"/>
  <headerFooter alignWithMargins="0">
    <oddHeader>&amp;L&amp;F, &amp;A&amp;R&amp;T, &amp;D</oddHeader>
    <oddFooter>&amp;CPage &amp;P of &amp;N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1:J204"/>
  <sheetViews>
    <sheetView workbookViewId="0" topLeftCell="A1">
      <selection activeCell="A1" sqref="A1:J204"/>
    </sheetView>
  </sheetViews>
  <sheetFormatPr defaultColWidth="12" defaultRowHeight="12.75"/>
  <cols>
    <col min="1" max="16384" width="12" style="1" customWidth="1"/>
  </cols>
  <sheetData>
    <row r="1" ht="12.75">
      <c r="B1" s="1" t="s">
        <v>28</v>
      </c>
    </row>
    <row r="2" spans="2:3" ht="12.75">
      <c r="B2" s="1" t="s">
        <v>28</v>
      </c>
      <c r="C2" s="1" t="s">
        <v>29</v>
      </c>
    </row>
    <row r="4" spans="2:10" ht="12.75">
      <c r="B4" s="1" t="s">
        <v>30</v>
      </c>
      <c r="C4" s="1" t="s">
        <v>31</v>
      </c>
      <c r="D4" s="1" t="s">
        <v>32</v>
      </c>
      <c r="E4" s="1" t="s">
        <v>33</v>
      </c>
      <c r="F4" s="1" t="s">
        <v>34</v>
      </c>
      <c r="G4" s="1" t="s">
        <v>33</v>
      </c>
      <c r="H4" s="1" t="s">
        <v>35</v>
      </c>
      <c r="I4" s="1" t="s">
        <v>407</v>
      </c>
      <c r="J4" s="1" t="s">
        <v>624</v>
      </c>
    </row>
    <row r="6" spans="2:3" ht="12.75">
      <c r="B6" s="1" t="s">
        <v>28</v>
      </c>
      <c r="C6" s="1" t="s">
        <v>37</v>
      </c>
    </row>
    <row r="7" spans="2:3" ht="12.75">
      <c r="B7" s="2">
        <v>37260</v>
      </c>
      <c r="C7" s="3">
        <v>0.6271759259259259</v>
      </c>
    </row>
    <row r="8" ht="12.75">
      <c r="B8" s="1" t="s">
        <v>28</v>
      </c>
    </row>
    <row r="9" spans="2:10" ht="12.75">
      <c r="B9" s="1" t="s">
        <v>28</v>
      </c>
      <c r="C9" s="1" t="s">
        <v>38</v>
      </c>
      <c r="D9" s="1">
        <v>2</v>
      </c>
      <c r="E9" s="1" t="s">
        <v>76</v>
      </c>
      <c r="F9" s="1">
        <v>0</v>
      </c>
      <c r="G9" s="1">
        <v>0</v>
      </c>
      <c r="H9" s="1" t="s">
        <v>39</v>
      </c>
      <c r="I9" s="1" t="s">
        <v>77</v>
      </c>
      <c r="J9" s="1" t="s">
        <v>40</v>
      </c>
    </row>
    <row r="10" spans="2:8" ht="12.75">
      <c r="B10" s="1" t="s">
        <v>33</v>
      </c>
      <c r="C10" s="1" t="s">
        <v>35</v>
      </c>
      <c r="D10" s="1" t="s">
        <v>407</v>
      </c>
      <c r="E10" s="1" t="s">
        <v>624</v>
      </c>
      <c r="F10" s="1">
        <v>288</v>
      </c>
      <c r="G10" s="2">
        <v>37260</v>
      </c>
      <c r="H10" s="3">
        <v>0.6271759259259259</v>
      </c>
    </row>
    <row r="12" spans="2:4" ht="12.75">
      <c r="B12" s="1" t="s">
        <v>41</v>
      </c>
      <c r="C12" s="1" t="s">
        <v>42</v>
      </c>
      <c r="D12" s="1" t="s">
        <v>43</v>
      </c>
    </row>
    <row r="14" spans="2:10" ht="12.75">
      <c r="B14" s="1" t="s">
        <v>44</v>
      </c>
      <c r="C14" s="1" t="s">
        <v>45</v>
      </c>
      <c r="D14" s="1" t="s">
        <v>46</v>
      </c>
      <c r="E14" s="1" t="s">
        <v>47</v>
      </c>
      <c r="F14" s="1" t="s">
        <v>48</v>
      </c>
      <c r="G14" s="1" t="s">
        <v>49</v>
      </c>
      <c r="H14" s="1" t="s">
        <v>50</v>
      </c>
      <c r="I14" s="1" t="s">
        <v>51</v>
      </c>
      <c r="J14" s="1">
        <v>9</v>
      </c>
    </row>
    <row r="16" spans="2:8" ht="12.75">
      <c r="B16" s="1" t="s">
        <v>52</v>
      </c>
      <c r="C16" s="1" t="s">
        <v>53</v>
      </c>
      <c r="D16" s="1" t="s">
        <v>54</v>
      </c>
      <c r="E16" s="1" t="s">
        <v>55</v>
      </c>
      <c r="F16" s="1">
        <v>0</v>
      </c>
      <c r="G16" s="1" t="s">
        <v>56</v>
      </c>
      <c r="H16" s="1">
        <v>0</v>
      </c>
    </row>
    <row r="17" spans="2:9" ht="12.75">
      <c r="B17" s="1" t="s">
        <v>52</v>
      </c>
      <c r="C17" s="1" t="s">
        <v>57</v>
      </c>
      <c r="D17" s="1" t="s">
        <v>58</v>
      </c>
      <c r="E17" s="1" t="s">
        <v>59</v>
      </c>
      <c r="F17" s="1" t="s">
        <v>60</v>
      </c>
      <c r="G17" s="1">
        <v>0</v>
      </c>
      <c r="H17" s="1" t="s">
        <v>61</v>
      </c>
      <c r="I17" s="1">
        <v>0</v>
      </c>
    </row>
    <row r="18" spans="2:4" ht="12.75">
      <c r="B18" s="1" t="s">
        <v>62</v>
      </c>
      <c r="C18" s="1" t="s">
        <v>63</v>
      </c>
      <c r="D18" s="1">
        <v>2</v>
      </c>
    </row>
    <row r="20" spans="2:9" ht="12.75">
      <c r="B20" s="1" t="s">
        <v>44</v>
      </c>
      <c r="C20" s="1" t="s">
        <v>64</v>
      </c>
      <c r="D20" s="1" t="s">
        <v>65</v>
      </c>
      <c r="E20" s="1" t="s">
        <v>66</v>
      </c>
      <c r="F20" s="1" t="s">
        <v>67</v>
      </c>
      <c r="G20" s="1" t="s">
        <v>68</v>
      </c>
      <c r="H20" s="1" t="s">
        <v>66</v>
      </c>
      <c r="I20" s="1" t="s">
        <v>67</v>
      </c>
    </row>
    <row r="21" spans="2:7" ht="12.75">
      <c r="B21" s="1" t="s">
        <v>39</v>
      </c>
      <c r="C21" s="1" t="s">
        <v>14</v>
      </c>
      <c r="D21" s="1" t="s">
        <v>69</v>
      </c>
      <c r="E21" s="1" t="s">
        <v>70</v>
      </c>
      <c r="F21" s="1" t="s">
        <v>71</v>
      </c>
      <c r="G21" s="1" t="s">
        <v>72</v>
      </c>
    </row>
    <row r="22" ht="12.75">
      <c r="B22" s="1" t="s">
        <v>73</v>
      </c>
    </row>
    <row r="23" spans="2:7" ht="12.75">
      <c r="B23" s="1">
        <v>1</v>
      </c>
      <c r="C23" s="1">
        <v>36.849291</v>
      </c>
      <c r="D23" s="1">
        <v>54.805206</v>
      </c>
      <c r="E23" s="1">
        <v>-1049.877439</v>
      </c>
      <c r="F23" s="1">
        <v>-0.002146</v>
      </c>
      <c r="G23" s="1">
        <v>-0.003192</v>
      </c>
    </row>
    <row r="24" spans="2:7" ht="12.75">
      <c r="B24" s="1">
        <v>2</v>
      </c>
      <c r="C24" s="1">
        <v>-1.295488</v>
      </c>
      <c r="D24" s="1">
        <v>-1.926753</v>
      </c>
      <c r="E24" s="1">
        <v>16721.09722</v>
      </c>
      <c r="F24" s="1">
        <v>-0.002146</v>
      </c>
      <c r="G24" s="1">
        <v>-0.003192</v>
      </c>
    </row>
    <row r="25" spans="2:7" ht="12.75">
      <c r="B25" s="1">
        <v>3</v>
      </c>
      <c r="C25" s="1">
        <v>-1.295494</v>
      </c>
      <c r="D25" s="1">
        <v>-1.926762</v>
      </c>
      <c r="E25" s="1">
        <v>16721.1</v>
      </c>
      <c r="F25" s="1">
        <v>-0.002146</v>
      </c>
      <c r="G25" s="1">
        <v>-0.003192</v>
      </c>
    </row>
    <row r="26" spans="2:7" ht="12.75">
      <c r="B26" s="1">
        <v>4</v>
      </c>
      <c r="C26" s="1">
        <v>36.849554</v>
      </c>
      <c r="D26" s="1">
        <v>54.805597</v>
      </c>
      <c r="E26" s="1">
        <v>-1050</v>
      </c>
      <c r="F26" s="1">
        <v>-0.002146</v>
      </c>
      <c r="G26" s="1">
        <v>-0.003192</v>
      </c>
    </row>
    <row r="27" spans="2:7" ht="12.75">
      <c r="B27" s="1">
        <v>5</v>
      </c>
      <c r="C27" s="1">
        <v>41.142485</v>
      </c>
      <c r="D27" s="1">
        <v>61.190386</v>
      </c>
      <c r="E27" s="1">
        <v>-3050</v>
      </c>
      <c r="F27" s="1">
        <v>-0.002146</v>
      </c>
      <c r="G27" s="1">
        <v>-0.003192</v>
      </c>
    </row>
    <row r="28" spans="2:7" ht="12.75">
      <c r="B28" s="1">
        <v>6</v>
      </c>
      <c r="C28" s="1">
        <v>36.850892</v>
      </c>
      <c r="D28" s="1">
        <v>54.807586</v>
      </c>
      <c r="E28" s="3">
        <v>-1050.623123</v>
      </c>
      <c r="F28" s="1">
        <v>0.023215</v>
      </c>
      <c r="G28" s="1">
        <v>0.034527</v>
      </c>
    </row>
    <row r="29" spans="2:7" ht="12.75">
      <c r="B29" s="1">
        <v>7</v>
      </c>
      <c r="C29" s="4">
        <v>-2.77E-13</v>
      </c>
      <c r="D29" s="4">
        <v>-1.71E-13</v>
      </c>
      <c r="E29" s="1">
        <v>-2637.998</v>
      </c>
      <c r="F29" s="1">
        <v>-0.023215</v>
      </c>
      <c r="G29" s="1">
        <v>-0.034527</v>
      </c>
    </row>
    <row r="30" spans="2:7" ht="12.75">
      <c r="B30" s="1">
        <v>8</v>
      </c>
      <c r="C30" s="1">
        <v>-36.865358</v>
      </c>
      <c r="D30" s="1">
        <v>-54.829101</v>
      </c>
      <c r="E30" s="1">
        <v>-1050</v>
      </c>
      <c r="F30" s="1">
        <v>-0.023215</v>
      </c>
      <c r="G30" s="1">
        <v>-0.034527</v>
      </c>
    </row>
    <row r="31" spans="2:10" ht="12.75">
      <c r="B31" s="1">
        <v>9</v>
      </c>
      <c r="C31" s="1">
        <v>-60.320396</v>
      </c>
      <c r="D31" s="1">
        <v>-89.713306</v>
      </c>
      <c r="E31" s="1">
        <v>-39.659762</v>
      </c>
      <c r="F31" s="1">
        <v>-0.023215</v>
      </c>
      <c r="G31" s="1">
        <v>-0.034527</v>
      </c>
      <c r="J31" s="3"/>
    </row>
    <row r="32" spans="2:7" ht="12.75">
      <c r="B32" s="1">
        <v>10</v>
      </c>
      <c r="C32" s="1">
        <v>-61.241069</v>
      </c>
      <c r="D32" s="1">
        <v>-91.082604</v>
      </c>
      <c r="E32" s="4">
        <v>-0.001194</v>
      </c>
      <c r="F32" s="1">
        <v>-0.023215</v>
      </c>
      <c r="G32" s="1">
        <v>-0.034527</v>
      </c>
    </row>
    <row r="33" spans="2:7" ht="12.75">
      <c r="B33" s="1">
        <v>11</v>
      </c>
      <c r="C33" s="1">
        <v>-62.760964</v>
      </c>
      <c r="D33" s="1">
        <v>-93.343113</v>
      </c>
      <c r="E33" s="1">
        <v>65.469209</v>
      </c>
      <c r="F33" s="1">
        <v>-0.350911</v>
      </c>
      <c r="G33" s="1">
        <v>0.59619</v>
      </c>
    </row>
    <row r="34" spans="2:7" ht="12.75">
      <c r="B34" s="1">
        <v>12</v>
      </c>
      <c r="C34" s="1">
        <v>-64.14573</v>
      </c>
      <c r="D34" s="1">
        <v>-90.990424</v>
      </c>
      <c r="E34" s="1">
        <v>69.415413</v>
      </c>
      <c r="F34" s="1">
        <v>-0.350911</v>
      </c>
      <c r="G34" s="1">
        <v>0.59619</v>
      </c>
    </row>
    <row r="35" spans="2:7" ht="12.75">
      <c r="B35" s="1">
        <v>13</v>
      </c>
      <c r="C35" s="1">
        <v>0.229982</v>
      </c>
      <c r="D35" s="1">
        <v>-200.363461</v>
      </c>
      <c r="E35" s="1">
        <v>-114.037794</v>
      </c>
      <c r="F35" s="1">
        <v>-0.350911</v>
      </c>
      <c r="G35" s="1">
        <v>0.59619</v>
      </c>
    </row>
    <row r="36" spans="2:7" ht="12.75">
      <c r="B36" s="1">
        <v>14</v>
      </c>
      <c r="C36" s="1">
        <v>0.229982</v>
      </c>
      <c r="D36" s="1">
        <v>-200.363461</v>
      </c>
      <c r="E36" s="1">
        <v>-114.037794</v>
      </c>
      <c r="F36" s="1">
        <v>0.302599</v>
      </c>
      <c r="G36" s="1">
        <v>0.088963</v>
      </c>
    </row>
    <row r="37" spans="2:7" ht="12.75">
      <c r="B37" s="1">
        <v>15</v>
      </c>
      <c r="C37" s="1">
        <v>0.229982</v>
      </c>
      <c r="D37" s="1">
        <v>-200.363461</v>
      </c>
      <c r="E37" s="1">
        <v>-114.037794</v>
      </c>
      <c r="F37" s="1">
        <v>0.302599</v>
      </c>
      <c r="G37" s="1">
        <v>0.088963</v>
      </c>
    </row>
    <row r="38" spans="2:7" ht="12.75">
      <c r="B38" s="1">
        <v>16</v>
      </c>
      <c r="C38" s="1">
        <v>0.212151</v>
      </c>
      <c r="D38" s="1">
        <v>-200.368703</v>
      </c>
      <c r="E38" s="1">
        <v>-114.096719</v>
      </c>
      <c r="F38" s="1">
        <v>0.302599</v>
      </c>
      <c r="G38" s="1">
        <v>0.088963</v>
      </c>
    </row>
    <row r="39" spans="2:7" ht="12.75">
      <c r="B39" s="1">
        <v>17</v>
      </c>
      <c r="C39" s="1">
        <v>58.001413</v>
      </c>
      <c r="D39" s="1">
        <v>-183.378925</v>
      </c>
      <c r="E39" s="1">
        <v>76.879467</v>
      </c>
      <c r="F39" s="1">
        <v>0.133584</v>
      </c>
      <c r="G39" s="1">
        <v>0.445232</v>
      </c>
    </row>
    <row r="40" spans="2:7" ht="12.75">
      <c r="B40" s="1">
        <v>18</v>
      </c>
      <c r="C40" s="1">
        <v>58.78063</v>
      </c>
      <c r="D40" s="1">
        <v>-180.781822</v>
      </c>
      <c r="E40" s="1">
        <v>82.712614</v>
      </c>
      <c r="F40" s="1">
        <v>0.133584</v>
      </c>
      <c r="G40" s="1">
        <v>0.445232</v>
      </c>
    </row>
    <row r="41" spans="2:7" ht="12.75">
      <c r="B41" s="1">
        <v>19</v>
      </c>
      <c r="C41" s="1">
        <v>35.154494</v>
      </c>
      <c r="D41" s="1">
        <v>-259.526983</v>
      </c>
      <c r="E41" s="1">
        <v>-94.150668</v>
      </c>
      <c r="F41" s="1">
        <v>0.133584</v>
      </c>
      <c r="G41" s="1">
        <v>0.445232</v>
      </c>
    </row>
    <row r="42" spans="2:7" ht="12.75">
      <c r="B42" s="1">
        <v>20</v>
      </c>
      <c r="C42" s="1">
        <v>33.818652</v>
      </c>
      <c r="D42" s="1">
        <v>-263.979302</v>
      </c>
      <c r="E42" s="1">
        <v>-104.150668</v>
      </c>
      <c r="F42" s="1">
        <v>0.133584</v>
      </c>
      <c r="G42" s="1">
        <v>0.445232</v>
      </c>
    </row>
    <row r="43" spans="2:7" ht="12.75">
      <c r="B43" s="1">
        <v>21</v>
      </c>
      <c r="C43" s="1">
        <v>33.818911</v>
      </c>
      <c r="D43" s="1">
        <v>-263.97844</v>
      </c>
      <c r="E43" s="1">
        <v>-104.148734</v>
      </c>
      <c r="F43" s="1">
        <v>0.133584</v>
      </c>
      <c r="G43" s="1">
        <v>0.445232</v>
      </c>
    </row>
    <row r="44" spans="2:7" ht="12.75">
      <c r="B44" s="1">
        <v>22</v>
      </c>
      <c r="C44" s="1">
        <v>33.819095</v>
      </c>
      <c r="D44" s="1">
        <v>-263.977827</v>
      </c>
      <c r="E44" s="1">
        <v>-104.147355</v>
      </c>
      <c r="F44" s="1">
        <v>-12.207836</v>
      </c>
      <c r="G44" s="1">
        <v>-3.500615</v>
      </c>
    </row>
    <row r="45" spans="2:7" ht="12.75">
      <c r="B45" s="1">
        <v>23</v>
      </c>
      <c r="C45" s="1">
        <v>33.817295</v>
      </c>
      <c r="D45" s="1">
        <v>-263.978343</v>
      </c>
      <c r="E45" s="1">
        <v>-104.147208</v>
      </c>
      <c r="F45" s="1">
        <v>-12.207836</v>
      </c>
      <c r="G45" s="1">
        <v>-3.500615</v>
      </c>
    </row>
    <row r="46" spans="2:7" ht="12.75">
      <c r="B46" s="1">
        <v>24</v>
      </c>
      <c r="C46" s="1">
        <v>33.820861</v>
      </c>
      <c r="D46" s="1">
        <v>-263.97732</v>
      </c>
      <c r="E46" s="1">
        <v>-104.1475</v>
      </c>
      <c r="F46" s="1">
        <v>-12.207836</v>
      </c>
      <c r="G46" s="1">
        <v>-3.500615</v>
      </c>
    </row>
    <row r="47" spans="2:7" ht="12.75">
      <c r="B47" s="1">
        <v>25</v>
      </c>
      <c r="C47" s="1">
        <v>141.69601</v>
      </c>
      <c r="D47" s="1">
        <v>-233.043964</v>
      </c>
      <c r="E47" s="1">
        <v>-112.98405</v>
      </c>
      <c r="F47" s="1">
        <v>-12.207836</v>
      </c>
      <c r="G47" s="1">
        <v>-3.500615</v>
      </c>
    </row>
    <row r="48" spans="2:7" ht="12.75">
      <c r="B48" s="1">
        <v>26</v>
      </c>
      <c r="C48" s="1">
        <v>141.695796</v>
      </c>
      <c r="D48" s="1">
        <v>-233.044025</v>
      </c>
      <c r="E48" s="1">
        <v>-112.984032</v>
      </c>
      <c r="F48" s="1">
        <v>-12.207836</v>
      </c>
      <c r="G48" s="1">
        <v>-3.500615</v>
      </c>
    </row>
    <row r="49" spans="2:7" ht="12.75">
      <c r="B49" s="1">
        <v>27</v>
      </c>
      <c r="C49" s="1">
        <v>141.69601</v>
      </c>
      <c r="D49" s="1">
        <v>-233.043964</v>
      </c>
      <c r="E49" s="1">
        <v>-112.98405</v>
      </c>
      <c r="F49" s="1">
        <v>-12.207836</v>
      </c>
      <c r="G49" s="1">
        <v>-3.500615</v>
      </c>
    </row>
    <row r="50" spans="2:7" ht="12.75">
      <c r="B50" s="1">
        <v>28</v>
      </c>
      <c r="C50" s="1">
        <v>170.859234</v>
      </c>
      <c r="D50" s="1">
        <v>-224.681367</v>
      </c>
      <c r="E50" s="4">
        <v>-115.372944</v>
      </c>
      <c r="F50" s="4">
        <v>-12.207836</v>
      </c>
      <c r="G50" s="1">
        <v>-3.500615</v>
      </c>
    </row>
    <row r="51" spans="2:7" ht="12.75">
      <c r="B51" s="1">
        <v>29</v>
      </c>
      <c r="C51" s="1">
        <v>170.859234</v>
      </c>
      <c r="D51" s="1">
        <v>-224.681367</v>
      </c>
      <c r="E51" s="1">
        <v>-115.372944</v>
      </c>
      <c r="F51" s="1">
        <v>-12.207836</v>
      </c>
      <c r="G51" s="1">
        <v>-3.500615</v>
      </c>
    </row>
    <row r="52" spans="2:7" ht="12.75">
      <c r="B52" s="1">
        <v>30</v>
      </c>
      <c r="C52" s="1">
        <v>170.85951</v>
      </c>
      <c r="D52" s="1">
        <v>-224.681288</v>
      </c>
      <c r="E52" s="1">
        <v>-115.372966</v>
      </c>
      <c r="F52" s="4">
        <v>-1.79E-05</v>
      </c>
      <c r="G52" s="1">
        <v>0.176326</v>
      </c>
    </row>
    <row r="53" spans="2:7" ht="12.75">
      <c r="B53" s="1">
        <v>31</v>
      </c>
      <c r="C53" s="1">
        <v>170.85951</v>
      </c>
      <c r="D53" s="1">
        <v>-224.68134</v>
      </c>
      <c r="E53" s="1">
        <v>-115.373263</v>
      </c>
      <c r="F53" s="4">
        <v>-1.79E-05</v>
      </c>
      <c r="G53" s="1">
        <v>0.176326</v>
      </c>
    </row>
    <row r="54" spans="2:7" ht="12.75">
      <c r="B54" s="1">
        <v>32</v>
      </c>
      <c r="C54" s="1">
        <v>170.85951</v>
      </c>
      <c r="D54" s="1">
        <v>-224.680821</v>
      </c>
      <c r="E54" s="1">
        <v>-115.370319</v>
      </c>
      <c r="F54" s="4">
        <v>-1.79E-05</v>
      </c>
      <c r="G54" s="1">
        <v>0.176326</v>
      </c>
    </row>
    <row r="55" spans="2:7" ht="12.75">
      <c r="B55" s="1">
        <v>33</v>
      </c>
      <c r="C55" s="1">
        <v>170.85951</v>
      </c>
      <c r="D55" s="1">
        <v>-224.680821</v>
      </c>
      <c r="E55" s="1">
        <v>-115.370319</v>
      </c>
      <c r="F55" s="4">
        <v>-1.79E-05</v>
      </c>
      <c r="G55" s="1">
        <v>0.176326</v>
      </c>
    </row>
    <row r="56" spans="2:7" ht="12.75">
      <c r="B56" s="1">
        <v>34</v>
      </c>
      <c r="C56" s="1">
        <v>170.85951</v>
      </c>
      <c r="D56" s="1">
        <v>-224.680814</v>
      </c>
      <c r="E56" s="1">
        <v>-115.370279</v>
      </c>
      <c r="F56" s="4">
        <v>-1.79E-05</v>
      </c>
      <c r="G56" s="1">
        <v>0.176326</v>
      </c>
    </row>
    <row r="57" spans="2:7" ht="12.75">
      <c r="B57" s="1">
        <v>35</v>
      </c>
      <c r="C57" s="1">
        <v>170.860517</v>
      </c>
      <c r="D57" s="1">
        <v>-234.578711</v>
      </c>
      <c r="E57" s="1">
        <v>-171.504392</v>
      </c>
      <c r="F57" s="4">
        <v>-1.79E-05</v>
      </c>
      <c r="G57" s="1">
        <v>0.176326</v>
      </c>
    </row>
    <row r="58" spans="2:7" ht="12.75">
      <c r="B58" s="1">
        <v>36</v>
      </c>
      <c r="C58" s="4">
        <v>170.860517</v>
      </c>
      <c r="D58" s="1">
        <v>-234.578711</v>
      </c>
      <c r="E58" s="1">
        <v>-171.504392</v>
      </c>
      <c r="F58" s="4">
        <v>-2.08E-05</v>
      </c>
      <c r="G58" s="1">
        <v>-0.577347</v>
      </c>
    </row>
    <row r="59" spans="2:7" ht="12.75">
      <c r="B59" s="1">
        <v>37</v>
      </c>
      <c r="C59" s="4">
        <v>170.860517</v>
      </c>
      <c r="D59" s="1">
        <v>-234.578711</v>
      </c>
      <c r="E59" s="1">
        <v>-171.504392</v>
      </c>
      <c r="F59" s="4">
        <v>-2.08E-05</v>
      </c>
      <c r="G59" s="1">
        <v>-0.577347</v>
      </c>
    </row>
    <row r="60" spans="2:7" ht="12.75">
      <c r="B60" s="1">
        <v>38</v>
      </c>
      <c r="C60" s="1">
        <v>170.860517</v>
      </c>
      <c r="D60" s="1">
        <v>-234.57868</v>
      </c>
      <c r="E60" s="1">
        <v>-171.504445</v>
      </c>
      <c r="F60" s="4">
        <v>-2.08E-05</v>
      </c>
      <c r="G60" s="1">
        <v>-0.577347</v>
      </c>
    </row>
    <row r="61" spans="2:7" ht="12.75">
      <c r="B61" s="1">
        <v>39</v>
      </c>
      <c r="C61" s="1">
        <v>170.857397</v>
      </c>
      <c r="D61" s="1">
        <v>-321.3983</v>
      </c>
      <c r="E61" s="1">
        <v>-21.12771</v>
      </c>
      <c r="F61" s="4">
        <v>2.08E-05</v>
      </c>
      <c r="G61" s="1">
        <v>0.577347</v>
      </c>
    </row>
    <row r="62" spans="2:7" ht="12.75">
      <c r="B62" s="1">
        <v>40</v>
      </c>
      <c r="C62" s="1">
        <v>170.857397</v>
      </c>
      <c r="D62" s="1">
        <v>-321.398358</v>
      </c>
      <c r="E62" s="1">
        <v>-21.127811</v>
      </c>
      <c r="F62" s="4">
        <v>2.08E-05</v>
      </c>
      <c r="G62" s="1">
        <v>0.577347</v>
      </c>
    </row>
    <row r="63" spans="2:7" ht="12.75">
      <c r="B63" s="1">
        <v>41</v>
      </c>
      <c r="C63" s="1">
        <v>170.856678</v>
      </c>
      <c r="D63" s="1">
        <v>-341.398284</v>
      </c>
      <c r="E63" s="1">
        <v>-55.76887</v>
      </c>
      <c r="F63" s="4">
        <v>2.08E-05</v>
      </c>
      <c r="G63" s="1">
        <v>0.577347</v>
      </c>
    </row>
    <row r="64" spans="2:7" ht="12.75">
      <c r="B64" s="1">
        <v>42</v>
      </c>
      <c r="C64" s="4">
        <v>170.856678</v>
      </c>
      <c r="D64" s="1">
        <v>-341.398284</v>
      </c>
      <c r="E64" s="1">
        <v>-55.76887</v>
      </c>
      <c r="F64" s="4">
        <v>2.08E-05</v>
      </c>
      <c r="G64" s="1">
        <v>0.577347</v>
      </c>
    </row>
    <row r="65" spans="2:7" ht="12.75">
      <c r="B65" s="1">
        <v>43</v>
      </c>
      <c r="C65" s="4">
        <v>170.854284</v>
      </c>
      <c r="D65" s="1">
        <v>-407.99796</v>
      </c>
      <c r="E65" s="1">
        <v>-171.123463</v>
      </c>
      <c r="F65" s="4">
        <v>-1.49E-07</v>
      </c>
      <c r="G65" s="4">
        <v>-2.43E-06</v>
      </c>
    </row>
    <row r="66" spans="2:7" ht="12.75">
      <c r="B66" s="1">
        <v>44</v>
      </c>
      <c r="C66" s="4">
        <v>170.854284</v>
      </c>
      <c r="D66" s="1">
        <v>-407.99796</v>
      </c>
      <c r="E66" s="1">
        <v>-171.12331</v>
      </c>
      <c r="F66" s="4">
        <v>-1.49E-07</v>
      </c>
      <c r="G66" s="4">
        <v>-2.43E-06</v>
      </c>
    </row>
    <row r="67" spans="2:7" ht="12.75">
      <c r="B67" s="1">
        <v>45</v>
      </c>
      <c r="C67" s="4">
        <v>170.854261</v>
      </c>
      <c r="D67" s="4">
        <v>-407.998325</v>
      </c>
      <c r="E67" s="1">
        <v>-21.12331</v>
      </c>
      <c r="F67" s="4">
        <v>-1.49E-07</v>
      </c>
      <c r="G67" s="4">
        <v>-2.43E-06</v>
      </c>
    </row>
    <row r="68" spans="2:7" ht="12.75">
      <c r="B68" s="1">
        <v>46</v>
      </c>
      <c r="C68" s="4">
        <v>170.854265</v>
      </c>
      <c r="D68" s="1">
        <v>-407.998264</v>
      </c>
      <c r="E68" s="1">
        <v>-46.123579</v>
      </c>
      <c r="F68" s="1">
        <v>-0.061174</v>
      </c>
      <c r="G68" s="4">
        <v>-411000</v>
      </c>
    </row>
    <row r="69" spans="2:7" ht="12.75">
      <c r="B69" s="1">
        <v>47</v>
      </c>
      <c r="C69" s="1">
        <v>170.854265</v>
      </c>
      <c r="D69" s="1">
        <v>-407.998533</v>
      </c>
      <c r="E69" s="4">
        <v>-46.123579</v>
      </c>
      <c r="F69" s="1">
        <v>-0.061174</v>
      </c>
      <c r="G69" s="4">
        <v>-411000</v>
      </c>
    </row>
    <row r="70" spans="2:7" ht="12.75">
      <c r="B70" s="1">
        <v>48</v>
      </c>
      <c r="C70" s="1">
        <v>170.854261</v>
      </c>
      <c r="D70" s="1">
        <v>-432.998533</v>
      </c>
      <c r="E70" s="1">
        <v>-46.123518</v>
      </c>
      <c r="F70" s="1">
        <v>-0.061174</v>
      </c>
      <c r="G70" s="4">
        <v>-411000</v>
      </c>
    </row>
    <row r="71" spans="2:7" ht="12.75">
      <c r="B71" s="1">
        <v>49</v>
      </c>
      <c r="C71" s="4">
        <v>170.854261</v>
      </c>
      <c r="D71" s="1">
        <v>-432.998533</v>
      </c>
      <c r="E71" s="1">
        <v>-46.123518</v>
      </c>
      <c r="F71" s="1">
        <v>-0.061174</v>
      </c>
      <c r="G71" s="4">
        <v>-411000</v>
      </c>
    </row>
    <row r="72" spans="2:7" ht="12.75">
      <c r="B72" s="1">
        <v>50</v>
      </c>
      <c r="C72" s="4">
        <v>170.854258</v>
      </c>
      <c r="D72" s="4">
        <v>-457.998533</v>
      </c>
      <c r="E72" s="4">
        <v>-46.123457</v>
      </c>
      <c r="F72" s="1">
        <v>-0.061174</v>
      </c>
      <c r="G72" s="4">
        <v>-411000</v>
      </c>
    </row>
    <row r="73" spans="2:7" ht="12.75">
      <c r="B73" s="1">
        <v>51</v>
      </c>
      <c r="C73" s="1">
        <v>170.854258</v>
      </c>
      <c r="D73" s="1">
        <v>-457.998681</v>
      </c>
      <c r="E73" s="1">
        <v>-46.123457</v>
      </c>
      <c r="F73" s="4">
        <v>1.49E-07</v>
      </c>
      <c r="G73" s="4">
        <v>-2.43E-06</v>
      </c>
    </row>
    <row r="74" spans="2:7" ht="12.75">
      <c r="B74" s="1">
        <v>52</v>
      </c>
      <c r="C74" s="1">
        <v>170.854258</v>
      </c>
      <c r="D74" s="4">
        <v>-457.998681</v>
      </c>
      <c r="E74" s="4">
        <v>-46.123457</v>
      </c>
      <c r="F74" s="4">
        <v>1.49E-07</v>
      </c>
      <c r="G74" s="4">
        <v>-2.43E-06</v>
      </c>
    </row>
    <row r="75" spans="2:7" ht="12.75">
      <c r="B75" s="1">
        <v>53</v>
      </c>
      <c r="C75" s="1">
        <v>170.854258</v>
      </c>
      <c r="D75" s="1">
        <v>-457.998681</v>
      </c>
      <c r="E75" s="1">
        <v>-46.123457</v>
      </c>
      <c r="F75" s="4">
        <v>1.49E-07</v>
      </c>
      <c r="G75" s="4">
        <v>-2.43E-06</v>
      </c>
    </row>
    <row r="76" spans="2:7" ht="12.75">
      <c r="B76" s="1">
        <v>54</v>
      </c>
      <c r="C76" s="1">
        <v>170.854258</v>
      </c>
      <c r="D76" s="4">
        <v>-457.998681</v>
      </c>
      <c r="E76" s="1">
        <v>-46.12331</v>
      </c>
      <c r="F76" s="4">
        <v>1.49E-07</v>
      </c>
      <c r="G76" s="4">
        <v>-2.43E-06</v>
      </c>
    </row>
    <row r="77" spans="2:7" ht="12.75">
      <c r="B77" s="1">
        <v>55</v>
      </c>
      <c r="C77" s="4">
        <v>170.854261</v>
      </c>
      <c r="D77" s="4">
        <v>-457.998742</v>
      </c>
      <c r="E77" s="1">
        <v>-21.12331</v>
      </c>
      <c r="F77" s="4">
        <v>1.49E-07</v>
      </c>
      <c r="G77" s="4">
        <v>-2.43E-06</v>
      </c>
    </row>
    <row r="78" spans="2:7" ht="12.75">
      <c r="B78" s="1">
        <v>56</v>
      </c>
      <c r="C78" s="4">
        <v>170.854239</v>
      </c>
      <c r="D78" s="1">
        <v>-457.998377</v>
      </c>
      <c r="E78" s="1">
        <v>-171.123268</v>
      </c>
      <c r="F78" s="4">
        <v>2.08E-05</v>
      </c>
      <c r="G78" s="1">
        <v>-0.577349</v>
      </c>
    </row>
    <row r="79" spans="2:7" ht="12.75">
      <c r="B79" s="1">
        <v>57</v>
      </c>
      <c r="C79" s="4">
        <v>170.854239</v>
      </c>
      <c r="D79" s="1">
        <v>-457.998398</v>
      </c>
      <c r="E79" s="1">
        <v>-171.123231</v>
      </c>
      <c r="F79" s="4">
        <v>2.08E-05</v>
      </c>
      <c r="G79" s="1">
        <v>-0.577349</v>
      </c>
    </row>
    <row r="80" spans="2:7" ht="12.75">
      <c r="B80" s="1">
        <v>58</v>
      </c>
      <c r="C80" s="4">
        <v>170.856633</v>
      </c>
      <c r="D80" s="1">
        <v>-524.598261</v>
      </c>
      <c r="E80" s="1">
        <v>-55.768568</v>
      </c>
      <c r="F80" s="4">
        <v>2.08E-05</v>
      </c>
      <c r="G80" s="1">
        <v>-0.577349</v>
      </c>
    </row>
    <row r="81" spans="2:7" ht="12.75">
      <c r="B81" s="1">
        <v>59</v>
      </c>
      <c r="C81" s="4">
        <v>170.856633</v>
      </c>
      <c r="D81" s="1">
        <v>-524.598261</v>
      </c>
      <c r="E81" s="1">
        <v>-55.768568</v>
      </c>
      <c r="F81" s="4">
        <v>2.08E-05</v>
      </c>
      <c r="G81" s="1">
        <v>-0.577349</v>
      </c>
    </row>
    <row r="82" spans="2:7" ht="12.75">
      <c r="B82" s="1">
        <v>60</v>
      </c>
      <c r="C82" s="4">
        <v>170.857352</v>
      </c>
      <c r="D82" s="1">
        <v>-544.598115</v>
      </c>
      <c r="E82" s="1">
        <v>-21.12771</v>
      </c>
      <c r="F82" s="4">
        <v>-2.08E-05</v>
      </c>
      <c r="G82" s="1">
        <v>0.577349</v>
      </c>
    </row>
    <row r="83" spans="2:7" ht="12.75">
      <c r="B83" s="1">
        <v>61</v>
      </c>
      <c r="C83" s="4">
        <v>170.857352</v>
      </c>
      <c r="D83" s="1">
        <v>-544.59822</v>
      </c>
      <c r="E83" s="1">
        <v>-21.127891</v>
      </c>
      <c r="F83" s="4">
        <v>-2.08E-05</v>
      </c>
      <c r="G83" s="1">
        <v>0.577349</v>
      </c>
    </row>
    <row r="84" spans="2:7" ht="12.75">
      <c r="B84" s="1">
        <v>62</v>
      </c>
      <c r="C84" s="4">
        <v>170.860083</v>
      </c>
      <c r="D84" s="1">
        <v>-620.587965</v>
      </c>
      <c r="E84" s="1">
        <v>-152.746351</v>
      </c>
      <c r="F84" s="4">
        <v>-2.08E-05</v>
      </c>
      <c r="G84" s="1">
        <v>0.577349</v>
      </c>
    </row>
    <row r="85" spans="2:7" ht="12.75">
      <c r="B85" s="1">
        <v>63</v>
      </c>
      <c r="C85" s="4">
        <v>170.860083</v>
      </c>
      <c r="D85" s="1">
        <v>-620.587965</v>
      </c>
      <c r="E85" s="1">
        <v>-152.74635</v>
      </c>
      <c r="F85" s="4">
        <v>-2E-05</v>
      </c>
      <c r="G85" s="1">
        <v>-0.176332</v>
      </c>
    </row>
    <row r="86" spans="2:7" ht="12.75">
      <c r="B86" s="1">
        <v>64</v>
      </c>
      <c r="C86" s="1">
        <v>170.860083</v>
      </c>
      <c r="D86" s="1">
        <v>-620.587965</v>
      </c>
      <c r="E86" s="1">
        <v>-152.746351</v>
      </c>
      <c r="F86" s="4">
        <v>-2E-05</v>
      </c>
      <c r="G86" s="1">
        <v>-0.176332</v>
      </c>
    </row>
    <row r="87" spans="2:7" ht="12.75">
      <c r="B87" s="1">
        <v>65</v>
      </c>
      <c r="C87" s="1">
        <v>170.860083</v>
      </c>
      <c r="D87" s="1">
        <v>-620.588</v>
      </c>
      <c r="E87" s="1">
        <v>-152.746156</v>
      </c>
      <c r="F87" s="4">
        <v>-2E-05</v>
      </c>
      <c r="G87" s="1">
        <v>-0.176332</v>
      </c>
    </row>
    <row r="88" spans="2:7" ht="12.75">
      <c r="B88" s="1">
        <v>66</v>
      </c>
      <c r="C88" s="1">
        <v>170.858901</v>
      </c>
      <c r="D88" s="1">
        <v>-631.007166</v>
      </c>
      <c r="E88" s="1">
        <v>-93.65774</v>
      </c>
      <c r="F88" s="4">
        <v>-2E-05</v>
      </c>
      <c r="G88" s="1">
        <v>-0.176332</v>
      </c>
    </row>
    <row r="89" spans="2:7" ht="12.75">
      <c r="B89" s="1">
        <v>67</v>
      </c>
      <c r="C89" s="1">
        <v>170.858259</v>
      </c>
      <c r="D89" s="1">
        <v>-636.663312</v>
      </c>
      <c r="E89" s="1">
        <v>-61.581021</v>
      </c>
      <c r="F89" s="4">
        <v>-49451.93677</v>
      </c>
      <c r="G89" s="1">
        <v>0.058223</v>
      </c>
    </row>
    <row r="90" spans="2:7" ht="12.75">
      <c r="B90" s="1">
        <v>68</v>
      </c>
      <c r="C90" s="1">
        <v>170.856678</v>
      </c>
      <c r="D90" s="1">
        <v>-636.663312</v>
      </c>
      <c r="E90" s="1">
        <v>-61.581021</v>
      </c>
      <c r="F90" s="4">
        <v>-49451.93677</v>
      </c>
      <c r="G90" s="1">
        <v>0.058223</v>
      </c>
    </row>
    <row r="91" spans="2:7" ht="12.75">
      <c r="B91" s="1">
        <v>69</v>
      </c>
      <c r="C91" s="1">
        <v>236.756678</v>
      </c>
      <c r="D91" s="1">
        <v>-636.663389</v>
      </c>
      <c r="E91" s="1">
        <v>-61.582353</v>
      </c>
      <c r="F91" s="4">
        <v>-67385.99686</v>
      </c>
      <c r="G91" s="1">
        <v>-0.073478</v>
      </c>
    </row>
    <row r="92" spans="2:7" ht="12.75">
      <c r="B92" s="1">
        <v>70</v>
      </c>
      <c r="C92" s="1">
        <v>237.756678</v>
      </c>
      <c r="D92" s="1">
        <v>-636.663388</v>
      </c>
      <c r="E92" s="1">
        <v>-61.582368</v>
      </c>
      <c r="F92" s="1">
        <v>-43320.74836</v>
      </c>
      <c r="G92" s="1">
        <v>-0.073479</v>
      </c>
    </row>
    <row r="93" spans="2:7" ht="12.75">
      <c r="B93" s="1">
        <v>71</v>
      </c>
      <c r="C93" s="1">
        <v>250.856678</v>
      </c>
      <c r="D93" s="1">
        <v>-636.663366</v>
      </c>
      <c r="E93" s="1">
        <v>-61.582671</v>
      </c>
      <c r="F93" s="1">
        <v>-43320.74836</v>
      </c>
      <c r="G93" s="1">
        <v>-0.073479</v>
      </c>
    </row>
    <row r="94" spans="2:7" ht="12.75">
      <c r="B94" s="1">
        <v>72</v>
      </c>
      <c r="C94" s="1">
        <v>237.756678</v>
      </c>
      <c r="D94" s="1">
        <v>-636.663388</v>
      </c>
      <c r="E94" s="1">
        <v>-61.582368</v>
      </c>
      <c r="F94" s="1">
        <v>-67385.99686</v>
      </c>
      <c r="G94" s="1">
        <v>-0.073478</v>
      </c>
    </row>
    <row r="95" spans="2:7" ht="12.75">
      <c r="B95" s="1">
        <v>73</v>
      </c>
      <c r="C95" s="1">
        <v>236.756678</v>
      </c>
      <c r="D95" s="1">
        <v>-636.663389</v>
      </c>
      <c r="E95" s="1">
        <v>-61.582353</v>
      </c>
      <c r="F95" s="1">
        <v>-49451.93677</v>
      </c>
      <c r="G95" s="1">
        <v>0.058223</v>
      </c>
    </row>
    <row r="96" spans="2:7" ht="12.75">
      <c r="B96" s="1">
        <v>74</v>
      </c>
      <c r="C96" s="1">
        <v>170.858259</v>
      </c>
      <c r="D96" s="1">
        <v>-636.663312</v>
      </c>
      <c r="E96" s="1">
        <v>-61.581021</v>
      </c>
      <c r="F96" s="4">
        <v>-2E-05</v>
      </c>
      <c r="G96" s="1">
        <v>-0.176332</v>
      </c>
    </row>
    <row r="97" spans="2:7" ht="12.75">
      <c r="B97" s="1">
        <v>75</v>
      </c>
      <c r="C97" s="1">
        <v>170.858259</v>
      </c>
      <c r="D97" s="1">
        <v>-636.663037</v>
      </c>
      <c r="E97" s="1">
        <v>-61.582578</v>
      </c>
      <c r="F97" s="4">
        <v>-2E-05</v>
      </c>
      <c r="G97" s="1">
        <v>-0.176332</v>
      </c>
    </row>
    <row r="98" spans="2:7" ht="12.75">
      <c r="B98" s="1">
        <v>76</v>
      </c>
      <c r="C98" s="1">
        <v>170.858901</v>
      </c>
      <c r="D98" s="1">
        <v>-631.007166</v>
      </c>
      <c r="E98" s="1">
        <v>-93.65774</v>
      </c>
      <c r="F98" s="4">
        <v>-2E-05</v>
      </c>
      <c r="G98" s="1">
        <v>-0.176332</v>
      </c>
    </row>
    <row r="99" spans="2:7" ht="12.75">
      <c r="B99" s="1">
        <v>77</v>
      </c>
      <c r="C99" s="1">
        <v>170.860083</v>
      </c>
      <c r="D99" s="1">
        <v>-620.587965</v>
      </c>
      <c r="E99" s="1">
        <v>-152.746351</v>
      </c>
      <c r="F99" s="4">
        <v>-2E-05</v>
      </c>
      <c r="G99" s="1">
        <v>-0.176332</v>
      </c>
    </row>
    <row r="100" spans="2:7" ht="12.75">
      <c r="B100" s="1">
        <v>78</v>
      </c>
      <c r="C100" s="1">
        <v>170.860083</v>
      </c>
      <c r="D100" s="1">
        <v>-620.587965</v>
      </c>
      <c r="E100" s="1">
        <v>-152.74635</v>
      </c>
      <c r="F100" s="4">
        <v>-2.08E-05</v>
      </c>
      <c r="G100" s="1">
        <v>0.577349</v>
      </c>
    </row>
    <row r="101" spans="2:7" ht="12.75">
      <c r="B101" s="1">
        <v>79</v>
      </c>
      <c r="C101" s="1">
        <v>170.860083</v>
      </c>
      <c r="D101" s="1">
        <v>-620.587965</v>
      </c>
      <c r="E101" s="1">
        <v>-152.746351</v>
      </c>
      <c r="F101" s="4">
        <v>-2.08E-05</v>
      </c>
      <c r="G101" s="1">
        <v>0.577349</v>
      </c>
    </row>
    <row r="102" spans="2:7" ht="12.75">
      <c r="B102" s="1">
        <v>80</v>
      </c>
      <c r="C102" s="1">
        <v>170.860083</v>
      </c>
      <c r="D102" s="1">
        <v>-620.588064</v>
      </c>
      <c r="E102" s="1">
        <v>-152.746521</v>
      </c>
      <c r="F102" s="4">
        <v>-2.08E-05</v>
      </c>
      <c r="G102" s="1">
        <v>0.577349</v>
      </c>
    </row>
    <row r="103" spans="2:7" ht="12.75">
      <c r="B103" s="1">
        <v>81</v>
      </c>
      <c r="C103" s="1">
        <v>170.857352</v>
      </c>
      <c r="D103" s="1">
        <v>-544.598115</v>
      </c>
      <c r="E103" s="1">
        <v>-21.12771</v>
      </c>
      <c r="F103" s="4">
        <v>2.08E-05</v>
      </c>
      <c r="G103" s="1">
        <v>-0.577349</v>
      </c>
    </row>
    <row r="104" spans="2:7" ht="12.75">
      <c r="B104" s="1">
        <v>82</v>
      </c>
      <c r="C104" s="1">
        <v>170.857352</v>
      </c>
      <c r="D104" s="1">
        <v>-544.59822</v>
      </c>
      <c r="E104" s="1">
        <v>-21.127529</v>
      </c>
      <c r="F104" s="4">
        <v>2.08E-05</v>
      </c>
      <c r="G104" s="1">
        <v>-0.577349</v>
      </c>
    </row>
    <row r="105" spans="2:7" ht="12.75">
      <c r="B105" s="1">
        <v>83</v>
      </c>
      <c r="C105" s="1">
        <v>170.856633</v>
      </c>
      <c r="D105" s="1">
        <v>-524.598261</v>
      </c>
      <c r="E105" s="1">
        <v>-55.768568</v>
      </c>
      <c r="F105" s="4">
        <v>2.08E-05</v>
      </c>
      <c r="G105" s="1">
        <v>-0.577349</v>
      </c>
    </row>
    <row r="106" spans="2:7" ht="12.75">
      <c r="B106" s="1">
        <v>84</v>
      </c>
      <c r="C106" s="1">
        <v>170.854239</v>
      </c>
      <c r="D106" s="1">
        <v>-457.998377</v>
      </c>
      <c r="E106" s="1">
        <v>-171.123268</v>
      </c>
      <c r="F106" s="4">
        <v>1.49E-07</v>
      </c>
      <c r="G106" s="4">
        <v>-2.43E-06</v>
      </c>
    </row>
    <row r="107" spans="2:7" ht="12.75">
      <c r="B107" s="1">
        <v>85</v>
      </c>
      <c r="C107" s="1">
        <v>170.854239</v>
      </c>
      <c r="D107" s="1">
        <v>-457.998377</v>
      </c>
      <c r="E107" s="1">
        <v>-171.12331</v>
      </c>
      <c r="F107" s="4">
        <v>1.49E-07</v>
      </c>
      <c r="G107" s="4">
        <v>-2.43E-06</v>
      </c>
    </row>
    <row r="108" spans="2:7" ht="12.75">
      <c r="B108" s="1">
        <v>86</v>
      </c>
      <c r="C108" s="1">
        <v>170.854261</v>
      </c>
      <c r="D108" s="1">
        <v>-457.998742</v>
      </c>
      <c r="E108" s="1">
        <v>-21.12331</v>
      </c>
      <c r="F108" s="4">
        <v>1.49E-07</v>
      </c>
      <c r="G108" s="4">
        <v>-2.43E-06</v>
      </c>
    </row>
    <row r="109" spans="2:7" ht="12.75">
      <c r="B109" s="1">
        <v>87</v>
      </c>
      <c r="C109" s="1">
        <v>170.854258</v>
      </c>
      <c r="D109" s="1">
        <v>-457.998681</v>
      </c>
      <c r="E109" s="1">
        <v>-46.123457</v>
      </c>
      <c r="F109" s="1">
        <v>-0.061174</v>
      </c>
      <c r="G109" s="4">
        <v>-411000</v>
      </c>
    </row>
    <row r="110" spans="2:7" ht="12.75">
      <c r="B110" s="1">
        <v>88</v>
      </c>
      <c r="C110" s="1">
        <v>170.854258</v>
      </c>
      <c r="D110" s="1">
        <v>-457.998533</v>
      </c>
      <c r="E110" s="1">
        <v>-46.123457</v>
      </c>
      <c r="F110" s="1">
        <v>-0.061174</v>
      </c>
      <c r="G110" s="4">
        <v>-411000</v>
      </c>
    </row>
    <row r="111" spans="2:7" ht="12.75">
      <c r="B111" s="1">
        <v>89</v>
      </c>
      <c r="C111" s="1">
        <v>170.854261</v>
      </c>
      <c r="D111" s="1">
        <v>-432.998533</v>
      </c>
      <c r="E111" s="1">
        <v>-46.123518</v>
      </c>
      <c r="F111" s="1">
        <v>-0.061174</v>
      </c>
      <c r="G111" s="4">
        <v>-411000</v>
      </c>
    </row>
    <row r="112" spans="2:7" ht="12.75">
      <c r="B112" s="1">
        <v>90</v>
      </c>
      <c r="C112" s="1">
        <v>170.854265</v>
      </c>
      <c r="D112" s="1">
        <v>-407.998264</v>
      </c>
      <c r="E112" s="1">
        <v>-46.123579</v>
      </c>
      <c r="F112" s="4">
        <v>-1.49E-07</v>
      </c>
      <c r="G112" s="4">
        <v>-2.43E-06</v>
      </c>
    </row>
    <row r="113" spans="2:7" ht="12.75">
      <c r="B113" s="1">
        <v>91</v>
      </c>
      <c r="C113" s="1">
        <v>170.854265</v>
      </c>
      <c r="D113" s="1">
        <v>-407.998264</v>
      </c>
      <c r="E113" s="1">
        <v>-46.12331</v>
      </c>
      <c r="F113" s="4">
        <v>-1.49E-07</v>
      </c>
      <c r="G113" s="4">
        <v>-2.43E-06</v>
      </c>
    </row>
    <row r="114" spans="2:7" ht="12.75">
      <c r="B114" s="1">
        <v>92</v>
      </c>
      <c r="C114" s="1">
        <v>170.854261</v>
      </c>
      <c r="D114" s="1">
        <v>-407.998325</v>
      </c>
      <c r="E114" s="1">
        <v>-21.12331</v>
      </c>
      <c r="F114" s="4">
        <v>-1.49E-07</v>
      </c>
      <c r="G114" s="4">
        <v>-2.43E-06</v>
      </c>
    </row>
    <row r="115" spans="2:7" ht="12.75">
      <c r="B115" s="1">
        <v>93</v>
      </c>
      <c r="C115" s="1">
        <v>170.854284</v>
      </c>
      <c r="D115" s="1">
        <v>-407.99796</v>
      </c>
      <c r="E115" s="1">
        <v>-171.123463</v>
      </c>
      <c r="F115" s="4">
        <v>2.08E-05</v>
      </c>
      <c r="G115" s="1">
        <v>0.577347</v>
      </c>
    </row>
    <row r="116" spans="2:7" ht="12.75">
      <c r="B116" s="1">
        <v>94</v>
      </c>
      <c r="C116" s="1">
        <v>170.854284</v>
      </c>
      <c r="D116" s="1">
        <v>-407.998037</v>
      </c>
      <c r="E116" s="1">
        <v>-171.123596</v>
      </c>
      <c r="F116" s="4">
        <v>2.08E-05</v>
      </c>
      <c r="G116" s="1">
        <v>0.577347</v>
      </c>
    </row>
    <row r="117" spans="2:7" ht="12.75">
      <c r="B117" s="1">
        <v>95</v>
      </c>
      <c r="C117" s="1">
        <v>170.856678</v>
      </c>
      <c r="D117" s="1">
        <v>-341.398284</v>
      </c>
      <c r="E117" s="1">
        <v>-55.76887</v>
      </c>
      <c r="F117" s="4">
        <v>2.08E-05</v>
      </c>
      <c r="G117" s="1">
        <v>0.577347</v>
      </c>
    </row>
    <row r="118" spans="2:7" ht="12.75">
      <c r="B118" s="1">
        <v>96</v>
      </c>
      <c r="C118" s="1">
        <v>170.857397</v>
      </c>
      <c r="D118" s="1">
        <v>-321.398358</v>
      </c>
      <c r="E118" s="1">
        <v>-21.127811</v>
      </c>
      <c r="F118" s="4">
        <v>2.08E-05</v>
      </c>
      <c r="G118" s="1">
        <v>0.577347</v>
      </c>
    </row>
    <row r="119" spans="2:7" ht="12.75">
      <c r="B119" s="1">
        <v>97</v>
      </c>
      <c r="C119" s="1">
        <v>170.860517</v>
      </c>
      <c r="D119" s="1">
        <v>-234.578711</v>
      </c>
      <c r="E119" s="1">
        <v>129.248973</v>
      </c>
      <c r="F119" s="4">
        <v>2.08E-05</v>
      </c>
      <c r="G119" s="1">
        <v>0.577347</v>
      </c>
    </row>
    <row r="120" spans="2:7" ht="12.75">
      <c r="B120" s="1">
        <v>98</v>
      </c>
      <c r="C120" s="1">
        <v>170.860517</v>
      </c>
      <c r="D120" s="1">
        <v>-234.578711</v>
      </c>
      <c r="E120" s="1">
        <v>129.248973</v>
      </c>
      <c r="F120" s="4">
        <v>1.79E-05</v>
      </c>
      <c r="G120" s="1">
        <v>-0.176326</v>
      </c>
    </row>
    <row r="121" spans="2:7" ht="12.75">
      <c r="B121" s="1">
        <v>99</v>
      </c>
      <c r="C121" s="1">
        <v>170.860517</v>
      </c>
      <c r="D121" s="1">
        <v>-234.578711</v>
      </c>
      <c r="E121" s="1">
        <v>129.248973</v>
      </c>
      <c r="F121" s="4">
        <v>1.79E-05</v>
      </c>
      <c r="G121" s="1">
        <v>-0.176326</v>
      </c>
    </row>
    <row r="122" spans="2:7" ht="12.75">
      <c r="B122" s="1" t="s">
        <v>543</v>
      </c>
      <c r="C122" s="1">
        <v>170.860517</v>
      </c>
      <c r="D122" s="1">
        <v>-234.5787</v>
      </c>
      <c r="E122" s="1">
        <v>129.248912</v>
      </c>
      <c r="F122" s="4">
        <v>1.79E-05</v>
      </c>
      <c r="G122" s="1">
        <v>-0.176326</v>
      </c>
    </row>
    <row r="123" spans="2:7" ht="12.75">
      <c r="B123" s="1" t="s">
        <v>543</v>
      </c>
      <c r="C123" s="1">
        <v>170.85951</v>
      </c>
      <c r="D123" s="1">
        <v>-224.680814</v>
      </c>
      <c r="E123" s="1">
        <v>73.114859</v>
      </c>
      <c r="F123" s="4">
        <v>1.79E-05</v>
      </c>
      <c r="G123" s="1">
        <v>-0.176326</v>
      </c>
    </row>
    <row r="124" spans="2:7" ht="12.75">
      <c r="B124" s="1" t="s">
        <v>543</v>
      </c>
      <c r="C124" s="1">
        <v>170.858972</v>
      </c>
      <c r="D124" s="1">
        <v>-219.396733</v>
      </c>
      <c r="E124" s="1">
        <v>43.147154</v>
      </c>
      <c r="F124" s="4">
        <v>1.79E-05</v>
      </c>
      <c r="G124" s="1">
        <v>-0.176326</v>
      </c>
    </row>
    <row r="125" spans="2:7" ht="12.75">
      <c r="B125" s="1" t="s">
        <v>543</v>
      </c>
      <c r="C125" s="1">
        <v>170.85951</v>
      </c>
      <c r="D125" s="1">
        <v>-224.680814</v>
      </c>
      <c r="E125" s="1">
        <v>73.114859</v>
      </c>
      <c r="F125" s="4">
        <v>1.79E-05</v>
      </c>
      <c r="G125" s="1">
        <v>-0.176326</v>
      </c>
    </row>
    <row r="126" spans="2:7" ht="12.75">
      <c r="B126" s="1" t="s">
        <v>543</v>
      </c>
      <c r="C126" s="1">
        <v>170.860517</v>
      </c>
      <c r="D126" s="1">
        <v>-234.578711</v>
      </c>
      <c r="E126" s="1">
        <v>129.248973</v>
      </c>
      <c r="F126" s="4">
        <v>1.79E-05</v>
      </c>
      <c r="G126" s="1">
        <v>-0.176326</v>
      </c>
    </row>
    <row r="127" spans="2:7" ht="12.75">
      <c r="B127" s="1" t="s">
        <v>543</v>
      </c>
      <c r="C127" s="1">
        <v>170.860517</v>
      </c>
      <c r="D127" s="1">
        <v>-234.578711</v>
      </c>
      <c r="E127" s="1">
        <v>129.248973</v>
      </c>
      <c r="F127" s="4">
        <v>2.08E-05</v>
      </c>
      <c r="G127" s="1">
        <v>0.577347</v>
      </c>
    </row>
    <row r="128" spans="2:7" ht="12.75">
      <c r="B128" s="1" t="s">
        <v>543</v>
      </c>
      <c r="C128" s="1">
        <v>170.860517</v>
      </c>
      <c r="D128" s="1">
        <v>-234.578711</v>
      </c>
      <c r="E128" s="1">
        <v>129.248973</v>
      </c>
      <c r="F128" s="4">
        <v>2.08E-05</v>
      </c>
      <c r="G128" s="1">
        <v>0.577347</v>
      </c>
    </row>
    <row r="129" spans="2:7" ht="12.75">
      <c r="B129" s="1" t="s">
        <v>543</v>
      </c>
      <c r="C129" s="1">
        <v>170.860517</v>
      </c>
      <c r="D129" s="1">
        <v>-234.57868</v>
      </c>
      <c r="E129" s="1">
        <v>129.249026</v>
      </c>
      <c r="F129" s="4">
        <v>2.08E-05</v>
      </c>
      <c r="G129" s="1">
        <v>0.577347</v>
      </c>
    </row>
    <row r="130" spans="2:7" ht="12.75">
      <c r="B130" s="1" t="s">
        <v>543</v>
      </c>
      <c r="C130" s="1">
        <v>170.857397</v>
      </c>
      <c r="D130" s="1">
        <v>-321.3983</v>
      </c>
      <c r="E130" s="1">
        <v>-21.12771</v>
      </c>
      <c r="F130" s="4">
        <v>-2.08E-05</v>
      </c>
      <c r="G130" s="1">
        <v>-0.577347</v>
      </c>
    </row>
    <row r="131" spans="2:7" ht="12.75">
      <c r="B131" s="1" t="s">
        <v>543</v>
      </c>
      <c r="C131" s="1">
        <v>170.857397</v>
      </c>
      <c r="D131" s="1">
        <v>-321.398358</v>
      </c>
      <c r="E131" s="1">
        <v>-21.127608</v>
      </c>
      <c r="F131" s="4">
        <v>-2.08E-05</v>
      </c>
      <c r="G131" s="1">
        <v>-0.577347</v>
      </c>
    </row>
    <row r="132" spans="2:7" ht="12.75">
      <c r="B132" s="1" t="s">
        <v>543</v>
      </c>
      <c r="C132" s="1">
        <v>170.856678</v>
      </c>
      <c r="D132" s="1">
        <v>-341.398284</v>
      </c>
      <c r="E132" s="1">
        <v>13.513451</v>
      </c>
      <c r="F132" s="4">
        <v>-2.08E-05</v>
      </c>
      <c r="G132" s="1">
        <v>-0.577347</v>
      </c>
    </row>
    <row r="133" spans="2:7" ht="12.75">
      <c r="B133" s="1" t="s">
        <v>543</v>
      </c>
      <c r="C133" s="1">
        <v>170.854284</v>
      </c>
      <c r="D133" s="1">
        <v>-407.99796</v>
      </c>
      <c r="E133" s="1">
        <v>128.868044</v>
      </c>
      <c r="F133" s="4">
        <v>1.49E-07</v>
      </c>
      <c r="G133" s="4">
        <v>2.43E-06</v>
      </c>
    </row>
    <row r="134" spans="2:7" ht="12.75">
      <c r="B134" s="1" t="s">
        <v>543</v>
      </c>
      <c r="C134" s="1">
        <v>170.854284</v>
      </c>
      <c r="D134" s="1">
        <v>-407.99796</v>
      </c>
      <c r="E134" s="1">
        <v>128.86789</v>
      </c>
      <c r="F134" s="4">
        <v>1.49E-07</v>
      </c>
      <c r="G134" s="4">
        <v>2.43E-06</v>
      </c>
    </row>
    <row r="135" spans="2:7" ht="12.75">
      <c r="B135" s="1" t="s">
        <v>543</v>
      </c>
      <c r="C135" s="1">
        <v>170.854261</v>
      </c>
      <c r="D135" s="1">
        <v>-407.998325</v>
      </c>
      <c r="E135" s="1">
        <v>-21.13211</v>
      </c>
      <c r="F135" s="4">
        <v>1.49E-07</v>
      </c>
      <c r="G135" s="4">
        <v>2.43E-06</v>
      </c>
    </row>
    <row r="136" spans="2:7" ht="12.75">
      <c r="B136" s="1" t="s">
        <v>543</v>
      </c>
      <c r="C136" s="1">
        <v>170.854265</v>
      </c>
      <c r="D136" s="1">
        <v>-407.998264</v>
      </c>
      <c r="E136" s="1">
        <v>3.868159</v>
      </c>
      <c r="F136" s="1">
        <v>0.061174</v>
      </c>
      <c r="G136" s="4">
        <v>411000</v>
      </c>
    </row>
    <row r="137" spans="2:7" ht="12.75">
      <c r="B137" s="1" t="s">
        <v>543</v>
      </c>
      <c r="C137" s="1">
        <v>170.854265</v>
      </c>
      <c r="D137" s="1">
        <v>-407.998533</v>
      </c>
      <c r="E137" s="1">
        <v>3.868159</v>
      </c>
      <c r="F137" s="1">
        <v>0.061174</v>
      </c>
      <c r="G137" s="4">
        <v>411000</v>
      </c>
    </row>
    <row r="138" spans="2:7" ht="12.75">
      <c r="B138" s="1" t="s">
        <v>543</v>
      </c>
      <c r="C138" s="1">
        <v>170.854261</v>
      </c>
      <c r="D138" s="1">
        <v>-432.998533</v>
      </c>
      <c r="E138" s="1">
        <v>3.868098</v>
      </c>
      <c r="F138" s="1">
        <v>0.061174</v>
      </c>
      <c r="G138" s="4">
        <v>411000</v>
      </c>
    </row>
    <row r="139" spans="2:7" ht="12.75">
      <c r="B139" s="1" t="s">
        <v>543</v>
      </c>
      <c r="C139" s="1">
        <v>170.854261</v>
      </c>
      <c r="D139" s="1">
        <v>-432.998533</v>
      </c>
      <c r="E139" s="1">
        <v>3.868098</v>
      </c>
      <c r="F139" s="1">
        <v>0.061174</v>
      </c>
      <c r="G139" s="4">
        <v>411000</v>
      </c>
    </row>
    <row r="140" spans="2:7" ht="12.75">
      <c r="B140" s="1" t="s">
        <v>543</v>
      </c>
      <c r="C140" s="1">
        <v>170.854258</v>
      </c>
      <c r="D140" s="1">
        <v>-457.998533</v>
      </c>
      <c r="E140" s="1">
        <v>3.868038</v>
      </c>
      <c r="F140" s="1">
        <v>0.061174</v>
      </c>
      <c r="G140" s="4">
        <v>411000</v>
      </c>
    </row>
    <row r="141" spans="2:7" ht="12.75">
      <c r="B141" s="1" t="s">
        <v>543</v>
      </c>
      <c r="C141" s="1">
        <v>170.854258</v>
      </c>
      <c r="D141" s="1">
        <v>-457.998681</v>
      </c>
      <c r="E141" s="1">
        <v>3.868038</v>
      </c>
      <c r="F141" s="4">
        <v>-1.49E-07</v>
      </c>
      <c r="G141" s="4">
        <v>2.43E-06</v>
      </c>
    </row>
    <row r="142" spans="2:7" ht="12.75">
      <c r="B142" s="1" t="s">
        <v>543</v>
      </c>
      <c r="C142" s="1">
        <v>170.854258</v>
      </c>
      <c r="D142" s="1">
        <v>-457.998681</v>
      </c>
      <c r="E142" s="1">
        <v>3.868038</v>
      </c>
      <c r="F142" s="4">
        <v>-1.49E-07</v>
      </c>
      <c r="G142" s="4">
        <v>2.43E-06</v>
      </c>
    </row>
    <row r="143" spans="2:7" ht="12.75">
      <c r="B143" s="1" t="s">
        <v>543</v>
      </c>
      <c r="C143" s="1">
        <v>170.854258</v>
      </c>
      <c r="D143" s="1">
        <v>-457.998681</v>
      </c>
      <c r="E143" s="1">
        <v>3.868038</v>
      </c>
      <c r="F143" s="4">
        <v>-1.49E-07</v>
      </c>
      <c r="G143" s="4">
        <v>2.43E-06</v>
      </c>
    </row>
    <row r="144" spans="2:7" ht="12.75">
      <c r="B144" s="1" t="s">
        <v>543</v>
      </c>
      <c r="C144" s="1">
        <v>170.854258</v>
      </c>
      <c r="D144" s="1">
        <v>-457.998681</v>
      </c>
      <c r="E144" s="1">
        <v>3.86789</v>
      </c>
      <c r="F144" s="4">
        <v>-1.49E-07</v>
      </c>
      <c r="G144" s="4">
        <v>2.43E-06</v>
      </c>
    </row>
    <row r="145" spans="2:7" ht="12.75">
      <c r="B145" s="1" t="s">
        <v>543</v>
      </c>
      <c r="C145" s="1">
        <v>170.854261</v>
      </c>
      <c r="D145" s="1">
        <v>-457.998742</v>
      </c>
      <c r="E145" s="1">
        <v>-21.13211</v>
      </c>
      <c r="F145" s="4">
        <v>-1.49E-07</v>
      </c>
      <c r="G145" s="4">
        <v>2.43E-06</v>
      </c>
    </row>
    <row r="146" spans="2:7" ht="12.75">
      <c r="B146" s="1" t="s">
        <v>543</v>
      </c>
      <c r="C146" s="1">
        <v>170.854239</v>
      </c>
      <c r="D146" s="1">
        <v>-457.998377</v>
      </c>
      <c r="E146" s="1">
        <v>128.867848</v>
      </c>
      <c r="F146" s="4">
        <v>-2.08E-05</v>
      </c>
      <c r="G146" s="1">
        <v>0.577349</v>
      </c>
    </row>
    <row r="147" spans="2:7" ht="12.75">
      <c r="B147" s="1" t="s">
        <v>543</v>
      </c>
      <c r="C147" s="1">
        <v>170.854239</v>
      </c>
      <c r="D147" s="1">
        <v>-457.998398</v>
      </c>
      <c r="E147" s="1">
        <v>128.867812</v>
      </c>
      <c r="F147" s="4">
        <v>-2.08E-05</v>
      </c>
      <c r="G147" s="1">
        <v>0.577349</v>
      </c>
    </row>
    <row r="148" spans="2:7" ht="12.75">
      <c r="B148" s="1" t="s">
        <v>543</v>
      </c>
      <c r="C148" s="1">
        <v>170.856633</v>
      </c>
      <c r="D148" s="1">
        <v>-524.598261</v>
      </c>
      <c r="E148" s="1">
        <v>13.513149</v>
      </c>
      <c r="F148" s="4">
        <v>2.08E-05</v>
      </c>
      <c r="G148" s="1">
        <v>0.577352</v>
      </c>
    </row>
    <row r="149" spans="2:7" ht="12.75">
      <c r="B149" s="1" t="s">
        <v>543</v>
      </c>
      <c r="C149" s="1">
        <v>170.856633</v>
      </c>
      <c r="D149" s="1">
        <v>-524.598261</v>
      </c>
      <c r="E149" s="1">
        <v>13.513149</v>
      </c>
      <c r="F149" s="4">
        <v>-2.08E-05</v>
      </c>
      <c r="G149" s="1">
        <v>0.577349</v>
      </c>
    </row>
    <row r="150" spans="2:7" ht="12.75">
      <c r="B150" s="1" t="s">
        <v>543</v>
      </c>
      <c r="C150" s="1">
        <v>170.857352</v>
      </c>
      <c r="D150" s="1">
        <v>-544.598115</v>
      </c>
      <c r="E150" s="1">
        <v>-21.12771</v>
      </c>
      <c r="F150" s="4">
        <v>2.08E-05</v>
      </c>
      <c r="G150" s="1">
        <v>-0.577349</v>
      </c>
    </row>
    <row r="151" spans="2:7" ht="12.75">
      <c r="B151" s="1" t="s">
        <v>543</v>
      </c>
      <c r="C151" s="1">
        <v>170.857352</v>
      </c>
      <c r="D151" s="1">
        <v>-544.59822</v>
      </c>
      <c r="E151" s="1">
        <v>-21.127529</v>
      </c>
      <c r="F151" s="4">
        <v>2.08E-05</v>
      </c>
      <c r="G151" s="1">
        <v>-0.577349</v>
      </c>
    </row>
    <row r="152" spans="2:7" ht="12.75">
      <c r="B152" s="1" t="s">
        <v>543</v>
      </c>
      <c r="C152" s="1">
        <v>170.860083</v>
      </c>
      <c r="D152" s="1">
        <v>-620.587965</v>
      </c>
      <c r="E152" s="1">
        <v>110.490931</v>
      </c>
      <c r="F152" s="4">
        <v>2.08E-05</v>
      </c>
      <c r="G152" s="1">
        <v>-0.577349</v>
      </c>
    </row>
    <row r="153" spans="2:7" ht="12.75">
      <c r="B153" s="1" t="s">
        <v>543</v>
      </c>
      <c r="C153" s="1">
        <v>170.860083</v>
      </c>
      <c r="D153" s="1">
        <v>-620.587965</v>
      </c>
      <c r="E153" s="1">
        <v>110.490931</v>
      </c>
      <c r="F153" s="4">
        <v>2E-05</v>
      </c>
      <c r="G153" s="1">
        <v>0.176332</v>
      </c>
    </row>
    <row r="154" spans="2:7" ht="12.75">
      <c r="B154" s="1" t="s">
        <v>543</v>
      </c>
      <c r="C154" s="1">
        <v>170.860083</v>
      </c>
      <c r="D154" s="1">
        <v>-620.587965</v>
      </c>
      <c r="E154" s="1">
        <v>110.490931</v>
      </c>
      <c r="F154" s="4">
        <v>2E-05</v>
      </c>
      <c r="G154" s="1">
        <v>0.176332</v>
      </c>
    </row>
    <row r="155" spans="2:7" ht="12.75">
      <c r="B155" s="1" t="s">
        <v>543</v>
      </c>
      <c r="C155" s="1">
        <v>170.860083</v>
      </c>
      <c r="D155" s="1">
        <v>-620.587921</v>
      </c>
      <c r="E155" s="1">
        <v>110.491185</v>
      </c>
      <c r="F155" s="4">
        <v>2E-05</v>
      </c>
      <c r="G155" s="1">
        <v>0.176332</v>
      </c>
    </row>
    <row r="156" spans="2:7" ht="12.75">
      <c r="B156" s="1" t="s">
        <v>543</v>
      </c>
      <c r="C156" s="1">
        <v>170.860083</v>
      </c>
      <c r="D156" s="1">
        <v>-620.588</v>
      </c>
      <c r="E156" s="1">
        <v>110.490737</v>
      </c>
      <c r="F156" s="4">
        <v>2E-05</v>
      </c>
      <c r="G156" s="1">
        <v>0.176332</v>
      </c>
    </row>
    <row r="157" spans="2:7" ht="12.75">
      <c r="B157" s="1" t="s">
        <v>543</v>
      </c>
      <c r="C157" s="1">
        <v>170.858901</v>
      </c>
      <c r="D157" s="1">
        <v>-631.007166</v>
      </c>
      <c r="E157" s="1">
        <v>51.40232</v>
      </c>
      <c r="F157" s="4">
        <v>2E-05</v>
      </c>
      <c r="G157" s="1">
        <v>0.176332</v>
      </c>
    </row>
    <row r="158" spans="2:7" ht="12.75">
      <c r="B158" s="1" t="s">
        <v>543</v>
      </c>
      <c r="C158" s="1">
        <v>170.858259</v>
      </c>
      <c r="D158" s="1">
        <v>-636.663312</v>
      </c>
      <c r="E158" s="1">
        <v>19.325602</v>
      </c>
      <c r="F158" s="1">
        <v>49451.93677</v>
      </c>
      <c r="G158" s="1">
        <v>-0.058223</v>
      </c>
    </row>
    <row r="159" spans="2:7" ht="12.75">
      <c r="B159" s="1" t="s">
        <v>543</v>
      </c>
      <c r="C159" s="1">
        <v>170.856678</v>
      </c>
      <c r="D159" s="1">
        <v>-636.663312</v>
      </c>
      <c r="E159" s="1">
        <v>19.325602</v>
      </c>
      <c r="F159" s="1">
        <v>49451.93677</v>
      </c>
      <c r="G159" s="1">
        <v>-0.058223</v>
      </c>
    </row>
    <row r="160" spans="2:7" ht="12.75">
      <c r="B160" s="1" t="s">
        <v>543</v>
      </c>
      <c r="C160" s="1">
        <v>246.956678</v>
      </c>
      <c r="D160" s="1">
        <v>-636.663401</v>
      </c>
      <c r="E160" s="1">
        <v>19.32714</v>
      </c>
      <c r="F160" s="1">
        <v>75484.44655</v>
      </c>
      <c r="G160" s="1">
        <v>0.072666</v>
      </c>
    </row>
    <row r="161" spans="2:7" ht="12.75">
      <c r="B161" s="1" t="s">
        <v>543</v>
      </c>
      <c r="C161" s="1">
        <v>247.956678</v>
      </c>
      <c r="D161" s="1">
        <v>-636.6634</v>
      </c>
      <c r="E161" s="1">
        <v>19.327154</v>
      </c>
      <c r="F161" s="1">
        <v>48526.9867</v>
      </c>
      <c r="G161" s="1">
        <v>0.072667</v>
      </c>
    </row>
    <row r="162" spans="2:5" ht="12.75">
      <c r="B162" s="1" t="s">
        <v>543</v>
      </c>
      <c r="C162" s="1">
        <v>250.856678</v>
      </c>
      <c r="D162" s="1">
        <v>-636.663396</v>
      </c>
      <c r="E162" s="1">
        <v>19.327213</v>
      </c>
    </row>
    <row r="163" ht="12.75">
      <c r="B163" s="1" t="s">
        <v>28</v>
      </c>
    </row>
    <row r="164" spans="2:4" ht="12.75">
      <c r="B164" s="1" t="s">
        <v>28</v>
      </c>
      <c r="C164" s="1" t="s">
        <v>572</v>
      </c>
      <c r="D164" s="1" t="s">
        <v>632</v>
      </c>
    </row>
    <row r="165" spans="2:5" ht="12.75">
      <c r="B165" s="1" t="s">
        <v>574</v>
      </c>
      <c r="C165" s="1" t="s">
        <v>575</v>
      </c>
      <c r="D165" s="1" t="s">
        <v>576</v>
      </c>
      <c r="E165" s="1" t="s">
        <v>577</v>
      </c>
    </row>
    <row r="166" ht="12.75">
      <c r="B166" s="1" t="s">
        <v>632</v>
      </c>
    </row>
    <row r="167" spans="2:9" ht="12.75">
      <c r="B167" s="1" t="s">
        <v>578</v>
      </c>
      <c r="C167" s="1">
        <v>210700</v>
      </c>
      <c r="D167" s="1" t="s">
        <v>491</v>
      </c>
      <c r="E167" s="1" t="s">
        <v>579</v>
      </c>
      <c r="F167" s="1" t="s">
        <v>580</v>
      </c>
      <c r="G167" s="1" t="s">
        <v>581</v>
      </c>
      <c r="H167" s="1" t="s">
        <v>582</v>
      </c>
      <c r="I167" s="1" t="s">
        <v>583</v>
      </c>
    </row>
    <row r="168" spans="2:6" ht="12.75">
      <c r="B168" s="1" t="s">
        <v>584</v>
      </c>
      <c r="C168" s="1" t="s">
        <v>585</v>
      </c>
      <c r="D168" s="1" t="s">
        <v>586</v>
      </c>
      <c r="E168" s="1" t="s">
        <v>587</v>
      </c>
      <c r="F168" s="1" t="s">
        <v>588</v>
      </c>
    </row>
    <row r="169" spans="2:10" ht="12.75">
      <c r="B169" s="1" t="s">
        <v>584</v>
      </c>
      <c r="C169" s="1">
        <v>2</v>
      </c>
      <c r="D169" s="1">
        <v>161000</v>
      </c>
      <c r="E169" s="1" t="s">
        <v>491</v>
      </c>
      <c r="F169" s="1" t="s">
        <v>579</v>
      </c>
      <c r="G169" s="1" t="s">
        <v>633</v>
      </c>
      <c r="H169" s="1" t="s">
        <v>634</v>
      </c>
      <c r="I169" s="1" t="s">
        <v>581</v>
      </c>
      <c r="J169" s="1" t="s">
        <v>582</v>
      </c>
    </row>
    <row r="170" spans="2:10" ht="12.75">
      <c r="B170" s="1" t="s">
        <v>584</v>
      </c>
      <c r="C170" s="1">
        <v>3</v>
      </c>
      <c r="D170" s="1">
        <v>211201</v>
      </c>
      <c r="E170" s="1" t="s">
        <v>635</v>
      </c>
      <c r="F170" s="1" t="s">
        <v>636</v>
      </c>
      <c r="G170" s="1" t="s">
        <v>594</v>
      </c>
      <c r="H170" s="1" t="s">
        <v>599</v>
      </c>
      <c r="I170" s="1" t="s">
        <v>284</v>
      </c>
      <c r="J170" s="1" t="s">
        <v>600</v>
      </c>
    </row>
    <row r="173" spans="2:3" ht="12.75">
      <c r="B173" s="1" t="s">
        <v>602</v>
      </c>
      <c r="C173" s="1" t="s">
        <v>637</v>
      </c>
    </row>
    <row r="175" spans="2:4" ht="12.75">
      <c r="B175" s="1" t="s">
        <v>604</v>
      </c>
      <c r="C175" s="1" t="s">
        <v>605</v>
      </c>
      <c r="D175" s="1" t="s">
        <v>606</v>
      </c>
    </row>
    <row r="176" spans="2:4" ht="12.75">
      <c r="B176" s="1" t="s">
        <v>607</v>
      </c>
      <c r="C176" s="1" t="s">
        <v>608</v>
      </c>
      <c r="D176" s="1">
        <v>9</v>
      </c>
    </row>
    <row r="178" spans="2:9" ht="12.75">
      <c r="B178" s="1" t="s">
        <v>638</v>
      </c>
      <c r="C178" s="1" t="s">
        <v>639</v>
      </c>
      <c r="D178" s="1" t="s">
        <v>640</v>
      </c>
      <c r="E178" s="1" t="s">
        <v>519</v>
      </c>
      <c r="F178" s="1" t="s">
        <v>641</v>
      </c>
      <c r="G178" s="1" t="s">
        <v>642</v>
      </c>
      <c r="H178" s="1" t="s">
        <v>519</v>
      </c>
      <c r="I178" s="1" t="s">
        <v>232</v>
      </c>
    </row>
    <row r="179" spans="2:3" ht="12.75">
      <c r="B179" s="1" t="s">
        <v>673</v>
      </c>
      <c r="C179" s="1" t="s">
        <v>582</v>
      </c>
    </row>
    <row r="180" spans="2:4" ht="12.75">
      <c r="B180" s="1" t="s">
        <v>640</v>
      </c>
      <c r="C180" s="1" t="s">
        <v>608</v>
      </c>
      <c r="D180" s="1">
        <v>0</v>
      </c>
    </row>
    <row r="181" spans="2:4" ht="12.75">
      <c r="B181" s="1" t="s">
        <v>642</v>
      </c>
      <c r="C181" s="1" t="s">
        <v>608</v>
      </c>
      <c r="D181" s="1">
        <v>0</v>
      </c>
    </row>
    <row r="182" ht="12.75">
      <c r="B182" s="1" t="s">
        <v>643</v>
      </c>
    </row>
    <row r="183" spans="2:4" ht="12.75">
      <c r="B183" s="1" t="s">
        <v>645</v>
      </c>
      <c r="C183" s="1" t="s">
        <v>608</v>
      </c>
      <c r="D183" s="1">
        <v>-0.2026</v>
      </c>
    </row>
    <row r="184" spans="2:4" ht="12.75">
      <c r="B184" s="1" t="s">
        <v>646</v>
      </c>
      <c r="C184" s="1" t="s">
        <v>608</v>
      </c>
      <c r="D184" s="1">
        <v>-2.2892</v>
      </c>
    </row>
    <row r="185" ht="12.75">
      <c r="B185" s="1" t="s">
        <v>644</v>
      </c>
    </row>
    <row r="186" spans="2:4" ht="12.75">
      <c r="B186" s="1" t="s">
        <v>645</v>
      </c>
      <c r="C186" s="1" t="s">
        <v>608</v>
      </c>
      <c r="D186" s="1">
        <v>-0.1464</v>
      </c>
    </row>
    <row r="187" spans="2:4" ht="12.75">
      <c r="B187" s="1" t="s">
        <v>645</v>
      </c>
      <c r="C187" s="1" t="s">
        <v>608</v>
      </c>
      <c r="D187" s="1">
        <v>-0.1574</v>
      </c>
    </row>
    <row r="188" spans="2:4" ht="12.75">
      <c r="B188" s="1" t="s">
        <v>645</v>
      </c>
      <c r="C188" s="1" t="s">
        <v>608</v>
      </c>
      <c r="D188" s="1">
        <v>0.1572</v>
      </c>
    </row>
    <row r="189" spans="2:4" ht="12.75">
      <c r="B189" s="1" t="s">
        <v>646</v>
      </c>
      <c r="C189" s="1" t="s">
        <v>608</v>
      </c>
      <c r="D189" s="1">
        <v>-2.4815</v>
      </c>
    </row>
    <row r="190" spans="2:4" ht="12.75">
      <c r="B190" s="1" t="s">
        <v>646</v>
      </c>
      <c r="C190" s="1" t="s">
        <v>608</v>
      </c>
      <c r="D190" s="1">
        <v>-2.4791</v>
      </c>
    </row>
    <row r="192" spans="2:3" ht="12.75">
      <c r="B192" s="1" t="s">
        <v>609</v>
      </c>
      <c r="C192" s="1" t="s">
        <v>610</v>
      </c>
    </row>
    <row r="194" ht="12.75">
      <c r="B194" s="1" t="s">
        <v>611</v>
      </c>
    </row>
    <row r="195" ht="12.75">
      <c r="B195" s="1" t="s">
        <v>612</v>
      </c>
    </row>
    <row r="197" spans="2:9" ht="12.75">
      <c r="B197" s="1" t="s">
        <v>647</v>
      </c>
      <c r="C197" s="1">
        <v>2</v>
      </c>
      <c r="D197" s="1" t="s">
        <v>640</v>
      </c>
      <c r="E197" s="1">
        <v>0</v>
      </c>
      <c r="F197" s="1">
        <v>0</v>
      </c>
      <c r="G197" s="1" t="s">
        <v>605</v>
      </c>
      <c r="H197" s="1" t="s">
        <v>642</v>
      </c>
      <c r="I197" s="1" t="s">
        <v>607</v>
      </c>
    </row>
    <row r="199" spans="2:3" ht="12.75">
      <c r="B199" s="1" t="s">
        <v>617</v>
      </c>
      <c r="C199" s="1" t="s">
        <v>648</v>
      </c>
    </row>
    <row r="201" spans="2:3" ht="12.75">
      <c r="B201" s="1" t="s">
        <v>619</v>
      </c>
      <c r="C201" s="1" t="s">
        <v>89</v>
      </c>
    </row>
    <row r="202" ht="12.75">
      <c r="B202" s="1" t="s">
        <v>620</v>
      </c>
    </row>
    <row r="203" ht="12.75">
      <c r="B203" s="1" t="s">
        <v>28</v>
      </c>
    </row>
    <row r="204" spans="2:4" ht="12.75">
      <c r="B204" s="1" t="s">
        <v>28</v>
      </c>
      <c r="C204" s="1" t="s">
        <v>74</v>
      </c>
      <c r="D204" s="1" t="s">
        <v>75</v>
      </c>
    </row>
  </sheetData>
  <printOptions/>
  <pageMargins left="0.7874015748031497" right="0.7874015748031497" top="0.4724409448818898" bottom="0.4724409448818898" header="0.2755905511811024" footer="0.2755905511811024"/>
  <pageSetup fitToHeight="1" fitToWidth="1" horizontalDpi="600" verticalDpi="600" orientation="portrait" paperSize="9" scale="29" r:id="rId1"/>
  <headerFooter alignWithMargins="0">
    <oddHeader>&amp;L&amp;F, &amp;A&amp;R&amp;T, &amp;D</oddHeader>
    <oddFooter>&amp;CPage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1:J88"/>
  <sheetViews>
    <sheetView workbookViewId="0" topLeftCell="A1">
      <selection activeCell="A1" sqref="A1:J88"/>
    </sheetView>
  </sheetViews>
  <sheetFormatPr defaultColWidth="12" defaultRowHeight="12.75"/>
  <cols>
    <col min="1" max="16384" width="12" style="1" customWidth="1"/>
  </cols>
  <sheetData>
    <row r="1" ht="12.75">
      <c r="B1" s="1" t="s">
        <v>28</v>
      </c>
    </row>
    <row r="2" spans="2:3" ht="12.75">
      <c r="B2" s="1" t="s">
        <v>28</v>
      </c>
      <c r="C2" s="1" t="s">
        <v>29</v>
      </c>
    </row>
    <row r="4" spans="2:10" ht="12.75">
      <c r="B4" s="1" t="s">
        <v>30</v>
      </c>
      <c r="C4" s="1" t="s">
        <v>31</v>
      </c>
      <c r="D4" s="1" t="s">
        <v>32</v>
      </c>
      <c r="E4" s="1" t="s">
        <v>33</v>
      </c>
      <c r="F4" s="1" t="s">
        <v>34</v>
      </c>
      <c r="G4" s="1" t="s">
        <v>33</v>
      </c>
      <c r="H4" s="1" t="s">
        <v>35</v>
      </c>
      <c r="I4" s="1" t="s">
        <v>36</v>
      </c>
      <c r="J4" s="1" t="s">
        <v>344</v>
      </c>
    </row>
    <row r="6" spans="2:3" ht="12.75">
      <c r="B6" s="1" t="s">
        <v>28</v>
      </c>
      <c r="C6" s="1" t="s">
        <v>37</v>
      </c>
    </row>
    <row r="7" spans="2:3" ht="12.75">
      <c r="B7" s="2">
        <v>36907</v>
      </c>
      <c r="C7" s="3">
        <v>0.7617476851851852</v>
      </c>
    </row>
    <row r="8" ht="12.75">
      <c r="B8" s="1" t="s">
        <v>28</v>
      </c>
    </row>
    <row r="9" spans="2:10" ht="12.75">
      <c r="B9" s="1" t="s">
        <v>28</v>
      </c>
      <c r="C9" s="1" t="s">
        <v>38</v>
      </c>
      <c r="D9" s="1">
        <v>2</v>
      </c>
      <c r="E9" s="1" t="s">
        <v>76</v>
      </c>
      <c r="F9" s="1">
        <v>0</v>
      </c>
      <c r="G9" s="1">
        <v>0</v>
      </c>
      <c r="H9" s="1" t="s">
        <v>39</v>
      </c>
      <c r="I9" s="1" t="s">
        <v>77</v>
      </c>
      <c r="J9" s="1" t="s">
        <v>40</v>
      </c>
    </row>
    <row r="10" spans="2:8" ht="12.75">
      <c r="B10" s="1" t="s">
        <v>33</v>
      </c>
      <c r="C10" s="1" t="s">
        <v>35</v>
      </c>
      <c r="D10" s="1" t="s">
        <v>36</v>
      </c>
      <c r="E10" s="1" t="s">
        <v>344</v>
      </c>
      <c r="F10" s="1">
        <v>238</v>
      </c>
      <c r="G10" s="2">
        <v>36907</v>
      </c>
      <c r="H10" s="3">
        <v>0.7617476851851852</v>
      </c>
    </row>
    <row r="12" spans="2:4" ht="12.75">
      <c r="B12" s="1" t="s">
        <v>41</v>
      </c>
      <c r="C12" s="1" t="s">
        <v>42</v>
      </c>
      <c r="D12" s="1" t="s">
        <v>43</v>
      </c>
    </row>
    <row r="14" spans="2:10" ht="12.75">
      <c r="B14" s="1" t="s">
        <v>44</v>
      </c>
      <c r="C14" s="1" t="s">
        <v>45</v>
      </c>
      <c r="D14" s="1" t="s">
        <v>46</v>
      </c>
      <c r="E14" s="1" t="s">
        <v>47</v>
      </c>
      <c r="F14" s="1" t="s">
        <v>48</v>
      </c>
      <c r="G14" s="1" t="s">
        <v>49</v>
      </c>
      <c r="H14" s="1" t="s">
        <v>50</v>
      </c>
      <c r="I14" s="1" t="s">
        <v>51</v>
      </c>
      <c r="J14" s="1">
        <v>9</v>
      </c>
    </row>
    <row r="16" spans="2:8" ht="12.75">
      <c r="B16" s="1" t="s">
        <v>52</v>
      </c>
      <c r="C16" s="1" t="s">
        <v>53</v>
      </c>
      <c r="D16" s="1" t="s">
        <v>54</v>
      </c>
      <c r="E16" s="1" t="s">
        <v>55</v>
      </c>
      <c r="F16" s="1">
        <v>-0.2026</v>
      </c>
      <c r="G16" s="1" t="s">
        <v>56</v>
      </c>
      <c r="H16" s="1">
        <v>-2.2892</v>
      </c>
    </row>
    <row r="17" spans="2:9" ht="12.75">
      <c r="B17" s="1" t="s">
        <v>52</v>
      </c>
      <c r="C17" s="1" t="s">
        <v>57</v>
      </c>
      <c r="D17" s="1" t="s">
        <v>58</v>
      </c>
      <c r="E17" s="1" t="s">
        <v>59</v>
      </c>
      <c r="F17" s="1" t="s">
        <v>60</v>
      </c>
      <c r="G17" s="1">
        <v>0</v>
      </c>
      <c r="H17" s="1" t="s">
        <v>61</v>
      </c>
      <c r="I17" s="1">
        <v>0</v>
      </c>
    </row>
    <row r="18" spans="2:4" ht="12.75">
      <c r="B18" s="1" t="s">
        <v>62</v>
      </c>
      <c r="C18" s="1" t="s">
        <v>63</v>
      </c>
      <c r="D18" s="1">
        <v>2</v>
      </c>
    </row>
    <row r="20" spans="2:9" ht="12.75">
      <c r="B20" s="1" t="s">
        <v>44</v>
      </c>
      <c r="C20" s="1" t="s">
        <v>64</v>
      </c>
      <c r="D20" s="1" t="s">
        <v>65</v>
      </c>
      <c r="E20" s="1" t="s">
        <v>66</v>
      </c>
      <c r="F20" s="1" t="s">
        <v>67</v>
      </c>
      <c r="G20" s="1" t="s">
        <v>68</v>
      </c>
      <c r="H20" s="1" t="s">
        <v>66</v>
      </c>
      <c r="I20" s="1" t="s">
        <v>67</v>
      </c>
    </row>
    <row r="21" spans="2:7" ht="12.75">
      <c r="B21" s="1" t="s">
        <v>39</v>
      </c>
      <c r="C21" s="1" t="s">
        <v>14</v>
      </c>
      <c r="D21" s="1" t="s">
        <v>69</v>
      </c>
      <c r="E21" s="1" t="s">
        <v>70</v>
      </c>
      <c r="F21" s="1" t="s">
        <v>71</v>
      </c>
      <c r="G21" s="1" t="s">
        <v>72</v>
      </c>
    </row>
    <row r="22" ht="12.75">
      <c r="B22" s="1" t="s">
        <v>73</v>
      </c>
    </row>
    <row r="23" spans="2:7" ht="12.75">
      <c r="B23" s="1">
        <v>1</v>
      </c>
      <c r="C23" s="1">
        <v>11.427556</v>
      </c>
      <c r="D23" s="1">
        <v>55.801639</v>
      </c>
      <c r="E23" s="1">
        <v>-1050.074415</v>
      </c>
      <c r="F23" s="1">
        <v>-0.000666</v>
      </c>
      <c r="G23" s="1">
        <v>-0.003252</v>
      </c>
    </row>
    <row r="24" spans="2:7" ht="12.75">
      <c r="B24" s="1">
        <v>2</v>
      </c>
      <c r="C24" s="1">
        <v>-0.406484</v>
      </c>
      <c r="D24" s="1">
        <v>-1.984891</v>
      </c>
      <c r="E24" s="1">
        <v>16720.938</v>
      </c>
      <c r="F24" s="1">
        <v>-0.000666</v>
      </c>
      <c r="G24" s="1">
        <v>-0.003252</v>
      </c>
    </row>
    <row r="25" spans="2:7" ht="12.75">
      <c r="B25" s="1">
        <v>3</v>
      </c>
      <c r="C25" s="1">
        <v>-0.406484</v>
      </c>
      <c r="D25" s="1">
        <v>-1.984891</v>
      </c>
      <c r="E25" s="1">
        <v>16720.938</v>
      </c>
      <c r="F25" s="1">
        <v>-0.000666</v>
      </c>
      <c r="G25" s="1">
        <v>-0.003252</v>
      </c>
    </row>
    <row r="26" spans="2:7" ht="12.75">
      <c r="B26" s="1">
        <v>4</v>
      </c>
      <c r="C26" s="1">
        <v>11.427614</v>
      </c>
      <c r="D26" s="1">
        <v>55.801923</v>
      </c>
      <c r="E26" s="1">
        <v>-1050.162</v>
      </c>
      <c r="F26" s="1">
        <v>-0.000666</v>
      </c>
      <c r="G26" s="1">
        <v>-0.003252</v>
      </c>
    </row>
    <row r="27" spans="2:7" ht="12.75">
      <c r="B27" s="1">
        <v>5</v>
      </c>
      <c r="C27" s="1">
        <v>12.75945</v>
      </c>
      <c r="D27" s="1">
        <v>62.305383</v>
      </c>
      <c r="E27" s="1">
        <v>-3050.162</v>
      </c>
      <c r="F27" s="1">
        <v>-0.000666</v>
      </c>
      <c r="G27" s="1">
        <v>-0.003252</v>
      </c>
    </row>
    <row r="28" spans="2:7" ht="12.75">
      <c r="B28" s="1">
        <v>6</v>
      </c>
      <c r="C28" s="1">
        <v>11.427923</v>
      </c>
      <c r="D28" s="1">
        <v>55.803431</v>
      </c>
      <c r="E28" s="1">
        <v>-1050.625517</v>
      </c>
      <c r="F28" s="1">
        <v>0.007199</v>
      </c>
      <c r="G28" s="1">
        <v>0.035152</v>
      </c>
    </row>
    <row r="29" spans="2:7" ht="12.75">
      <c r="B29" s="1">
        <v>7</v>
      </c>
      <c r="C29" s="4">
        <v>3.55E-15</v>
      </c>
      <c r="D29" s="4">
        <v>1.42E-14</v>
      </c>
      <c r="E29" s="1">
        <v>-2638.131</v>
      </c>
      <c r="F29" s="1">
        <v>-0.007199</v>
      </c>
      <c r="G29" s="1">
        <v>-0.035152</v>
      </c>
    </row>
    <row r="30" spans="2:7" ht="12.75">
      <c r="B30" s="1">
        <v>8</v>
      </c>
      <c r="C30" s="1">
        <v>-11.431259</v>
      </c>
      <c r="D30" s="1">
        <v>-55.819724</v>
      </c>
      <c r="E30" s="1">
        <v>-1050.162</v>
      </c>
      <c r="F30" s="1">
        <v>-0.007199</v>
      </c>
      <c r="G30" s="1">
        <v>-0.035152</v>
      </c>
    </row>
    <row r="31" spans="2:7" ht="12.75">
      <c r="B31" s="1">
        <v>9</v>
      </c>
      <c r="C31" s="1">
        <v>-18.784562</v>
      </c>
      <c r="D31" s="1">
        <v>-91.72647</v>
      </c>
      <c r="E31" s="1">
        <v>-28.68079</v>
      </c>
      <c r="F31" s="1">
        <v>-0.007199</v>
      </c>
      <c r="G31" s="1">
        <v>-0.035152</v>
      </c>
    </row>
    <row r="32" spans="2:7" ht="12.75">
      <c r="B32" s="1">
        <v>10</v>
      </c>
      <c r="C32" s="1">
        <v>-18.990607</v>
      </c>
      <c r="D32" s="1">
        <v>-92.732603</v>
      </c>
      <c r="E32" s="1">
        <v>-0.058139</v>
      </c>
      <c r="F32" s="1">
        <v>-0.007199</v>
      </c>
      <c r="G32" s="1">
        <v>-0.035152</v>
      </c>
    </row>
    <row r="33" spans="2:7" ht="12.75">
      <c r="B33" s="1">
        <v>11</v>
      </c>
      <c r="C33" s="1">
        <v>-19.500476</v>
      </c>
      <c r="D33" s="1">
        <v>-95.222336</v>
      </c>
      <c r="E33" s="1">
        <v>70.770194</v>
      </c>
      <c r="F33" s="1">
        <v>-0.105458</v>
      </c>
      <c r="G33" s="1">
        <v>0.56735</v>
      </c>
    </row>
    <row r="34" spans="2:7" ht="12.75">
      <c r="B34" s="1">
        <v>12</v>
      </c>
      <c r="C34" s="1">
        <v>-19.586621</v>
      </c>
      <c r="D34" s="1">
        <v>-94.75889</v>
      </c>
      <c r="E34" s="1">
        <v>71.587053</v>
      </c>
      <c r="F34" s="1">
        <v>-0.105458</v>
      </c>
      <c r="G34" s="1">
        <v>0.56735</v>
      </c>
    </row>
    <row r="35" spans="2:7" ht="12.75">
      <c r="B35" s="1">
        <v>13</v>
      </c>
      <c r="C35" s="1">
        <v>-0.002619</v>
      </c>
      <c r="D35" s="1">
        <v>-200.11827</v>
      </c>
      <c r="E35" s="1">
        <v>-114.117194</v>
      </c>
      <c r="F35" s="1">
        <v>-0.105458</v>
      </c>
      <c r="G35" s="1">
        <v>0.56735</v>
      </c>
    </row>
    <row r="36" spans="2:7" ht="12.75">
      <c r="B36" s="1">
        <v>14</v>
      </c>
      <c r="C36" s="1">
        <v>-0.002619</v>
      </c>
      <c r="D36" s="1">
        <v>-200.11827</v>
      </c>
      <c r="E36" s="1">
        <v>-114.117194</v>
      </c>
      <c r="F36" s="1">
        <v>0.092284</v>
      </c>
      <c r="G36" s="1">
        <v>0.110726</v>
      </c>
    </row>
    <row r="37" spans="2:7" ht="12.75">
      <c r="B37" s="1">
        <v>15</v>
      </c>
      <c r="C37" s="1">
        <v>-0.002619</v>
      </c>
      <c r="D37" s="1">
        <v>-200.11827</v>
      </c>
      <c r="E37" s="1">
        <v>-114.117194</v>
      </c>
      <c r="F37" s="1">
        <v>0.092284</v>
      </c>
      <c r="G37" s="1">
        <v>0.110726</v>
      </c>
    </row>
    <row r="38" spans="2:7" ht="12.75">
      <c r="B38" s="1">
        <v>16</v>
      </c>
      <c r="C38" s="1">
        <v>-0.003126</v>
      </c>
      <c r="D38" s="1">
        <v>-200.118878</v>
      </c>
      <c r="E38" s="1">
        <v>-114.122683</v>
      </c>
      <c r="F38" s="1">
        <v>0.092284</v>
      </c>
      <c r="G38" s="1">
        <v>0.110726</v>
      </c>
    </row>
    <row r="39" spans="2:7" ht="12.75">
      <c r="B39" s="1">
        <v>17</v>
      </c>
      <c r="C39" s="1">
        <v>18.0297</v>
      </c>
      <c r="D39" s="1">
        <v>-178.482563</v>
      </c>
      <c r="E39" s="1">
        <v>81.282101</v>
      </c>
      <c r="F39" s="1">
        <v>0.040144</v>
      </c>
      <c r="G39" s="1">
        <v>0.455486</v>
      </c>
    </row>
    <row r="40" spans="2:7" ht="12.75">
      <c r="B40" s="1">
        <v>18</v>
      </c>
      <c r="C40" s="1">
        <v>18.042666</v>
      </c>
      <c r="D40" s="1">
        <v>-178.335449</v>
      </c>
      <c r="E40" s="1">
        <v>81.605082</v>
      </c>
      <c r="F40" s="1">
        <v>0.040144</v>
      </c>
      <c r="G40" s="1">
        <v>0.455486</v>
      </c>
    </row>
    <row r="41" spans="2:7" ht="12.75">
      <c r="B41" s="1">
        <v>19</v>
      </c>
      <c r="C41" s="1">
        <v>10.994499</v>
      </c>
      <c r="D41" s="1">
        <v>-258.30578</v>
      </c>
      <c r="E41" s="1">
        <v>-93.966358</v>
      </c>
      <c r="F41" s="1">
        <v>0.040144</v>
      </c>
      <c r="G41" s="1">
        <v>0.455486</v>
      </c>
    </row>
    <row r="42" spans="2:7" ht="12.75">
      <c r="B42" s="1">
        <v>20</v>
      </c>
      <c r="C42" s="1">
        <v>10.973657</v>
      </c>
      <c r="D42" s="1">
        <v>-258.542261</v>
      </c>
      <c r="E42" s="1">
        <v>-94.485541</v>
      </c>
      <c r="F42" s="1">
        <v>0.022597</v>
      </c>
      <c r="G42" s="1">
        <v>-0.094222</v>
      </c>
    </row>
    <row r="43" spans="2:7" ht="12.75">
      <c r="B43" s="1">
        <v>21</v>
      </c>
      <c r="C43" s="1">
        <v>10.983347</v>
      </c>
      <c r="D43" s="1">
        <v>-258.582662</v>
      </c>
      <c r="E43" s="1">
        <v>-94.056751</v>
      </c>
      <c r="F43" s="1">
        <v>0.022597</v>
      </c>
      <c r="G43" s="1">
        <v>-0.094222</v>
      </c>
    </row>
    <row r="44" spans="2:7" ht="12.75">
      <c r="B44" s="1">
        <v>22</v>
      </c>
      <c r="C44" s="1">
        <v>15.521875</v>
      </c>
      <c r="D44" s="1">
        <v>-277.506548</v>
      </c>
      <c r="E44" s="1">
        <v>106.787347</v>
      </c>
      <c r="F44" s="1">
        <v>0.08344</v>
      </c>
      <c r="G44" s="1">
        <v>0.82359</v>
      </c>
    </row>
    <row r="45" spans="2:7" ht="12.75">
      <c r="B45" s="1">
        <v>23</v>
      </c>
      <c r="C45" s="1">
        <v>15.490912</v>
      </c>
      <c r="D45" s="1">
        <v>-277.812169</v>
      </c>
      <c r="E45" s="1">
        <v>106.416262</v>
      </c>
      <c r="F45" s="1">
        <v>0.08344</v>
      </c>
      <c r="G45" s="1">
        <v>0.82359</v>
      </c>
    </row>
    <row r="46" spans="2:7" ht="12.75">
      <c r="B46" s="1">
        <v>24</v>
      </c>
      <c r="C46" s="1">
        <v>3.403216</v>
      </c>
      <c r="D46" s="1">
        <v>-397.122812</v>
      </c>
      <c r="E46" s="1">
        <v>-38.450296</v>
      </c>
      <c r="F46" s="1">
        <v>-0.069661</v>
      </c>
      <c r="G46" s="1">
        <v>-1.088966</v>
      </c>
    </row>
    <row r="47" spans="2:7" ht="12.75">
      <c r="B47" s="1">
        <v>25</v>
      </c>
      <c r="C47" s="1">
        <v>3.386021</v>
      </c>
      <c r="D47" s="1">
        <v>-397.391603</v>
      </c>
      <c r="E47" s="1">
        <v>-38.203465</v>
      </c>
      <c r="F47" s="1">
        <v>-0.069661</v>
      </c>
      <c r="G47" s="1">
        <v>-1.088966</v>
      </c>
    </row>
    <row r="48" spans="2:7" ht="12.75">
      <c r="B48" s="1">
        <v>26</v>
      </c>
      <c r="C48" s="1">
        <v>0.087781</v>
      </c>
      <c r="D48" s="1">
        <v>-448.950976</v>
      </c>
      <c r="E48" s="1">
        <v>9.143638</v>
      </c>
      <c r="F48" s="1">
        <v>-0.069661</v>
      </c>
      <c r="G48" s="1">
        <v>-1.088966</v>
      </c>
    </row>
    <row r="49" spans="2:7" ht="12.75">
      <c r="B49" s="1">
        <v>27</v>
      </c>
      <c r="C49" s="1">
        <v>-6.04551</v>
      </c>
      <c r="D49" s="1">
        <v>-544.828974</v>
      </c>
      <c r="E49" s="1">
        <v>97.188646</v>
      </c>
      <c r="F49" s="1">
        <v>0.014846</v>
      </c>
      <c r="G49" s="1">
        <v>-0.124712</v>
      </c>
    </row>
    <row r="50" spans="2:7" ht="12.75">
      <c r="B50" s="1">
        <v>28</v>
      </c>
      <c r="C50" s="1">
        <v>-6.041554</v>
      </c>
      <c r="D50" s="1">
        <v>-544.862206</v>
      </c>
      <c r="E50" s="1">
        <v>97.455115</v>
      </c>
      <c r="F50" s="1">
        <v>0.014846</v>
      </c>
      <c r="G50" s="1">
        <v>-0.124712</v>
      </c>
    </row>
    <row r="51" spans="2:7" ht="12.75">
      <c r="B51" s="1">
        <v>29</v>
      </c>
      <c r="C51" s="1">
        <v>-10.755735</v>
      </c>
      <c r="D51" s="1">
        <v>-505.261042</v>
      </c>
      <c r="E51" s="1">
        <v>-220.085158</v>
      </c>
      <c r="F51" s="1">
        <v>0.014846</v>
      </c>
      <c r="G51" s="1">
        <v>-0.124712</v>
      </c>
    </row>
    <row r="52" spans="2:7" ht="12.75">
      <c r="B52" s="1">
        <v>30</v>
      </c>
      <c r="C52" s="1">
        <v>-10.755735</v>
      </c>
      <c r="D52" s="1">
        <v>-505.261042</v>
      </c>
      <c r="E52" s="1">
        <v>-220.085158</v>
      </c>
      <c r="F52" s="1">
        <v>0.014846</v>
      </c>
      <c r="G52" s="1">
        <v>-0.124712</v>
      </c>
    </row>
    <row r="53" spans="2:7" ht="12.75">
      <c r="B53" s="1">
        <v>31</v>
      </c>
      <c r="C53" s="1">
        <v>-8.033705</v>
      </c>
      <c r="D53" s="1">
        <v>-528.127272</v>
      </c>
      <c r="E53" s="1">
        <v>-36.733246</v>
      </c>
      <c r="F53" s="1">
        <v>-0.020212</v>
      </c>
      <c r="G53" s="1">
        <v>-0.939339</v>
      </c>
    </row>
    <row r="54" spans="2:7" ht="12.75">
      <c r="B54" s="1">
        <v>32</v>
      </c>
      <c r="C54" s="1">
        <v>-7.956233</v>
      </c>
      <c r="D54" s="1">
        <v>-524.526814</v>
      </c>
      <c r="E54" s="1">
        <v>-40.566217</v>
      </c>
      <c r="F54" s="1">
        <v>-0.020212</v>
      </c>
      <c r="G54" s="1">
        <v>-0.939339</v>
      </c>
    </row>
    <row r="55" spans="2:7" ht="12.75">
      <c r="B55" s="1">
        <v>33</v>
      </c>
      <c r="C55" s="1">
        <v>-8.111177</v>
      </c>
      <c r="D55" s="1">
        <v>-531.727731</v>
      </c>
      <c r="E55" s="1">
        <v>-32.900276</v>
      </c>
      <c r="F55" s="1">
        <v>-0.020212</v>
      </c>
      <c r="G55" s="1">
        <v>-0.939339</v>
      </c>
    </row>
    <row r="56" spans="2:7" ht="12.75">
      <c r="B56" s="1">
        <v>34</v>
      </c>
      <c r="C56" s="1">
        <v>-8.033705</v>
      </c>
      <c r="D56" s="1">
        <v>-528.127272</v>
      </c>
      <c r="E56" s="1">
        <v>-36.733246</v>
      </c>
      <c r="F56" s="1">
        <v>-0.020212</v>
      </c>
      <c r="G56" s="1">
        <v>-0.939339</v>
      </c>
    </row>
    <row r="57" spans="2:7" ht="12.75">
      <c r="B57" s="1">
        <v>35</v>
      </c>
      <c r="C57" s="1">
        <v>-8.030349</v>
      </c>
      <c r="D57" s="1">
        <v>-527.971302</v>
      </c>
      <c r="E57" s="1">
        <v>-36.89929</v>
      </c>
      <c r="F57" s="1">
        <v>-0.020212</v>
      </c>
      <c r="G57" s="1">
        <v>-0.939339</v>
      </c>
    </row>
    <row r="58" spans="2:7" ht="12.75">
      <c r="B58" s="1">
        <v>36</v>
      </c>
      <c r="C58" s="1">
        <v>-10.168951</v>
      </c>
      <c r="D58" s="1">
        <v>-627.36187</v>
      </c>
      <c r="E58" s="1">
        <v>68.909762</v>
      </c>
      <c r="F58" s="1">
        <v>-98.506828</v>
      </c>
      <c r="G58" s="1">
        <v>-1.055117</v>
      </c>
    </row>
    <row r="59" spans="2:7" ht="12.75">
      <c r="B59" s="1">
        <v>37</v>
      </c>
      <c r="C59" s="4">
        <v>3.59E-09</v>
      </c>
      <c r="D59" s="1">
        <v>-627.252949</v>
      </c>
      <c r="E59" s="1">
        <v>68.806531</v>
      </c>
      <c r="F59" s="1">
        <v>-98.506828</v>
      </c>
      <c r="G59" s="1">
        <v>-1.055117</v>
      </c>
    </row>
    <row r="60" spans="2:7" ht="12.75">
      <c r="B60" s="1">
        <v>38</v>
      </c>
      <c r="C60" s="1">
        <v>-50</v>
      </c>
      <c r="D60" s="1">
        <v>-627.788504</v>
      </c>
      <c r="E60" s="1">
        <v>69.31411</v>
      </c>
      <c r="F60" s="1">
        <v>-98.506828</v>
      </c>
      <c r="G60" s="1">
        <v>-1.055117</v>
      </c>
    </row>
    <row r="61" spans="2:7" ht="12.75">
      <c r="B61" s="1">
        <v>39</v>
      </c>
      <c r="C61" s="1">
        <v>-34.14</v>
      </c>
      <c r="D61" s="1">
        <v>-627.618626</v>
      </c>
      <c r="E61" s="1">
        <v>69.153106</v>
      </c>
      <c r="F61" s="1">
        <v>-98.506828</v>
      </c>
      <c r="G61" s="1">
        <v>-1.055117</v>
      </c>
    </row>
    <row r="62" spans="2:7" ht="12.75">
      <c r="B62" s="1">
        <v>40</v>
      </c>
      <c r="C62" s="1">
        <v>-29.14</v>
      </c>
      <c r="D62" s="1">
        <v>-627.565071</v>
      </c>
      <c r="E62" s="1">
        <v>69.102348</v>
      </c>
      <c r="F62" s="1">
        <v>-98.506828</v>
      </c>
      <c r="G62" s="1">
        <v>-1.055117</v>
      </c>
    </row>
    <row r="63" spans="2:7" ht="12.75">
      <c r="B63" s="1">
        <v>41</v>
      </c>
      <c r="C63" s="1">
        <v>-34.14</v>
      </c>
      <c r="D63" s="1">
        <v>-627.618626</v>
      </c>
      <c r="E63" s="1">
        <v>69.153106</v>
      </c>
      <c r="F63" s="1">
        <v>-98.506828</v>
      </c>
      <c r="G63" s="1">
        <v>-1.055117</v>
      </c>
    </row>
    <row r="64" spans="2:7" ht="12.75">
      <c r="B64" s="1">
        <v>42</v>
      </c>
      <c r="C64" s="1">
        <v>-10.168951</v>
      </c>
      <c r="D64" s="1">
        <v>-627.36187</v>
      </c>
      <c r="E64" s="1">
        <v>68.909762</v>
      </c>
      <c r="F64" s="1">
        <v>-0.020212</v>
      </c>
      <c r="G64" s="1">
        <v>-0.939339</v>
      </c>
    </row>
    <row r="65" spans="2:7" ht="12.75">
      <c r="B65" s="1">
        <v>43</v>
      </c>
      <c r="C65" s="1">
        <v>-10.019144</v>
      </c>
      <c r="D65" s="1">
        <v>-620.399652</v>
      </c>
      <c r="E65" s="1">
        <v>61.497935</v>
      </c>
      <c r="F65" s="1">
        <v>-0.020212</v>
      </c>
      <c r="G65" s="1">
        <v>-0.939339</v>
      </c>
    </row>
    <row r="66" spans="2:7" ht="12.75">
      <c r="B66" s="1">
        <v>44</v>
      </c>
      <c r="C66" s="1">
        <v>-8.033705</v>
      </c>
      <c r="D66" s="1">
        <v>-528.127272</v>
      </c>
      <c r="E66" s="1">
        <v>-36.733246</v>
      </c>
      <c r="F66" s="1">
        <v>0.014846</v>
      </c>
      <c r="G66" s="1">
        <v>-0.124712</v>
      </c>
    </row>
    <row r="67" spans="2:7" ht="12.75">
      <c r="B67" s="1">
        <v>45</v>
      </c>
      <c r="C67" s="1">
        <v>-8.030349</v>
      </c>
      <c r="D67" s="1">
        <v>-528.155465</v>
      </c>
      <c r="E67" s="1">
        <v>-36.507188</v>
      </c>
      <c r="F67" s="1">
        <v>0.014846</v>
      </c>
      <c r="G67" s="1">
        <v>-0.124712</v>
      </c>
    </row>
    <row r="68" spans="2:7" ht="12.75">
      <c r="B68" s="1">
        <v>46</v>
      </c>
      <c r="C68" s="1">
        <v>-9.569267</v>
      </c>
      <c r="D68" s="1">
        <v>-515.227885</v>
      </c>
      <c r="E68" s="1">
        <v>-140.166446</v>
      </c>
      <c r="F68" s="1">
        <v>-1.237908</v>
      </c>
      <c r="G68" s="1">
        <v>-0.126994</v>
      </c>
    </row>
    <row r="69" spans="2:7" ht="12.75">
      <c r="B69" s="1">
        <v>47</v>
      </c>
      <c r="C69" s="1">
        <v>-5.261249</v>
      </c>
      <c r="D69" s="1">
        <v>-514.785935</v>
      </c>
      <c r="E69" s="1">
        <v>-143.646527</v>
      </c>
      <c r="F69" s="1">
        <v>-1.237908</v>
      </c>
      <c r="G69" s="1">
        <v>-0.126994</v>
      </c>
    </row>
    <row r="70" spans="2:7" ht="12.75">
      <c r="B70" s="1">
        <v>48</v>
      </c>
      <c r="C70" s="1">
        <v>-13.877286</v>
      </c>
      <c r="D70" s="1">
        <v>-515.669835</v>
      </c>
      <c r="E70" s="1">
        <v>-136.686366</v>
      </c>
      <c r="F70" s="1">
        <v>-1.237908</v>
      </c>
      <c r="G70" s="1">
        <v>-0.126994</v>
      </c>
    </row>
    <row r="71" spans="2:7" ht="12.75">
      <c r="B71" s="1">
        <v>49</v>
      </c>
      <c r="C71" s="1">
        <v>-9.569267</v>
      </c>
      <c r="D71" s="1">
        <v>-515.227885</v>
      </c>
      <c r="E71" s="1">
        <v>-140.166446</v>
      </c>
      <c r="F71" s="1">
        <v>-1.237908</v>
      </c>
      <c r="G71" s="1">
        <v>-0.126994</v>
      </c>
    </row>
    <row r="72" spans="2:7" ht="12.75">
      <c r="B72" s="1">
        <v>50</v>
      </c>
      <c r="C72" s="1">
        <v>-6.108752</v>
      </c>
      <c r="D72" s="1">
        <v>-514.872878</v>
      </c>
      <c r="E72" s="1">
        <v>-142.961902</v>
      </c>
      <c r="F72" s="1">
        <v>-1.237908</v>
      </c>
      <c r="G72" s="1">
        <v>-0.126994</v>
      </c>
    </row>
    <row r="73" spans="2:7" ht="12.75">
      <c r="B73" s="1">
        <v>51</v>
      </c>
      <c r="C73" s="1">
        <v>-72.027431</v>
      </c>
      <c r="D73" s="1">
        <v>-521.635326</v>
      </c>
      <c r="E73" s="1">
        <v>-89.711826</v>
      </c>
      <c r="F73" s="1">
        <v>-1.237908</v>
      </c>
      <c r="G73" s="1">
        <v>-0.126994</v>
      </c>
    </row>
    <row r="74" spans="2:7" ht="12.75">
      <c r="B74" s="1">
        <v>52</v>
      </c>
      <c r="C74" s="1">
        <v>-65.435563</v>
      </c>
      <c r="D74" s="1">
        <v>-520.959081</v>
      </c>
      <c r="E74" s="1">
        <v>-95.036834</v>
      </c>
      <c r="F74" s="1">
        <v>-1.237908</v>
      </c>
      <c r="G74" s="1">
        <v>-0.126994</v>
      </c>
    </row>
    <row r="75" spans="2:7" ht="12.75">
      <c r="B75" s="1">
        <v>53</v>
      </c>
      <c r="C75" s="1">
        <v>-61.557994</v>
      </c>
      <c r="D75" s="1">
        <v>-520.56129</v>
      </c>
      <c r="E75" s="1">
        <v>-98.169191</v>
      </c>
      <c r="F75" s="1">
        <v>-1.237908</v>
      </c>
      <c r="G75" s="1">
        <v>-0.126994</v>
      </c>
    </row>
    <row r="76" spans="2:7" ht="12.75">
      <c r="B76" s="1">
        <v>54</v>
      </c>
      <c r="C76" s="1">
        <v>-65.435563</v>
      </c>
      <c r="D76" s="1">
        <v>-520.959081</v>
      </c>
      <c r="E76" s="1">
        <v>-95.036834</v>
      </c>
      <c r="F76" s="1">
        <v>-1.237908</v>
      </c>
      <c r="G76" s="1">
        <v>-0.126994</v>
      </c>
    </row>
    <row r="77" spans="2:7" ht="12.75">
      <c r="B77" s="1">
        <v>55</v>
      </c>
      <c r="C77" s="1">
        <v>-9.569267</v>
      </c>
      <c r="D77" s="1">
        <v>-515.227885</v>
      </c>
      <c r="E77" s="1">
        <v>-140.166446</v>
      </c>
      <c r="F77" s="1">
        <v>0.014846</v>
      </c>
      <c r="G77" s="1">
        <v>-0.124712</v>
      </c>
    </row>
    <row r="78" spans="2:7" ht="12.75">
      <c r="B78" s="1">
        <v>56</v>
      </c>
      <c r="C78" s="1">
        <v>-9.503531</v>
      </c>
      <c r="D78" s="1">
        <v>-515.780101</v>
      </c>
      <c r="E78" s="1">
        <v>-135.738523</v>
      </c>
      <c r="F78" s="1">
        <v>0.014846</v>
      </c>
      <c r="G78" s="1">
        <v>-0.124712</v>
      </c>
    </row>
    <row r="79" spans="2:7" ht="12.75">
      <c r="B79" s="1">
        <v>57</v>
      </c>
      <c r="C79" s="1">
        <v>-10.137949</v>
      </c>
      <c r="D79" s="1">
        <v>-510.45071</v>
      </c>
      <c r="E79" s="1">
        <v>-178.47202</v>
      </c>
      <c r="F79" s="1">
        <v>-17.433341</v>
      </c>
      <c r="G79" s="1">
        <v>1183.380263</v>
      </c>
    </row>
    <row r="80" spans="2:7" ht="12.75">
      <c r="B80" s="1">
        <v>58</v>
      </c>
      <c r="C80" s="1">
        <v>-10.151731</v>
      </c>
      <c r="D80" s="1">
        <v>-509.515229</v>
      </c>
      <c r="E80" s="1">
        <v>-178.471229</v>
      </c>
      <c r="F80" s="1">
        <v>-17.433341</v>
      </c>
      <c r="G80" s="1">
        <v>1183.380263</v>
      </c>
    </row>
    <row r="81" spans="2:7" ht="12.75">
      <c r="B81" s="1">
        <v>59</v>
      </c>
      <c r="C81" s="1">
        <v>-10.755735</v>
      </c>
      <c r="D81" s="1">
        <v>-468.515228</v>
      </c>
      <c r="E81" s="1">
        <v>-178.436583</v>
      </c>
      <c r="F81" s="1">
        <v>-17.433341</v>
      </c>
      <c r="G81" s="1">
        <v>1183.380263</v>
      </c>
    </row>
    <row r="82" spans="2:7" ht="12.75">
      <c r="B82" s="1">
        <v>60</v>
      </c>
      <c r="C82" s="1">
        <v>-10.623296</v>
      </c>
      <c r="D82" s="1">
        <v>-477.505228</v>
      </c>
      <c r="E82" s="1">
        <v>-178.44418</v>
      </c>
      <c r="F82" s="1">
        <v>-17.433341</v>
      </c>
      <c r="G82" s="1">
        <v>1183.380263</v>
      </c>
    </row>
    <row r="83" spans="2:7" ht="12.75">
      <c r="B83" s="1">
        <v>61</v>
      </c>
      <c r="C83" s="1">
        <v>-10.549637</v>
      </c>
      <c r="D83" s="1">
        <v>-482.505228</v>
      </c>
      <c r="E83" s="1">
        <v>-178.448405</v>
      </c>
      <c r="F83" s="1">
        <v>-17.433341</v>
      </c>
      <c r="G83" s="1">
        <v>1183.380263</v>
      </c>
    </row>
    <row r="84" spans="2:7" ht="12.75">
      <c r="B84" s="1">
        <v>62</v>
      </c>
      <c r="C84" s="1">
        <v>-10.623296</v>
      </c>
      <c r="D84" s="1">
        <v>-477.505228</v>
      </c>
      <c r="E84" s="1">
        <v>-178.44418</v>
      </c>
      <c r="F84" s="1">
        <v>-17.433341</v>
      </c>
      <c r="G84" s="1">
        <v>1183.380263</v>
      </c>
    </row>
    <row r="85" spans="2:5" ht="12.75">
      <c r="B85" s="1">
        <v>63</v>
      </c>
      <c r="C85" s="1">
        <v>-10.755735</v>
      </c>
      <c r="D85" s="1">
        <v>-468.515228</v>
      </c>
      <c r="E85" s="1">
        <v>-178.436583</v>
      </c>
    </row>
    <row r="86" ht="12.75">
      <c r="B86" s="1" t="s">
        <v>28</v>
      </c>
    </row>
    <row r="87" ht="12.75">
      <c r="B87" s="1" t="s">
        <v>28</v>
      </c>
    </row>
    <row r="88" spans="2:4" ht="12.75">
      <c r="B88" s="1" t="s">
        <v>28</v>
      </c>
      <c r="C88" s="1" t="s">
        <v>74</v>
      </c>
      <c r="D88" s="1" t="s">
        <v>75</v>
      </c>
    </row>
  </sheetData>
  <printOptions/>
  <pageMargins left="0.7874015748031497" right="0.7874015748031497" top="0.5118110236220472" bottom="0.5511811023622047" header="0.31496062992125984" footer="0.2362204724409449"/>
  <pageSetup fitToHeight="1" fitToWidth="1" horizontalDpi="600" verticalDpi="600" orientation="portrait" paperSize="9" scale="68" r:id="rId1"/>
  <headerFooter alignWithMargins="0">
    <oddHeader>&amp;L&amp;F, &amp;A&amp;R&amp;T, &amp;D</oddHeader>
    <oddFooter>&amp;CPage &amp;P of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1:J88"/>
  <sheetViews>
    <sheetView workbookViewId="0" topLeftCell="A1">
      <selection activeCell="A1" sqref="A1:J88"/>
    </sheetView>
  </sheetViews>
  <sheetFormatPr defaultColWidth="12" defaultRowHeight="12.75"/>
  <cols>
    <col min="1" max="16384" width="12" style="1" customWidth="1"/>
  </cols>
  <sheetData>
    <row r="1" ht="12.75">
      <c r="B1" s="1" t="s">
        <v>28</v>
      </c>
    </row>
    <row r="2" spans="2:3" ht="12.75">
      <c r="B2" s="1" t="s">
        <v>28</v>
      </c>
      <c r="C2" s="1" t="s">
        <v>29</v>
      </c>
    </row>
    <row r="4" spans="2:10" ht="12.75">
      <c r="B4" s="1" t="s">
        <v>30</v>
      </c>
      <c r="C4" s="1" t="s">
        <v>31</v>
      </c>
      <c r="D4" s="1" t="s">
        <v>32</v>
      </c>
      <c r="E4" s="1" t="s">
        <v>33</v>
      </c>
      <c r="F4" s="1" t="s">
        <v>34</v>
      </c>
      <c r="G4" s="1" t="s">
        <v>33</v>
      </c>
      <c r="H4" s="1" t="s">
        <v>35</v>
      </c>
      <c r="I4" s="1" t="s">
        <v>36</v>
      </c>
      <c r="J4" s="1" t="s">
        <v>344</v>
      </c>
    </row>
    <row r="6" spans="2:3" ht="12.75">
      <c r="B6" s="1" t="s">
        <v>28</v>
      </c>
      <c r="C6" s="1" t="s">
        <v>37</v>
      </c>
    </row>
    <row r="7" spans="2:3" ht="12.75">
      <c r="B7" s="2">
        <v>36907</v>
      </c>
      <c r="C7" s="3">
        <v>0.7790856481481482</v>
      </c>
    </row>
    <row r="8" ht="12.75">
      <c r="B8" s="1" t="s">
        <v>28</v>
      </c>
    </row>
    <row r="9" spans="2:10" ht="12.75">
      <c r="B9" s="1" t="s">
        <v>28</v>
      </c>
      <c r="C9" s="1" t="s">
        <v>38</v>
      </c>
      <c r="D9" s="1">
        <v>2</v>
      </c>
      <c r="E9" s="1" t="s">
        <v>76</v>
      </c>
      <c r="F9" s="1">
        <v>0</v>
      </c>
      <c r="G9" s="1">
        <v>0</v>
      </c>
      <c r="H9" s="1" t="s">
        <v>39</v>
      </c>
      <c r="I9" s="1" t="s">
        <v>77</v>
      </c>
      <c r="J9" s="1" t="s">
        <v>40</v>
      </c>
    </row>
    <row r="10" spans="2:8" ht="12.75">
      <c r="B10" s="1" t="s">
        <v>33</v>
      </c>
      <c r="C10" s="1" t="s">
        <v>35</v>
      </c>
      <c r="D10" s="1" t="s">
        <v>36</v>
      </c>
      <c r="E10" s="1" t="s">
        <v>344</v>
      </c>
      <c r="F10" s="1">
        <v>238</v>
      </c>
      <c r="G10" s="2">
        <v>36907</v>
      </c>
      <c r="H10" s="3">
        <v>0.7790856481481482</v>
      </c>
    </row>
    <row r="12" spans="2:4" ht="12.75">
      <c r="B12" s="1" t="s">
        <v>41</v>
      </c>
      <c r="C12" s="1" t="s">
        <v>42</v>
      </c>
      <c r="D12" s="1" t="s">
        <v>43</v>
      </c>
    </row>
    <row r="14" spans="2:10" ht="12.75">
      <c r="B14" s="1" t="s">
        <v>44</v>
      </c>
      <c r="C14" s="1" t="s">
        <v>45</v>
      </c>
      <c r="D14" s="1" t="s">
        <v>46</v>
      </c>
      <c r="E14" s="1" t="s">
        <v>47</v>
      </c>
      <c r="F14" s="1" t="s">
        <v>48</v>
      </c>
      <c r="G14" s="1" t="s">
        <v>49</v>
      </c>
      <c r="H14" s="1" t="s">
        <v>50</v>
      </c>
      <c r="I14" s="1" t="s">
        <v>51</v>
      </c>
      <c r="J14" s="1">
        <v>9</v>
      </c>
    </row>
    <row r="16" spans="2:8" ht="12.75">
      <c r="B16" s="1" t="s">
        <v>52</v>
      </c>
      <c r="C16" s="1" t="s">
        <v>53</v>
      </c>
      <c r="D16" s="1" t="s">
        <v>54</v>
      </c>
      <c r="E16" s="1" t="s">
        <v>55</v>
      </c>
      <c r="F16" s="1">
        <v>0.1572</v>
      </c>
      <c r="G16" s="1" t="s">
        <v>56</v>
      </c>
      <c r="H16" s="1">
        <v>-2.4791</v>
      </c>
    </row>
    <row r="17" spans="2:9" ht="12.75">
      <c r="B17" s="1" t="s">
        <v>52</v>
      </c>
      <c r="C17" s="1" t="s">
        <v>57</v>
      </c>
      <c r="D17" s="1" t="s">
        <v>58</v>
      </c>
      <c r="E17" s="1" t="s">
        <v>59</v>
      </c>
      <c r="F17" s="1" t="s">
        <v>60</v>
      </c>
      <c r="G17" s="1">
        <v>0</v>
      </c>
      <c r="H17" s="1" t="s">
        <v>61</v>
      </c>
      <c r="I17" s="1">
        <v>0</v>
      </c>
    </row>
    <row r="18" spans="2:4" ht="12.75">
      <c r="B18" s="1" t="s">
        <v>62</v>
      </c>
      <c r="C18" s="1" t="s">
        <v>63</v>
      </c>
      <c r="D18" s="1">
        <v>2</v>
      </c>
    </row>
    <row r="20" spans="2:9" ht="12.75">
      <c r="B20" s="1" t="s">
        <v>44</v>
      </c>
      <c r="C20" s="1" t="s">
        <v>64</v>
      </c>
      <c r="D20" s="1" t="s">
        <v>65</v>
      </c>
      <c r="E20" s="1" t="s">
        <v>66</v>
      </c>
      <c r="F20" s="1" t="s">
        <v>67</v>
      </c>
      <c r="G20" s="1" t="s">
        <v>68</v>
      </c>
      <c r="H20" s="1" t="s">
        <v>66</v>
      </c>
      <c r="I20" s="1" t="s">
        <v>67</v>
      </c>
    </row>
    <row r="21" spans="2:7" ht="12.75">
      <c r="B21" s="1" t="s">
        <v>39</v>
      </c>
      <c r="C21" s="1" t="s">
        <v>14</v>
      </c>
      <c r="D21" s="1" t="s">
        <v>69</v>
      </c>
      <c r="E21" s="1" t="s">
        <v>70</v>
      </c>
      <c r="F21" s="1" t="s">
        <v>71</v>
      </c>
      <c r="G21" s="1" t="s">
        <v>72</v>
      </c>
    </row>
    <row r="22" ht="12.75">
      <c r="B22" s="1" t="s">
        <v>73</v>
      </c>
    </row>
    <row r="23" spans="2:7" ht="12.75">
      <c r="B23" s="1">
        <v>1</v>
      </c>
      <c r="C23" s="1">
        <v>12.375137</v>
      </c>
      <c r="D23" s="1">
        <v>54.003853</v>
      </c>
      <c r="E23" s="1">
        <v>-1050.080155</v>
      </c>
      <c r="F23" s="1">
        <v>-0.000721</v>
      </c>
      <c r="G23" s="1">
        <v>-0.003147</v>
      </c>
    </row>
    <row r="24" spans="2:7" ht="12.75">
      <c r="B24" s="1">
        <v>2</v>
      </c>
      <c r="C24" s="1">
        <v>-0.440591</v>
      </c>
      <c r="D24" s="1">
        <v>-1.922697</v>
      </c>
      <c r="E24" s="1">
        <v>16720.938</v>
      </c>
      <c r="F24" s="1">
        <v>-0.000721</v>
      </c>
      <c r="G24" s="1">
        <v>-0.003147</v>
      </c>
    </row>
    <row r="25" spans="2:7" ht="12.75">
      <c r="B25" s="1">
        <v>3</v>
      </c>
      <c r="C25" s="1">
        <v>-0.440591</v>
      </c>
      <c r="D25" s="1">
        <v>-1.922697</v>
      </c>
      <c r="E25" s="1">
        <v>16720.938</v>
      </c>
      <c r="F25" s="1">
        <v>-0.000721</v>
      </c>
      <c r="G25" s="1">
        <v>-0.003147</v>
      </c>
    </row>
    <row r="26" spans="2:7" ht="12.75">
      <c r="B26" s="1">
        <v>4</v>
      </c>
      <c r="C26" s="1">
        <v>12.375196</v>
      </c>
      <c r="D26" s="1">
        <v>54.00411</v>
      </c>
      <c r="E26" s="1">
        <v>-1050.162</v>
      </c>
      <c r="F26" s="1">
        <v>-0.000721</v>
      </c>
      <c r="G26" s="1">
        <v>-0.003147</v>
      </c>
    </row>
    <row r="27" spans="2:7" ht="12.75">
      <c r="B27" s="1">
        <v>5</v>
      </c>
      <c r="C27" s="1">
        <v>13.817514</v>
      </c>
      <c r="D27" s="1">
        <v>60.298241</v>
      </c>
      <c r="E27" s="1">
        <v>-3050.162</v>
      </c>
      <c r="F27" s="1">
        <v>-0.000721</v>
      </c>
      <c r="G27" s="1">
        <v>-0.003147</v>
      </c>
    </row>
    <row r="28" spans="2:7" ht="12.75">
      <c r="B28" s="1">
        <v>6</v>
      </c>
      <c r="C28" s="1">
        <v>12.375513</v>
      </c>
      <c r="D28" s="1">
        <v>54.005491</v>
      </c>
      <c r="E28" s="1">
        <v>-1050.600535</v>
      </c>
      <c r="F28" s="1">
        <v>0.007795</v>
      </c>
      <c r="G28" s="1">
        <v>0.034019</v>
      </c>
    </row>
    <row r="29" spans="2:7" ht="12.75">
      <c r="B29" s="1">
        <v>7</v>
      </c>
      <c r="C29" s="4">
        <v>1.78E-15</v>
      </c>
      <c r="D29" s="4">
        <v>-7.11E-15</v>
      </c>
      <c r="E29" s="1">
        <v>-2638.131</v>
      </c>
      <c r="F29" s="1">
        <v>-0.007795</v>
      </c>
      <c r="G29" s="1">
        <v>-0.034019</v>
      </c>
    </row>
    <row r="30" spans="2:7" ht="12.75">
      <c r="B30" s="1">
        <v>8</v>
      </c>
      <c r="C30" s="1">
        <v>-12.378931</v>
      </c>
      <c r="D30" s="1">
        <v>-54.020409</v>
      </c>
      <c r="E30" s="1">
        <v>-1050.162</v>
      </c>
      <c r="F30" s="1">
        <v>-0.007795</v>
      </c>
      <c r="G30" s="1">
        <v>-0.034019</v>
      </c>
    </row>
    <row r="31" spans="2:7" ht="12.75">
      <c r="B31" s="1">
        <v>9</v>
      </c>
      <c r="C31" s="1">
        <v>-20.354767</v>
      </c>
      <c r="D31" s="1">
        <v>-88.826152</v>
      </c>
      <c r="E31" s="1">
        <v>-27.022003</v>
      </c>
      <c r="F31" s="1">
        <v>-0.007795</v>
      </c>
      <c r="G31" s="1">
        <v>-0.034019</v>
      </c>
    </row>
    <row r="32" spans="2:7" ht="12.75">
      <c r="B32" s="1">
        <v>10</v>
      </c>
      <c r="C32" s="1">
        <v>-20.565766</v>
      </c>
      <c r="D32" s="1">
        <v>-89.746929</v>
      </c>
      <c r="E32" s="1">
        <v>0.044902</v>
      </c>
      <c r="F32" s="1">
        <v>-0.007795</v>
      </c>
      <c r="G32" s="1">
        <v>-0.034019</v>
      </c>
    </row>
    <row r="33" spans="2:7" ht="12.75">
      <c r="B33" s="1">
        <v>11</v>
      </c>
      <c r="C33" s="1">
        <v>-21.110403</v>
      </c>
      <c r="D33" s="1">
        <v>-92.123671</v>
      </c>
      <c r="E33" s="1">
        <v>69.910954</v>
      </c>
      <c r="F33" s="1">
        <v>-0.114752</v>
      </c>
      <c r="G33" s="1">
        <v>0.586866</v>
      </c>
    </row>
    <row r="34" spans="2:7" ht="12.75">
      <c r="B34" s="1">
        <v>12</v>
      </c>
      <c r="C34" s="1">
        <v>-21.12391</v>
      </c>
      <c r="D34" s="1">
        <v>-92.054594</v>
      </c>
      <c r="E34" s="1">
        <v>70.028658</v>
      </c>
      <c r="F34" s="1">
        <v>-0.114752</v>
      </c>
      <c r="G34" s="1">
        <v>0.586866</v>
      </c>
    </row>
    <row r="35" spans="2:7" ht="12.75">
      <c r="B35" s="1">
        <v>13</v>
      </c>
      <c r="C35" s="1">
        <v>0.00704</v>
      </c>
      <c r="D35" s="1">
        <v>-200.122747</v>
      </c>
      <c r="E35" s="1">
        <v>-114.115744</v>
      </c>
      <c r="F35" s="1">
        <v>-0.114752</v>
      </c>
      <c r="G35" s="1">
        <v>0.586866</v>
      </c>
    </row>
    <row r="36" spans="2:7" ht="12.75">
      <c r="B36" s="1">
        <v>14</v>
      </c>
      <c r="C36" s="1">
        <v>0.00704</v>
      </c>
      <c r="D36" s="1">
        <v>-200.122747</v>
      </c>
      <c r="E36" s="1">
        <v>-114.115744</v>
      </c>
      <c r="F36" s="1">
        <v>0.099422</v>
      </c>
      <c r="G36" s="1">
        <v>0.095929</v>
      </c>
    </row>
    <row r="37" spans="2:7" ht="12.75">
      <c r="B37" s="1">
        <v>15</v>
      </c>
      <c r="C37" s="1">
        <v>0.00704</v>
      </c>
      <c r="D37" s="1">
        <v>-200.122747</v>
      </c>
      <c r="E37" s="1">
        <v>-114.115744</v>
      </c>
      <c r="F37" s="1">
        <v>0.099422</v>
      </c>
      <c r="G37" s="1">
        <v>0.095929</v>
      </c>
    </row>
    <row r="38" spans="2:7" ht="12.75">
      <c r="B38" s="1">
        <v>16</v>
      </c>
      <c r="C38" s="1">
        <v>0.006397</v>
      </c>
      <c r="D38" s="1">
        <v>-200.123368</v>
      </c>
      <c r="E38" s="1">
        <v>-114.122216</v>
      </c>
      <c r="F38" s="1">
        <v>0.099422</v>
      </c>
      <c r="G38" s="1">
        <v>0.095929</v>
      </c>
    </row>
    <row r="39" spans="2:7" ht="12.75">
      <c r="B39" s="1">
        <v>17</v>
      </c>
      <c r="C39" s="1">
        <v>19.499867</v>
      </c>
      <c r="D39" s="1">
        <v>-181.314796</v>
      </c>
      <c r="E39" s="1">
        <v>81.945342</v>
      </c>
      <c r="F39" s="1">
        <v>0.043529</v>
      </c>
      <c r="G39" s="1">
        <v>0.449163</v>
      </c>
    </row>
    <row r="40" spans="2:7" ht="12.75">
      <c r="B40" s="1">
        <v>18</v>
      </c>
      <c r="C40" s="1">
        <v>19.53635</v>
      </c>
      <c r="D40" s="1">
        <v>-180.938338</v>
      </c>
      <c r="E40" s="1">
        <v>82.783472</v>
      </c>
      <c r="F40" s="1">
        <v>0.043529</v>
      </c>
      <c r="G40" s="1">
        <v>0.449163</v>
      </c>
    </row>
    <row r="41" spans="2:7" ht="12.75">
      <c r="B41" s="1">
        <v>19</v>
      </c>
      <c r="C41" s="1">
        <v>11.828507</v>
      </c>
      <c r="D41" s="1">
        <v>-260.474142</v>
      </c>
      <c r="E41" s="1">
        <v>-94.291954</v>
      </c>
      <c r="F41" s="1">
        <v>0.043529</v>
      </c>
      <c r="G41" s="1">
        <v>0.449163</v>
      </c>
    </row>
    <row r="42" spans="2:7" ht="12.75">
      <c r="B42" s="1">
        <v>20</v>
      </c>
      <c r="C42" s="1">
        <v>11.832463</v>
      </c>
      <c r="D42" s="1">
        <v>-260.433321</v>
      </c>
      <c r="E42" s="1">
        <v>-94.20107</v>
      </c>
      <c r="F42" s="1">
        <v>0.024055</v>
      </c>
      <c r="G42" s="1">
        <v>-0.101461</v>
      </c>
    </row>
    <row r="43" spans="2:7" ht="12.75">
      <c r="B43" s="1">
        <v>21</v>
      </c>
      <c r="C43" s="1">
        <v>11.831546</v>
      </c>
      <c r="D43" s="1">
        <v>-260.42945</v>
      </c>
      <c r="E43" s="1">
        <v>-94.239217</v>
      </c>
      <c r="F43" s="1">
        <v>0.024055</v>
      </c>
      <c r="G43" s="1">
        <v>-0.101461</v>
      </c>
    </row>
    <row r="44" spans="2:7" ht="12.75">
      <c r="B44" s="1">
        <v>22</v>
      </c>
      <c r="C44" s="1">
        <v>16.690589</v>
      </c>
      <c r="D44" s="1">
        <v>-280.923961</v>
      </c>
      <c r="E44" s="1">
        <v>107.75419</v>
      </c>
      <c r="F44" s="1">
        <v>0.089229</v>
      </c>
      <c r="G44" s="1">
        <v>0.800018</v>
      </c>
    </row>
    <row r="45" spans="2:7" ht="12.75">
      <c r="B45" s="1">
        <v>23</v>
      </c>
      <c r="C45" s="1">
        <v>16.754343</v>
      </c>
      <c r="D45" s="1">
        <v>-280.352359</v>
      </c>
      <c r="E45" s="1">
        <v>108.468676</v>
      </c>
      <c r="F45" s="1">
        <v>0.089229</v>
      </c>
      <c r="G45" s="1">
        <v>0.800018</v>
      </c>
    </row>
    <row r="46" spans="2:7" ht="12.75">
      <c r="B46" s="1">
        <v>24</v>
      </c>
      <c r="C46" s="1">
        <v>3.639387</v>
      </c>
      <c r="D46" s="1">
        <v>-397.939241</v>
      </c>
      <c r="E46" s="1">
        <v>-38.511584</v>
      </c>
      <c r="F46" s="1">
        <v>-0.074667</v>
      </c>
      <c r="G46" s="1">
        <v>-1.070286</v>
      </c>
    </row>
    <row r="47" spans="2:7" ht="12.75">
      <c r="B47" s="1">
        <v>25</v>
      </c>
      <c r="C47" s="1">
        <v>3.649176</v>
      </c>
      <c r="D47" s="1">
        <v>-397.79892</v>
      </c>
      <c r="E47" s="1">
        <v>-38.64269</v>
      </c>
      <c r="F47" s="1">
        <v>-0.074667</v>
      </c>
      <c r="G47" s="1">
        <v>-1.070286</v>
      </c>
    </row>
    <row r="48" spans="2:7" ht="12.75">
      <c r="B48" s="1">
        <v>26</v>
      </c>
      <c r="C48" s="1">
        <v>0.080828</v>
      </c>
      <c r="D48" s="1">
        <v>-448.947719</v>
      </c>
      <c r="E48" s="1">
        <v>9.14715</v>
      </c>
      <c r="F48" s="1">
        <v>-0.074667</v>
      </c>
      <c r="G48" s="1">
        <v>-1.070286</v>
      </c>
    </row>
    <row r="49" spans="2:7" ht="12.75">
      <c r="B49" s="1">
        <v>27</v>
      </c>
      <c r="C49" s="1">
        <v>-6.533386</v>
      </c>
      <c r="D49" s="1">
        <v>-543.756057</v>
      </c>
      <c r="E49" s="1">
        <v>97.729392</v>
      </c>
      <c r="F49" s="1">
        <v>0.016031</v>
      </c>
      <c r="G49" s="1">
        <v>-0.126573</v>
      </c>
    </row>
    <row r="50" spans="2:7" ht="12.75">
      <c r="B50" s="1">
        <v>28</v>
      </c>
      <c r="C50" s="1">
        <v>-6.535522</v>
      </c>
      <c r="D50" s="1">
        <v>-543.739193</v>
      </c>
      <c r="E50" s="1">
        <v>97.59616</v>
      </c>
      <c r="F50" s="1">
        <v>0.016031</v>
      </c>
      <c r="G50" s="1">
        <v>-0.126573</v>
      </c>
    </row>
    <row r="51" spans="2:7" ht="12.75">
      <c r="B51" s="1">
        <v>29</v>
      </c>
      <c r="C51" s="1">
        <v>-11.624777</v>
      </c>
      <c r="D51" s="1">
        <v>-503.556441</v>
      </c>
      <c r="E51" s="1">
        <v>-219.871068</v>
      </c>
      <c r="F51" s="1">
        <v>0.016031</v>
      </c>
      <c r="G51" s="1">
        <v>-0.126573</v>
      </c>
    </row>
    <row r="52" spans="2:7" ht="12.75">
      <c r="B52" s="1">
        <v>30</v>
      </c>
      <c r="C52" s="1">
        <v>-11.624777</v>
      </c>
      <c r="D52" s="1">
        <v>-503.556441</v>
      </c>
      <c r="E52" s="1">
        <v>-219.871068</v>
      </c>
      <c r="F52" s="1">
        <v>0.016031</v>
      </c>
      <c r="G52" s="1">
        <v>-0.126573</v>
      </c>
    </row>
    <row r="53" spans="2:7" ht="12.75">
      <c r="B53" s="1">
        <v>31</v>
      </c>
      <c r="C53" s="1">
        <v>-8.679048</v>
      </c>
      <c r="D53" s="1">
        <v>-526.814757</v>
      </c>
      <c r="E53" s="1">
        <v>-36.116781</v>
      </c>
      <c r="F53" s="1">
        <v>-0.021783</v>
      </c>
      <c r="G53" s="1">
        <v>-0.935897</v>
      </c>
    </row>
    <row r="54" spans="2:7" ht="12.75">
      <c r="B54" s="1">
        <v>32</v>
      </c>
      <c r="C54" s="1">
        <v>-8.595462</v>
      </c>
      <c r="D54" s="1">
        <v>-523.223463</v>
      </c>
      <c r="E54" s="1">
        <v>-39.954056</v>
      </c>
      <c r="F54" s="1">
        <v>-0.021783</v>
      </c>
      <c r="G54" s="1">
        <v>-0.935897</v>
      </c>
    </row>
    <row r="55" spans="2:7" ht="12.75">
      <c r="B55" s="1">
        <v>33</v>
      </c>
      <c r="C55" s="1">
        <v>-8.762634</v>
      </c>
      <c r="D55" s="1">
        <v>-530.40605</v>
      </c>
      <c r="E55" s="1">
        <v>-32.279506</v>
      </c>
      <c r="F55" s="1">
        <v>-0.021783</v>
      </c>
      <c r="G55" s="1">
        <v>-0.935897</v>
      </c>
    </row>
    <row r="56" spans="2:7" ht="12.75">
      <c r="B56" s="1">
        <v>34</v>
      </c>
      <c r="C56" s="1">
        <v>-8.679048</v>
      </c>
      <c r="D56" s="1">
        <v>-526.814757</v>
      </c>
      <c r="E56" s="1">
        <v>-36.116781</v>
      </c>
      <c r="F56" s="1">
        <v>-0.021783</v>
      </c>
      <c r="G56" s="1">
        <v>-0.935897</v>
      </c>
    </row>
    <row r="57" spans="2:7" ht="12.75">
      <c r="B57" s="1">
        <v>35</v>
      </c>
      <c r="C57" s="1">
        <v>-8.682551</v>
      </c>
      <c r="D57" s="1">
        <v>-526.965284</v>
      </c>
      <c r="E57" s="1">
        <v>-35.955943</v>
      </c>
      <c r="F57" s="1">
        <v>-0.021783</v>
      </c>
      <c r="G57" s="1">
        <v>-0.935897</v>
      </c>
    </row>
    <row r="58" spans="2:7" ht="12.75">
      <c r="B58" s="1">
        <v>36</v>
      </c>
      <c r="C58" s="1">
        <v>-11.004597</v>
      </c>
      <c r="D58" s="1">
        <v>-626.732892</v>
      </c>
      <c r="E58" s="1">
        <v>70.64512</v>
      </c>
      <c r="F58" s="1">
        <v>-81.56915</v>
      </c>
      <c r="G58" s="1">
        <v>-0.830102</v>
      </c>
    </row>
    <row r="59" spans="2:7" ht="12.75">
      <c r="B59" s="1">
        <v>37</v>
      </c>
      <c r="C59" s="4">
        <v>3.88E-09</v>
      </c>
      <c r="D59" s="1">
        <v>-626.620901</v>
      </c>
      <c r="E59" s="1">
        <v>70.510209</v>
      </c>
      <c r="F59" s="1">
        <v>-81.56915</v>
      </c>
      <c r="G59" s="1">
        <v>-0.830102</v>
      </c>
    </row>
    <row r="60" spans="2:7" ht="12.75">
      <c r="B60" s="1">
        <v>38</v>
      </c>
      <c r="C60" s="1">
        <v>-50</v>
      </c>
      <c r="D60" s="1">
        <v>-627.129735</v>
      </c>
      <c r="E60" s="1">
        <v>71.123186</v>
      </c>
      <c r="F60" s="1">
        <v>-81.56915</v>
      </c>
      <c r="G60" s="1">
        <v>-0.830102</v>
      </c>
    </row>
    <row r="61" spans="2:7" ht="12.75">
      <c r="B61" s="1">
        <v>39</v>
      </c>
      <c r="C61" s="1">
        <v>-34.14</v>
      </c>
      <c r="D61" s="1">
        <v>-626.968333</v>
      </c>
      <c r="E61" s="1">
        <v>70.928749</v>
      </c>
      <c r="F61" s="1">
        <v>-81.56915</v>
      </c>
      <c r="G61" s="1">
        <v>-0.830102</v>
      </c>
    </row>
    <row r="62" spans="2:7" ht="12.75">
      <c r="B62" s="1">
        <v>40</v>
      </c>
      <c r="C62" s="1">
        <v>-29.14</v>
      </c>
      <c r="D62" s="1">
        <v>-626.917449</v>
      </c>
      <c r="E62" s="1">
        <v>70.867452</v>
      </c>
      <c r="F62" s="1">
        <v>-81.56915</v>
      </c>
      <c r="G62" s="1">
        <v>-0.830102</v>
      </c>
    </row>
    <row r="63" spans="2:7" ht="12.75">
      <c r="B63" s="1">
        <v>41</v>
      </c>
      <c r="C63" s="1">
        <v>-34.14</v>
      </c>
      <c r="D63" s="1">
        <v>-626.968333</v>
      </c>
      <c r="E63" s="1">
        <v>70.928749</v>
      </c>
      <c r="F63" s="1">
        <v>-81.56915</v>
      </c>
      <c r="G63" s="1">
        <v>-0.830102</v>
      </c>
    </row>
    <row r="64" spans="2:7" ht="12.75">
      <c r="B64" s="1">
        <v>42</v>
      </c>
      <c r="C64" s="1">
        <v>-11.004597</v>
      </c>
      <c r="D64" s="1">
        <v>-626.732892</v>
      </c>
      <c r="E64" s="1">
        <v>70.64512</v>
      </c>
      <c r="F64" s="1">
        <v>-0.021783</v>
      </c>
      <c r="G64" s="1">
        <v>-0.935897</v>
      </c>
    </row>
    <row r="65" spans="2:7" ht="12.75">
      <c r="B65" s="1">
        <v>43</v>
      </c>
      <c r="C65" s="1">
        <v>-10.829581</v>
      </c>
      <c r="D65" s="1">
        <v>-619.213249</v>
      </c>
      <c r="E65" s="1">
        <v>62.610429</v>
      </c>
      <c r="F65" s="1">
        <v>-0.021783</v>
      </c>
      <c r="G65" s="1">
        <v>-0.935897</v>
      </c>
    </row>
    <row r="66" spans="2:7" ht="12.75">
      <c r="B66" s="1">
        <v>44</v>
      </c>
      <c r="C66" s="1">
        <v>-8.679048</v>
      </c>
      <c r="D66" s="1">
        <v>-526.814757</v>
      </c>
      <c r="E66" s="1">
        <v>-36.116781</v>
      </c>
      <c r="F66" s="1">
        <v>0.016031</v>
      </c>
      <c r="G66" s="1">
        <v>-0.126573</v>
      </c>
    </row>
    <row r="67" spans="2:7" ht="12.75">
      <c r="B67" s="1">
        <v>45</v>
      </c>
      <c r="C67" s="1">
        <v>-8.682551</v>
      </c>
      <c r="D67" s="1">
        <v>-526.787095</v>
      </c>
      <c r="E67" s="1">
        <v>-36.335327</v>
      </c>
      <c r="F67" s="1">
        <v>0.016031</v>
      </c>
      <c r="G67" s="1">
        <v>-0.126573</v>
      </c>
    </row>
    <row r="68" spans="2:7" ht="12.75">
      <c r="B68" s="1">
        <v>46</v>
      </c>
      <c r="C68" s="1">
        <v>-10.349698</v>
      </c>
      <c r="D68" s="1">
        <v>-513.62396</v>
      </c>
      <c r="E68" s="1">
        <v>-140.331781</v>
      </c>
      <c r="F68" s="1">
        <v>-1.240422</v>
      </c>
      <c r="G68" s="1">
        <v>-0.124046</v>
      </c>
    </row>
    <row r="69" spans="2:7" ht="12.75">
      <c r="B69" s="1">
        <v>47</v>
      </c>
      <c r="C69" s="1">
        <v>-6.03512</v>
      </c>
      <c r="D69" s="1">
        <v>-513.192491</v>
      </c>
      <c r="E69" s="1">
        <v>-143.810095</v>
      </c>
      <c r="F69" s="1">
        <v>-1.240422</v>
      </c>
      <c r="G69" s="1">
        <v>-0.124046</v>
      </c>
    </row>
    <row r="70" spans="2:7" ht="12.75">
      <c r="B70" s="1">
        <v>48</v>
      </c>
      <c r="C70" s="1">
        <v>-14.664277</v>
      </c>
      <c r="D70" s="1">
        <v>-514.05543</v>
      </c>
      <c r="E70" s="1">
        <v>-136.853467</v>
      </c>
      <c r="F70" s="1">
        <v>-1.240422</v>
      </c>
      <c r="G70" s="1">
        <v>-0.124046</v>
      </c>
    </row>
    <row r="71" spans="2:7" ht="12.75">
      <c r="B71" s="1">
        <v>49</v>
      </c>
      <c r="C71" s="1">
        <v>-10.349698</v>
      </c>
      <c r="D71" s="1">
        <v>-513.62396</v>
      </c>
      <c r="E71" s="1">
        <v>-140.331781</v>
      </c>
      <c r="F71" s="1">
        <v>-1.240422</v>
      </c>
      <c r="G71" s="1">
        <v>-0.124046</v>
      </c>
    </row>
    <row r="72" spans="2:7" ht="12.75">
      <c r="B72" s="1">
        <v>50</v>
      </c>
      <c r="C72" s="1">
        <v>-6.603321</v>
      </c>
      <c r="D72" s="1">
        <v>-513.249312</v>
      </c>
      <c r="E72" s="1">
        <v>-143.352024</v>
      </c>
      <c r="F72" s="1">
        <v>-1.240422</v>
      </c>
      <c r="G72" s="1">
        <v>-0.124046</v>
      </c>
    </row>
    <row r="73" spans="2:7" ht="12.75">
      <c r="B73" s="1">
        <v>51</v>
      </c>
      <c r="C73" s="1">
        <v>-72.58604</v>
      </c>
      <c r="D73" s="1">
        <v>-519.847765</v>
      </c>
      <c r="E73" s="1">
        <v>-90.158272</v>
      </c>
      <c r="F73" s="1">
        <v>-1.240422</v>
      </c>
      <c r="G73" s="1">
        <v>-0.124046</v>
      </c>
    </row>
    <row r="74" spans="2:7" ht="12.75">
      <c r="B74" s="1">
        <v>52</v>
      </c>
      <c r="C74" s="1">
        <v>-65.987769</v>
      </c>
      <c r="D74" s="1">
        <v>-519.18792</v>
      </c>
      <c r="E74" s="1">
        <v>-95.477647</v>
      </c>
      <c r="F74" s="1">
        <v>-1.240422</v>
      </c>
      <c r="G74" s="1">
        <v>-0.124046</v>
      </c>
    </row>
    <row r="75" spans="2:7" ht="12.75">
      <c r="B75" s="1">
        <v>53</v>
      </c>
      <c r="C75" s="1">
        <v>-62.106432</v>
      </c>
      <c r="D75" s="1">
        <v>-518.799775</v>
      </c>
      <c r="E75" s="1">
        <v>-98.606691</v>
      </c>
      <c r="F75" s="1">
        <v>-1.240422</v>
      </c>
      <c r="G75" s="1">
        <v>-0.124046</v>
      </c>
    </row>
    <row r="76" spans="2:7" ht="12.75">
      <c r="B76" s="1">
        <v>54</v>
      </c>
      <c r="C76" s="1">
        <v>-65.987769</v>
      </c>
      <c r="D76" s="1">
        <v>-519.18792</v>
      </c>
      <c r="E76" s="1">
        <v>-95.477647</v>
      </c>
      <c r="F76" s="1">
        <v>-1.240422</v>
      </c>
      <c r="G76" s="1">
        <v>-0.124046</v>
      </c>
    </row>
    <row r="77" spans="2:7" ht="12.75">
      <c r="B77" s="1">
        <v>55</v>
      </c>
      <c r="C77" s="1">
        <v>-10.349698</v>
      </c>
      <c r="D77" s="1">
        <v>-513.62396</v>
      </c>
      <c r="E77" s="1">
        <v>-140.331781</v>
      </c>
      <c r="F77" s="1">
        <v>0.016031</v>
      </c>
      <c r="G77" s="1">
        <v>-0.126573</v>
      </c>
    </row>
    <row r="78" spans="2:7" ht="12.75">
      <c r="B78" s="1">
        <v>56</v>
      </c>
      <c r="C78" s="1">
        <v>-10.272944</v>
      </c>
      <c r="D78" s="1">
        <v>-514.229985</v>
      </c>
      <c r="E78" s="1">
        <v>-135.543836</v>
      </c>
      <c r="F78" s="1">
        <v>0.016031</v>
      </c>
      <c r="G78" s="1">
        <v>-0.126573</v>
      </c>
    </row>
    <row r="79" spans="2:7" ht="12.75">
      <c r="B79" s="1">
        <v>57</v>
      </c>
      <c r="C79" s="1">
        <v>-10.987456</v>
      </c>
      <c r="D79" s="1">
        <v>-508.588478</v>
      </c>
      <c r="E79" s="1">
        <v>-180.115035</v>
      </c>
      <c r="F79" s="1">
        <v>16.118236</v>
      </c>
      <c r="G79" s="1">
        <v>-1013.475367</v>
      </c>
    </row>
    <row r="80" spans="2:7" ht="12.75">
      <c r="B80" s="1">
        <v>58</v>
      </c>
      <c r="C80" s="1">
        <v>-10.972716</v>
      </c>
      <c r="D80" s="1">
        <v>-509.515269</v>
      </c>
      <c r="E80" s="1">
        <v>-180.114121</v>
      </c>
      <c r="F80" s="1">
        <v>16.118236</v>
      </c>
      <c r="G80" s="1">
        <v>-1013.475367</v>
      </c>
    </row>
    <row r="81" spans="2:7" ht="12.75">
      <c r="B81" s="1">
        <v>59</v>
      </c>
      <c r="C81" s="1">
        <v>-11.624777</v>
      </c>
      <c r="D81" s="1">
        <v>-468.51527</v>
      </c>
      <c r="E81" s="1">
        <v>-180.154575</v>
      </c>
      <c r="F81" s="1">
        <v>16.118236</v>
      </c>
      <c r="G81" s="1">
        <v>-1013.475367</v>
      </c>
    </row>
    <row r="82" spans="2:7" ht="12.75">
      <c r="B82" s="1">
        <v>60</v>
      </c>
      <c r="C82" s="1">
        <v>-11.481801</v>
      </c>
      <c r="D82" s="1">
        <v>-477.50527</v>
      </c>
      <c r="E82" s="1">
        <v>-180.145705</v>
      </c>
      <c r="F82" s="1">
        <v>16.118236</v>
      </c>
      <c r="G82" s="1">
        <v>-1013.475367</v>
      </c>
    </row>
    <row r="83" spans="2:7" ht="12.75">
      <c r="B83" s="1">
        <v>61</v>
      </c>
      <c r="C83" s="1">
        <v>-11.402281</v>
      </c>
      <c r="D83" s="1">
        <v>-482.505269</v>
      </c>
      <c r="E83" s="1">
        <v>-180.140771</v>
      </c>
      <c r="F83" s="1">
        <v>16.118236</v>
      </c>
      <c r="G83" s="1">
        <v>-1013.475367</v>
      </c>
    </row>
    <row r="84" spans="2:7" ht="12.75">
      <c r="B84" s="1">
        <v>62</v>
      </c>
      <c r="C84" s="1">
        <v>-11.481801</v>
      </c>
      <c r="D84" s="1">
        <v>-477.50527</v>
      </c>
      <c r="E84" s="1">
        <v>-180.145705</v>
      </c>
      <c r="F84" s="1">
        <v>16.118236</v>
      </c>
      <c r="G84" s="1">
        <v>-1013.475367</v>
      </c>
    </row>
    <row r="85" spans="2:5" ht="12.75">
      <c r="B85" s="1">
        <v>63</v>
      </c>
      <c r="C85" s="1">
        <v>-11.624777</v>
      </c>
      <c r="D85" s="1">
        <v>-468.51527</v>
      </c>
      <c r="E85" s="1">
        <v>-180.154575</v>
      </c>
    </row>
    <row r="86" ht="12.75">
      <c r="B86" s="1" t="s">
        <v>28</v>
      </c>
    </row>
    <row r="87" ht="12.75">
      <c r="B87" s="1" t="s">
        <v>28</v>
      </c>
    </row>
    <row r="88" spans="2:4" ht="12.75">
      <c r="B88" s="1" t="s">
        <v>28</v>
      </c>
      <c r="C88" s="1" t="s">
        <v>74</v>
      </c>
      <c r="D88" s="1" t="s">
        <v>75</v>
      </c>
    </row>
  </sheetData>
  <printOptions/>
  <pageMargins left="0.7874015748031497" right="0.7874015748031497" top="0.45" bottom="0.3937007874015748" header="0.2755905511811024" footer="0.2755905511811024"/>
  <pageSetup fitToHeight="1" fitToWidth="1" horizontalDpi="600" verticalDpi="600" orientation="portrait" paperSize="9" scale="68" r:id="rId1"/>
  <headerFooter alignWithMargins="0">
    <oddHeader>&amp;L&amp;F, &amp;A&amp;R&amp;T, &amp;D</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24:K161"/>
  <sheetViews>
    <sheetView workbookViewId="0" topLeftCell="A1">
      <selection activeCell="I30" sqref="I30"/>
    </sheetView>
  </sheetViews>
  <sheetFormatPr defaultColWidth="12" defaultRowHeight="12.75"/>
  <sheetData>
    <row r="24" spans="2:5" ht="12.75">
      <c r="B24" s="29" t="s">
        <v>35</v>
      </c>
      <c r="C24" s="29" t="s">
        <v>342</v>
      </c>
      <c r="D24" s="29" t="s">
        <v>236</v>
      </c>
      <c r="E24" s="29" t="s">
        <v>343</v>
      </c>
    </row>
    <row r="25" spans="2:5" ht="12.75">
      <c r="B25" s="19" t="s">
        <v>14</v>
      </c>
      <c r="C25" s="19" t="str">
        <f>"-Zsyno"</f>
        <v>-Zsyno</v>
      </c>
      <c r="D25" s="19" t="s">
        <v>339</v>
      </c>
      <c r="E25" s="19" t="s">
        <v>117</v>
      </c>
    </row>
    <row r="26" spans="2:5" ht="12.75">
      <c r="B26" s="19" t="s">
        <v>69</v>
      </c>
      <c r="C26" s="19" t="s">
        <v>120</v>
      </c>
      <c r="D26" s="19" t="s">
        <v>340</v>
      </c>
      <c r="E26" s="19" t="s">
        <v>118</v>
      </c>
    </row>
    <row r="27" spans="2:5" ht="12.75">
      <c r="B27" s="19" t="s">
        <v>70</v>
      </c>
      <c r="C27" s="19" t="s">
        <v>121</v>
      </c>
      <c r="D27" s="19" t="s">
        <v>341</v>
      </c>
      <c r="E27" s="19" t="s">
        <v>119</v>
      </c>
    </row>
    <row r="97" spans="1:2" ht="12.75">
      <c r="A97" s="75" t="s">
        <v>368</v>
      </c>
      <c r="B97" s="76" t="s">
        <v>366</v>
      </c>
    </row>
    <row r="98" spans="1:2" ht="12.75">
      <c r="A98" s="75" t="s">
        <v>369</v>
      </c>
      <c r="B98" s="76" t="s">
        <v>367</v>
      </c>
    </row>
    <row r="99" spans="1:2" ht="12.75">
      <c r="A99" s="75" t="s">
        <v>370</v>
      </c>
      <c r="B99" s="76" t="s">
        <v>365</v>
      </c>
    </row>
    <row r="103" spans="1:2" ht="12.75">
      <c r="A103" s="75" t="s">
        <v>371</v>
      </c>
      <c r="B103" t="s">
        <v>372</v>
      </c>
    </row>
    <row r="104" ht="12.75">
      <c r="B104" t="s">
        <v>373</v>
      </c>
    </row>
    <row r="105" ht="12.75">
      <c r="B105" t="s">
        <v>374</v>
      </c>
    </row>
    <row r="131" spans="7:11" ht="12.75">
      <c r="G131" s="78"/>
      <c r="H131" s="78"/>
      <c r="I131" s="78"/>
      <c r="J131" s="78"/>
      <c r="K131" s="78"/>
    </row>
    <row r="132" spans="7:11" ht="12.75">
      <c r="G132" s="78"/>
      <c r="H132" s="78"/>
      <c r="I132" s="78"/>
      <c r="J132" s="78"/>
      <c r="K132" s="78"/>
    </row>
    <row r="133" spans="7:11" ht="12.75">
      <c r="G133" s="78"/>
      <c r="H133" s="78"/>
      <c r="I133" s="78"/>
      <c r="J133" s="78"/>
      <c r="K133" s="78"/>
    </row>
    <row r="134" spans="9:11" ht="12.75">
      <c r="I134" s="45"/>
      <c r="J134" s="45"/>
      <c r="K134" s="78"/>
    </row>
    <row r="135" spans="9:11" ht="12.75">
      <c r="I135" s="78"/>
      <c r="J135" s="45"/>
      <c r="K135" s="78"/>
    </row>
    <row r="136" spans="9:11" ht="12.75">
      <c r="I136" s="45"/>
      <c r="J136" s="78"/>
      <c r="K136" s="78"/>
    </row>
    <row r="138" spans="9:10" ht="12.75">
      <c r="I138" s="45"/>
      <c r="J138" s="45"/>
    </row>
    <row r="139" spans="9:10" ht="12.75">
      <c r="I139" s="78"/>
      <c r="J139" s="45"/>
    </row>
    <row r="140" spans="9:10" ht="12.75">
      <c r="I140" s="45"/>
      <c r="J140" s="78"/>
    </row>
    <row r="141" spans="8:10" ht="12.75">
      <c r="H141" s="78"/>
      <c r="I141" s="78"/>
      <c r="J141" s="78"/>
    </row>
    <row r="143" spans="1:2" ht="12.75">
      <c r="A143" s="75" t="s">
        <v>375</v>
      </c>
      <c r="B143" s="76" t="s">
        <v>381</v>
      </c>
    </row>
    <row r="144" ht="12.75">
      <c r="B144" t="str">
        <f>"+VertexCalc!Ynorm*(Interfaces!Ymirr-VertexCalc!Ymirr)"</f>
        <v>+VertexCalc!Ynorm*(Interfaces!Ymirr-VertexCalc!Ymirr)</v>
      </c>
    </row>
    <row r="145" ht="12.75">
      <c r="B145" t="str">
        <f>"+VertexCalc!Znorm*(Interfaces!Zmirr-VertexCalc!Zmirr)"</f>
        <v>+VertexCalc!Znorm*(Interfaces!Zmirr-VertexCalc!Zmirr)</v>
      </c>
    </row>
    <row r="146" spans="1:2" ht="12.75">
      <c r="A146" s="75" t="s">
        <v>376</v>
      </c>
      <c r="B146" s="76" t="s">
        <v>382</v>
      </c>
    </row>
    <row r="147" ht="12.75">
      <c r="B147" t="str">
        <f>"+VertexCalc!Ysag*(Interfaces!Ymirr-VertexCalc!Ymirr)"</f>
        <v>+VertexCalc!Ysag*(Interfaces!Ymirr-VertexCalc!Ymirr)</v>
      </c>
    </row>
    <row r="148" ht="12.75">
      <c r="B148" t="str">
        <f>"+VertexCalc!Zsag*(Interfaces!Zmirr-VertexCalc!Zmirr)"</f>
        <v>+VertexCalc!Zsag*(Interfaces!Zmirr-VertexCalc!Zmirr)</v>
      </c>
    </row>
    <row r="149" spans="1:2" ht="12.75">
      <c r="A149" s="75" t="s">
        <v>377</v>
      </c>
      <c r="B149" s="76" t="s">
        <v>383</v>
      </c>
    </row>
    <row r="150" ht="12.75">
      <c r="B150" t="str">
        <f>"+VertexCalc!Ytang*(Interfaces!Ymirr-VertexCalc!Ymirr)"</f>
        <v>+VertexCalc!Ytang*(Interfaces!Ymirr-VertexCalc!Ymirr)</v>
      </c>
    </row>
    <row r="151" ht="12.75">
      <c r="B151" t="str">
        <f>"+VertexCalc!Ztang*(Interfaces!Zmirr-VertexCalc!Zmirr)"</f>
        <v>+VertexCalc!Ztang*(Interfaces!Zmirr-VertexCalc!Zmirr)</v>
      </c>
    </row>
    <row r="156" spans="1:2" ht="12.75">
      <c r="A156" s="75" t="s">
        <v>380</v>
      </c>
      <c r="B156" s="76" t="s">
        <v>384</v>
      </c>
    </row>
    <row r="157" ht="12.75">
      <c r="B157" t="str">
        <f>"+VertexCalc!Znorm*Interfaces!Znorm"</f>
        <v>+VertexCalc!Znorm*Interfaces!Znorm</v>
      </c>
    </row>
    <row r="158" spans="1:2" ht="12.75">
      <c r="A158" s="75" t="s">
        <v>378</v>
      </c>
      <c r="B158" s="76" t="s">
        <v>385</v>
      </c>
    </row>
    <row r="159" ht="12.75">
      <c r="B159" t="str">
        <f>"+VertexCalc!Zsag*Interfaces!Znorm"</f>
        <v>+VertexCalc!Zsag*Interfaces!Znorm</v>
      </c>
    </row>
    <row r="160" spans="1:2" ht="12.75">
      <c r="A160" s="75" t="s">
        <v>379</v>
      </c>
      <c r="B160" s="76" t="s">
        <v>386</v>
      </c>
    </row>
    <row r="161" ht="12.75">
      <c r="B161" t="str">
        <f>"+VertexCalc!Ztang*Interfaces!Znorm"</f>
        <v>+VertexCalc!Ztang*Interfaces!Znorm</v>
      </c>
    </row>
  </sheetData>
  <printOptions/>
  <pageMargins left="0.65" right="0.59" top="0.81" bottom="0.69" header="0.5118110236220472" footer="0.28"/>
  <pageSetup horizontalDpi="600" verticalDpi="600" orientation="portrait" paperSize="9" r:id="rId6"/>
  <headerFooter alignWithMargins="0">
    <oddHeader>&amp;L&amp;F, &amp;A&amp;R&amp;T, &amp;D</oddHeader>
    <oddFooter>&amp;CPage &amp;P of &amp;N</oddFooter>
  </headerFooter>
  <rowBreaks count="2" manualBreakCount="2">
    <brk id="52" max="255" man="1"/>
    <brk id="107" max="255" man="1"/>
  </rowBreaks>
  <drawing r:id="rId5"/>
  <legacyDrawing r:id="rId4"/>
  <oleObjects>
    <oleObject progId="Equation.3" shapeId="76292576" r:id="rId1"/>
    <oleObject progId="Equation.3" shapeId="76310701" r:id="rId2"/>
    <oleObject progId="Equation.3" shapeId="14957989" r:id="rId3"/>
  </oleObjects>
</worksheet>
</file>

<file path=xl/worksheets/sheet4.xml><?xml version="1.0" encoding="utf-8"?>
<worksheet xmlns="http://schemas.openxmlformats.org/spreadsheetml/2006/main" xmlns:r="http://schemas.openxmlformats.org/officeDocument/2006/relationships">
  <sheetPr>
    <pageSetUpPr fitToPage="1"/>
  </sheetPr>
  <dimension ref="A1:IV115"/>
  <sheetViews>
    <sheetView workbookViewId="0" topLeftCell="A97">
      <selection activeCell="A114" sqref="A114:B114"/>
    </sheetView>
  </sheetViews>
  <sheetFormatPr defaultColWidth="12" defaultRowHeight="12.75"/>
  <cols>
    <col min="1" max="1" width="14.16015625" style="1" customWidth="1"/>
    <col min="2" max="2" width="71.33203125" style="1" customWidth="1"/>
    <col min="3" max="16384" width="12" style="1" customWidth="1"/>
  </cols>
  <sheetData>
    <row r="1" spans="1:2" s="5" customFormat="1" ht="12.75">
      <c r="A1" s="5" t="s">
        <v>0</v>
      </c>
      <c r="B1" s="5" t="s">
        <v>1</v>
      </c>
    </row>
    <row r="2" spans="1:2" ht="12.75">
      <c r="A2" s="1" t="s">
        <v>33</v>
      </c>
      <c r="B2" s="1" t="s">
        <v>345</v>
      </c>
    </row>
    <row r="3" spans="1:2" ht="12.75">
      <c r="A3" s="1" t="s">
        <v>555</v>
      </c>
      <c r="B3" s="1" t="s">
        <v>556</v>
      </c>
    </row>
    <row r="4" ht="12.75">
      <c r="A4" s="1" t="s">
        <v>116</v>
      </c>
    </row>
    <row r="5" spans="1:4" ht="12.75">
      <c r="A5" s="1" t="s">
        <v>2</v>
      </c>
      <c r="C5" s="6"/>
      <c r="D5" s="6"/>
    </row>
    <row r="6" spans="1:3" ht="12.75">
      <c r="A6" s="1" t="s">
        <v>431</v>
      </c>
      <c r="B6" s="1" t="s">
        <v>432</v>
      </c>
      <c r="C6" s="6"/>
    </row>
    <row r="7" spans="1:4" ht="12.75">
      <c r="A7" s="1" t="s">
        <v>145</v>
      </c>
      <c r="C7" s="6"/>
      <c r="D7" s="25"/>
    </row>
    <row r="8" spans="1:3" ht="12.75">
      <c r="A8" s="1" t="s">
        <v>78</v>
      </c>
      <c r="C8" s="6"/>
    </row>
    <row r="9" spans="1:3" ht="12.75">
      <c r="A9" s="1" t="s">
        <v>79</v>
      </c>
      <c r="C9" s="6"/>
    </row>
    <row r="10" ht="12.75">
      <c r="A10" s="1" t="s">
        <v>3</v>
      </c>
    </row>
    <row r="11" ht="12.75">
      <c r="A11" s="1" t="s">
        <v>444</v>
      </c>
    </row>
    <row r="12" ht="12.75">
      <c r="A12" s="19" t="s">
        <v>442</v>
      </c>
    </row>
    <row r="13" ht="12.75">
      <c r="A13" s="1" t="s">
        <v>443</v>
      </c>
    </row>
    <row r="14" ht="12.75">
      <c r="A14" s="1" t="s">
        <v>456</v>
      </c>
    </row>
    <row r="15" spans="1:2" ht="12.75">
      <c r="A15" s="1" t="s">
        <v>524</v>
      </c>
      <c r="B15" s="1" t="s">
        <v>525</v>
      </c>
    </row>
    <row r="16" ht="12.75">
      <c r="A16" s="1" t="s">
        <v>526</v>
      </c>
    </row>
    <row r="17" ht="12.75">
      <c r="A17" s="1" t="s">
        <v>527</v>
      </c>
    </row>
    <row r="18" ht="12.75">
      <c r="A18" s="1" t="s">
        <v>528</v>
      </c>
    </row>
    <row r="19" ht="12.75">
      <c r="A19" s="1" t="s">
        <v>529</v>
      </c>
    </row>
    <row r="20" ht="12.75">
      <c r="A20" s="1" t="s">
        <v>530</v>
      </c>
    </row>
    <row r="21" ht="12.75">
      <c r="A21" s="1" t="s">
        <v>531</v>
      </c>
    </row>
    <row r="22" ht="12.75">
      <c r="A22" s="1" t="s">
        <v>532</v>
      </c>
    </row>
    <row r="23" spans="1:2" ht="12.75">
      <c r="A23" s="1" t="s">
        <v>473</v>
      </c>
      <c r="B23" s="1" t="s">
        <v>474</v>
      </c>
    </row>
    <row r="24" spans="1:2" ht="12.75">
      <c r="A24" s="1" t="s">
        <v>475</v>
      </c>
      <c r="B24" s="1" t="s">
        <v>477</v>
      </c>
    </row>
    <row r="25" spans="1:2" ht="12.75">
      <c r="A25" s="1" t="s">
        <v>476</v>
      </c>
      <c r="B25" s="1" t="s">
        <v>478</v>
      </c>
    </row>
    <row r="26" spans="1:2" ht="12.75">
      <c r="A26" s="1" t="s">
        <v>323</v>
      </c>
      <c r="B26" s="1" t="s">
        <v>325</v>
      </c>
    </row>
    <row r="27" spans="1:2" ht="12.75">
      <c r="A27" s="1" t="s">
        <v>324</v>
      </c>
      <c r="B27" s="1" t="s">
        <v>326</v>
      </c>
    </row>
    <row r="28" spans="1:2" ht="12.75">
      <c r="A28" s="1" t="s">
        <v>327</v>
      </c>
      <c r="B28" s="1" t="s">
        <v>328</v>
      </c>
    </row>
    <row r="29" spans="1:2" ht="12.75">
      <c r="A29" s="1" t="s">
        <v>331</v>
      </c>
      <c r="B29" s="1" t="s">
        <v>332</v>
      </c>
    </row>
    <row r="30" spans="1:256" ht="12.75">
      <c r="A30" s="19" t="s">
        <v>333</v>
      </c>
      <c r="B30" s="19" t="s">
        <v>335</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row>
    <row r="31" spans="1:256" ht="12.75">
      <c r="A31" s="19" t="s">
        <v>334</v>
      </c>
      <c r="B31" s="19" t="s">
        <v>336</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ht="12.75">
      <c r="A32" s="19" t="s">
        <v>393</v>
      </c>
      <c r="B32" s="19" t="s">
        <v>394</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row>
    <row r="33" spans="1:256" ht="12.75">
      <c r="A33" s="19" t="s">
        <v>397</v>
      </c>
      <c r="B33" s="19" t="s">
        <v>398</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row>
    <row r="34" spans="1:256" ht="12.75">
      <c r="A34" s="19" t="s">
        <v>446</v>
      </c>
      <c r="B34" s="1" t="s">
        <v>7</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row>
    <row r="35" spans="1:256" ht="12.75">
      <c r="A35" s="19" t="s">
        <v>447</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row>
    <row r="36" spans="1:256" ht="12.75">
      <c r="A36" s="19" t="s">
        <v>448</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9"/>
      <c r="IV36" s="19"/>
    </row>
    <row r="37" spans="1:256" ht="12.75">
      <c r="A37" s="19" t="s">
        <v>549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row>
    <row r="38" spans="1:256" ht="12.75">
      <c r="A38" s="19" t="s">
        <v>550</v>
      </c>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row>
    <row r="39" spans="1:256" ht="12.75">
      <c r="A39" s="19" t="s">
        <v>551</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row>
    <row r="40" spans="1:2" ht="12.75">
      <c r="A40" s="1" t="s">
        <v>436</v>
      </c>
      <c r="B40" s="1" t="s">
        <v>7</v>
      </c>
    </row>
    <row r="41" ht="12.75">
      <c r="A41" s="1" t="s">
        <v>437</v>
      </c>
    </row>
    <row r="42" ht="12.75">
      <c r="A42" s="1" t="s">
        <v>438</v>
      </c>
    </row>
    <row r="43" ht="12.75">
      <c r="A43" s="1" t="s">
        <v>552</v>
      </c>
    </row>
    <row r="44" ht="12.75">
      <c r="A44" s="1" t="s">
        <v>553</v>
      </c>
    </row>
    <row r="45" ht="12.75">
      <c r="A45" s="1" t="s">
        <v>554</v>
      </c>
    </row>
    <row r="46" spans="1:2" ht="12.75">
      <c r="A46" s="1" t="s">
        <v>651</v>
      </c>
      <c r="B46" s="1" t="s">
        <v>652</v>
      </c>
    </row>
    <row r="47" ht="12.75">
      <c r="A47" s="1" t="s">
        <v>653</v>
      </c>
    </row>
    <row r="48" ht="12.75">
      <c r="A48" s="1" t="s">
        <v>654</v>
      </c>
    </row>
    <row r="49" spans="1:2" ht="12.75">
      <c r="A49" s="1" t="s">
        <v>658</v>
      </c>
      <c r="B49" s="1" t="s">
        <v>655</v>
      </c>
    </row>
    <row r="50" ht="12.75">
      <c r="A50" s="1" t="s">
        <v>656</v>
      </c>
    </row>
    <row r="51" ht="12.75">
      <c r="A51" s="1" t="s">
        <v>657</v>
      </c>
    </row>
    <row r="52" spans="1:2" ht="12.75">
      <c r="A52" s="1" t="s">
        <v>299</v>
      </c>
      <c r="B52" s="1" t="s">
        <v>302</v>
      </c>
    </row>
    <row r="53" ht="12.75">
      <c r="A53" s="1" t="s">
        <v>300</v>
      </c>
    </row>
    <row r="54" ht="12.75">
      <c r="A54" s="1" t="s">
        <v>301</v>
      </c>
    </row>
    <row r="55" spans="1:2" ht="12.75">
      <c r="A55" s="1" t="s">
        <v>320</v>
      </c>
      <c r="B55" s="1" t="s">
        <v>296</v>
      </c>
    </row>
    <row r="56" ht="12.75">
      <c r="A56" s="1" t="s">
        <v>321</v>
      </c>
    </row>
    <row r="57" ht="12.75">
      <c r="A57" s="1" t="s">
        <v>322</v>
      </c>
    </row>
    <row r="58" spans="1:2" ht="12.75">
      <c r="A58" s="1" t="s">
        <v>389</v>
      </c>
      <c r="B58" s="1" t="s">
        <v>392</v>
      </c>
    </row>
    <row r="59" ht="12.75">
      <c r="A59" s="1" t="s">
        <v>390</v>
      </c>
    </row>
    <row r="60" ht="12.75">
      <c r="A60" s="1" t="s">
        <v>391</v>
      </c>
    </row>
    <row r="61" spans="1:2" ht="12.75">
      <c r="A61" s="1" t="s">
        <v>291</v>
      </c>
      <c r="B61" s="1" t="s">
        <v>297</v>
      </c>
    </row>
    <row r="62" ht="12.75">
      <c r="A62" s="1" t="s">
        <v>290</v>
      </c>
    </row>
    <row r="63" ht="12.75">
      <c r="A63" s="1" t="s">
        <v>292</v>
      </c>
    </row>
    <row r="64" spans="1:2" ht="12.75">
      <c r="A64" s="1" t="s">
        <v>18</v>
      </c>
      <c r="B64" s="1" t="s">
        <v>298</v>
      </c>
    </row>
    <row r="65" ht="12.75">
      <c r="A65" s="1" t="s">
        <v>19</v>
      </c>
    </row>
    <row r="66" ht="12.75">
      <c r="A66" s="1" t="s">
        <v>20</v>
      </c>
    </row>
    <row r="67" spans="1:2" ht="12.75">
      <c r="A67" s="1" t="s">
        <v>15</v>
      </c>
      <c r="B67" s="1" t="s">
        <v>338</v>
      </c>
    </row>
    <row r="68" ht="12.75">
      <c r="A68" s="1" t="s">
        <v>16</v>
      </c>
    </row>
    <row r="69" ht="12.75">
      <c r="A69" s="1" t="s">
        <v>17</v>
      </c>
    </row>
    <row r="70" spans="1:2" ht="12.75">
      <c r="A70" s="1" t="s">
        <v>11</v>
      </c>
      <c r="B70" s="1" t="s">
        <v>461</v>
      </c>
    </row>
    <row r="71" ht="12.75">
      <c r="A71" s="1" t="s">
        <v>12</v>
      </c>
    </row>
    <row r="72" ht="12.75">
      <c r="A72" s="1" t="s">
        <v>13</v>
      </c>
    </row>
    <row r="73" spans="1:2" ht="12.75">
      <c r="A73" s="1" t="s">
        <v>11</v>
      </c>
      <c r="B73" s="1" t="s">
        <v>24</v>
      </c>
    </row>
    <row r="74" ht="12.75">
      <c r="A74" s="1" t="s">
        <v>12</v>
      </c>
    </row>
    <row r="75" ht="12.75">
      <c r="A75" s="1" t="s">
        <v>13</v>
      </c>
    </row>
    <row r="76" spans="1:2" ht="12.75">
      <c r="A76" s="1" t="s">
        <v>8</v>
      </c>
      <c r="B76" s="1" t="s">
        <v>25</v>
      </c>
    </row>
    <row r="77" ht="12.75">
      <c r="A77" s="1" t="s">
        <v>9</v>
      </c>
    </row>
    <row r="78" ht="12.75">
      <c r="A78" s="1" t="s">
        <v>10</v>
      </c>
    </row>
    <row r="79" spans="1:2" ht="12.75">
      <c r="A79" s="1" t="s">
        <v>293</v>
      </c>
      <c r="B79" s="1" t="s">
        <v>26</v>
      </c>
    </row>
    <row r="80" ht="12.75">
      <c r="A80" s="1" t="s">
        <v>294</v>
      </c>
    </row>
    <row r="81" ht="12.75">
      <c r="A81" s="1" t="s">
        <v>295</v>
      </c>
    </row>
    <row r="82" spans="1:2" ht="12.75">
      <c r="A82" s="1" t="s">
        <v>21</v>
      </c>
      <c r="B82" s="1" t="s">
        <v>27</v>
      </c>
    </row>
    <row r="83" spans="1:4" ht="12.75">
      <c r="A83" s="1" t="s">
        <v>22</v>
      </c>
      <c r="D83" s="28"/>
    </row>
    <row r="84" spans="1:4" ht="12.75">
      <c r="A84" s="1" t="s">
        <v>23</v>
      </c>
      <c r="D84" s="28"/>
    </row>
    <row r="85" spans="1:4" ht="12.75">
      <c r="A85" s="1" t="s">
        <v>85</v>
      </c>
      <c r="B85" s="1" t="s">
        <v>138</v>
      </c>
      <c r="D85" s="28"/>
    </row>
    <row r="86" spans="1:4" ht="12.75">
      <c r="A86" s="28" t="s">
        <v>433</v>
      </c>
      <c r="C86" s="19"/>
      <c r="D86" s="28"/>
    </row>
    <row r="87" spans="1:3" ht="12.75">
      <c r="A87" s="19" t="s">
        <v>545</v>
      </c>
      <c r="C87" s="19"/>
    </row>
    <row r="88" spans="1:2" ht="12.75">
      <c r="A88" s="1" t="s">
        <v>88</v>
      </c>
      <c r="B88" s="1" t="s">
        <v>139</v>
      </c>
    </row>
    <row r="89" ht="12.75">
      <c r="A89" s="1" t="s">
        <v>91</v>
      </c>
    </row>
    <row r="90" ht="12.75">
      <c r="A90" s="1" t="s">
        <v>94</v>
      </c>
    </row>
    <row r="91" spans="1:2" ht="12.75">
      <c r="A91" s="22" t="s">
        <v>452</v>
      </c>
      <c r="B91" s="1" t="s">
        <v>455</v>
      </c>
    </row>
    <row r="92" ht="12.75">
      <c r="A92" s="22" t="s">
        <v>453</v>
      </c>
    </row>
    <row r="93" ht="12.75">
      <c r="A93" s="22" t="s">
        <v>454</v>
      </c>
    </row>
    <row r="94" spans="1:2" ht="12.75">
      <c r="A94" s="1" t="s">
        <v>99</v>
      </c>
      <c r="B94" s="1" t="s">
        <v>140</v>
      </c>
    </row>
    <row r="95" ht="12.75">
      <c r="A95" s="1" t="s">
        <v>101</v>
      </c>
    </row>
    <row r="96" ht="12.75">
      <c r="A96" s="1" t="s">
        <v>103</v>
      </c>
    </row>
    <row r="97" spans="1:16" ht="12.75">
      <c r="A97" s="1" t="s">
        <v>125</v>
      </c>
      <c r="B97" s="1" t="s">
        <v>141</v>
      </c>
      <c r="C97" s="6"/>
      <c r="D97" s="6"/>
      <c r="E97" s="6"/>
      <c r="F97" s="6"/>
      <c r="G97" s="6"/>
      <c r="H97" s="6"/>
      <c r="I97" s="6"/>
      <c r="J97" s="6"/>
      <c r="K97" s="6"/>
      <c r="L97" s="6"/>
      <c r="M97" s="6"/>
      <c r="N97" s="6"/>
      <c r="O97" s="6"/>
      <c r="P97" s="6"/>
    </row>
    <row r="98" ht="12.75">
      <c r="A98" s="1" t="s">
        <v>126</v>
      </c>
    </row>
    <row r="99" ht="12.75">
      <c r="A99" s="1" t="s">
        <v>127</v>
      </c>
    </row>
    <row r="100" spans="1:2" ht="12.75">
      <c r="A100" s="1" t="s">
        <v>128</v>
      </c>
      <c r="B100" s="1" t="s">
        <v>142</v>
      </c>
    </row>
    <row r="101" spans="1:2" ht="12.75">
      <c r="A101" s="1" t="s">
        <v>129</v>
      </c>
      <c r="B101" s="1" t="s">
        <v>143</v>
      </c>
    </row>
    <row r="102" ht="12.75">
      <c r="A102" s="1" t="s">
        <v>130</v>
      </c>
    </row>
    <row r="103" ht="12.75">
      <c r="A103" s="1" t="s">
        <v>131</v>
      </c>
    </row>
    <row r="104" spans="1:2" ht="12.75">
      <c r="A104" s="1" t="s">
        <v>132</v>
      </c>
      <c r="B104" s="1" t="s">
        <v>144</v>
      </c>
    </row>
    <row r="105" ht="12.75">
      <c r="A105" s="1" t="s">
        <v>133</v>
      </c>
    </row>
    <row r="106" ht="12.75">
      <c r="A106" s="1" t="s">
        <v>134</v>
      </c>
    </row>
    <row r="107" spans="1:2" ht="12.75">
      <c r="A107" s="1" t="s">
        <v>137</v>
      </c>
      <c r="B107" s="1" t="s">
        <v>142</v>
      </c>
    </row>
    <row r="108" spans="1:2" ht="12.75">
      <c r="A108" s="1" t="s">
        <v>540</v>
      </c>
      <c r="B108" s="1" t="s">
        <v>563</v>
      </c>
    </row>
    <row r="109" ht="12.75">
      <c r="A109" s="1" t="s">
        <v>541</v>
      </c>
    </row>
    <row r="110" spans="1:2" ht="12.75">
      <c r="A110" s="1" t="s">
        <v>662</v>
      </c>
      <c r="B110" s="1" t="s">
        <v>663</v>
      </c>
    </row>
    <row r="111" ht="12.75">
      <c r="A111" s="19" t="s">
        <v>667</v>
      </c>
    </row>
    <row r="112" ht="12.75">
      <c r="A112" s="19" t="s">
        <v>668</v>
      </c>
    </row>
    <row r="113" ht="12.75">
      <c r="A113" s="19" t="s">
        <v>666</v>
      </c>
    </row>
    <row r="114" ht="12.75">
      <c r="A114" s="1" t="s">
        <v>669</v>
      </c>
    </row>
    <row r="115" spans="1:2" ht="12.75">
      <c r="A115" s="1" t="s">
        <v>670</v>
      </c>
      <c r="B115" s="22">
        <v>1</v>
      </c>
    </row>
  </sheetData>
  <printOptions/>
  <pageMargins left="0.7874015748031497" right="0.7874015748031497" top="0.84" bottom="0.54" header="0.38" footer="0.24"/>
  <pageSetup fitToHeight="1" fitToWidth="1" horizontalDpi="600" verticalDpi="600" orientation="portrait" paperSize="9" scale="49" r:id="rId1"/>
  <headerFooter alignWithMargins="0">
    <oddHeader>&amp;L&amp;F, &amp;A&amp;R&amp;T, &amp;D</oddHead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56"/>
  <sheetViews>
    <sheetView workbookViewId="0" topLeftCell="A1">
      <selection activeCell="L10" sqref="L10"/>
    </sheetView>
  </sheetViews>
  <sheetFormatPr defaultColWidth="12" defaultRowHeight="12.75"/>
  <cols>
    <col min="1" max="1" width="12.83203125" style="19" customWidth="1"/>
    <col min="2" max="2" width="7.5" style="19" customWidth="1"/>
    <col min="3" max="3" width="18.66015625" style="19" customWidth="1"/>
    <col min="4" max="4" width="12" style="19" customWidth="1"/>
    <col min="5" max="5" width="12" style="1" customWidth="1"/>
    <col min="6" max="6" width="8.83203125" style="1" customWidth="1"/>
    <col min="7" max="7" width="11.16015625" style="20" customWidth="1"/>
    <col min="8" max="8" width="8.16015625" style="20" customWidth="1"/>
    <col min="9" max="9" width="9.66015625" style="45" customWidth="1"/>
    <col min="10" max="11" width="10" style="45" customWidth="1"/>
    <col min="12" max="12" width="11.16015625" style="45" customWidth="1"/>
    <col min="13" max="13" width="10" style="45" customWidth="1"/>
    <col min="14" max="14" width="12" style="8" customWidth="1"/>
    <col min="15" max="15" width="12" style="30" customWidth="1"/>
    <col min="16" max="16" width="12.83203125" style="30" bestFit="1" customWidth="1"/>
    <col min="17" max="16384" width="12" style="1" customWidth="1"/>
  </cols>
  <sheetData>
    <row r="1" spans="1:16" s="5" customFormat="1" ht="12.75">
      <c r="A1" s="25"/>
      <c r="B1" s="25"/>
      <c r="C1" s="25" t="s">
        <v>116</v>
      </c>
      <c r="D1" s="25" t="s">
        <v>2</v>
      </c>
      <c r="E1" s="5" t="s">
        <v>431</v>
      </c>
      <c r="F1" s="5" t="s">
        <v>145</v>
      </c>
      <c r="G1" s="26" t="s">
        <v>78</v>
      </c>
      <c r="H1" s="26"/>
      <c r="I1" s="54"/>
      <c r="J1" s="54"/>
      <c r="K1" s="54"/>
      <c r="L1" s="54"/>
      <c r="M1" s="54"/>
      <c r="N1" s="6"/>
      <c r="O1" s="32"/>
      <c r="P1" s="32"/>
    </row>
    <row r="2" spans="4:16" ht="13.5" thickBot="1">
      <c r="D2" s="19" t="s">
        <v>80</v>
      </c>
      <c r="E2" s="1" t="s">
        <v>430</v>
      </c>
      <c r="F2" s="1" t="s">
        <v>115</v>
      </c>
      <c r="G2" s="20">
        <v>5</v>
      </c>
      <c r="N2" s="45"/>
      <c r="O2" s="45"/>
      <c r="P2" s="45"/>
    </row>
    <row r="3" spans="3:14" ht="12.75">
      <c r="C3" s="10" t="s">
        <v>109</v>
      </c>
      <c r="D3" s="11" t="s">
        <v>81</v>
      </c>
      <c r="E3" s="11" t="s">
        <v>430</v>
      </c>
      <c r="F3" s="11" t="s">
        <v>649</v>
      </c>
      <c r="G3" s="12">
        <v>6</v>
      </c>
      <c r="N3" s="30"/>
    </row>
    <row r="4" spans="1:14" ht="13.5" thickBot="1">
      <c r="A4" s="28"/>
      <c r="B4" s="28"/>
      <c r="C4" s="14"/>
      <c r="D4" s="15" t="s">
        <v>82</v>
      </c>
      <c r="E4" s="15" t="s">
        <v>430</v>
      </c>
      <c r="F4" s="15" t="s">
        <v>649</v>
      </c>
      <c r="G4" s="16">
        <v>7</v>
      </c>
      <c r="N4" s="30"/>
    </row>
    <row r="5" spans="2:14" ht="12.75">
      <c r="B5" s="28"/>
      <c r="C5" s="10" t="s">
        <v>110</v>
      </c>
      <c r="D5" s="11" t="s">
        <v>83</v>
      </c>
      <c r="E5" s="11" t="s">
        <v>430</v>
      </c>
      <c r="F5" s="11" t="s">
        <v>115</v>
      </c>
      <c r="G5" s="12">
        <v>9</v>
      </c>
      <c r="N5" s="30"/>
    </row>
    <row r="6" spans="2:14" ht="12.75">
      <c r="B6" s="28"/>
      <c r="C6" s="18"/>
      <c r="D6" s="19" t="s">
        <v>84</v>
      </c>
      <c r="E6" s="19" t="s">
        <v>430</v>
      </c>
      <c r="F6" s="19" t="s">
        <v>649</v>
      </c>
      <c r="G6" s="20">
        <v>11</v>
      </c>
      <c r="N6" s="30"/>
    </row>
    <row r="7" spans="3:14" ht="12.75">
      <c r="C7" s="18"/>
      <c r="D7" s="19" t="s">
        <v>86</v>
      </c>
      <c r="E7" s="19" t="s">
        <v>430</v>
      </c>
      <c r="F7" s="19" t="s">
        <v>649</v>
      </c>
      <c r="G7" s="20">
        <v>14</v>
      </c>
      <c r="N7" s="30"/>
    </row>
    <row r="8" spans="1:14" ht="13.5" thickBot="1">
      <c r="A8" s="28"/>
      <c r="B8" s="28"/>
      <c r="C8" s="14"/>
      <c r="D8" s="15" t="s">
        <v>87</v>
      </c>
      <c r="E8" s="15" t="s">
        <v>430</v>
      </c>
      <c r="F8" s="15" t="s">
        <v>649</v>
      </c>
      <c r="G8" s="16">
        <v>17</v>
      </c>
      <c r="N8" s="30"/>
    </row>
    <row r="9" spans="1:14" ht="12.75">
      <c r="A9" s="28"/>
      <c r="B9" s="28"/>
      <c r="C9" s="10" t="s">
        <v>111</v>
      </c>
      <c r="D9" s="11" t="s">
        <v>90</v>
      </c>
      <c r="E9" s="11" t="s">
        <v>430</v>
      </c>
      <c r="F9" s="11" t="s">
        <v>649</v>
      </c>
      <c r="G9" s="12">
        <v>20</v>
      </c>
      <c r="N9" s="30"/>
    </row>
    <row r="10" spans="1:14" ht="12.75">
      <c r="A10" s="28"/>
      <c r="B10" s="28"/>
      <c r="C10" s="18"/>
      <c r="D10" s="19" t="s">
        <v>93</v>
      </c>
      <c r="E10" s="19" t="s">
        <v>430</v>
      </c>
      <c r="F10" s="19" t="s">
        <v>649</v>
      </c>
      <c r="G10" s="20">
        <v>22</v>
      </c>
      <c r="N10" s="30"/>
    </row>
    <row r="11" spans="1:14" ht="12.75">
      <c r="A11" s="28"/>
      <c r="B11" s="28"/>
      <c r="C11" s="18"/>
      <c r="D11" s="19" t="s">
        <v>96</v>
      </c>
      <c r="E11" s="19" t="s">
        <v>430</v>
      </c>
      <c r="F11" s="19" t="s">
        <v>649</v>
      </c>
      <c r="G11" s="20">
        <v>24</v>
      </c>
      <c r="N11" s="30"/>
    </row>
    <row r="12" spans="1:14" ht="12.75">
      <c r="A12" s="28"/>
      <c r="B12" s="28"/>
      <c r="C12" s="18"/>
      <c r="D12" s="19" t="s">
        <v>97</v>
      </c>
      <c r="E12" s="19" t="s">
        <v>430</v>
      </c>
      <c r="F12" s="19" t="s">
        <v>146</v>
      </c>
      <c r="G12" s="20">
        <v>26</v>
      </c>
      <c r="N12" s="30"/>
    </row>
    <row r="13" spans="1:14" ht="13.5" thickBot="1">
      <c r="A13" s="28"/>
      <c r="B13" s="28"/>
      <c r="C13" s="14"/>
      <c r="D13" s="15" t="s">
        <v>98</v>
      </c>
      <c r="E13" s="15" t="s">
        <v>430</v>
      </c>
      <c r="F13" s="15" t="s">
        <v>649</v>
      </c>
      <c r="G13" s="16">
        <v>27</v>
      </c>
      <c r="N13" s="30"/>
    </row>
    <row r="14" spans="1:14" ht="12.75">
      <c r="A14" s="28"/>
      <c r="B14" s="28"/>
      <c r="C14" s="10" t="s">
        <v>112</v>
      </c>
      <c r="D14" s="11" t="s">
        <v>100</v>
      </c>
      <c r="E14" s="11" t="s">
        <v>430</v>
      </c>
      <c r="F14" s="11" t="s">
        <v>146</v>
      </c>
      <c r="G14" s="12">
        <v>31</v>
      </c>
      <c r="N14" s="30"/>
    </row>
    <row r="15" spans="3:14" ht="12.75">
      <c r="C15" s="18"/>
      <c r="D15" s="19" t="s">
        <v>102</v>
      </c>
      <c r="E15" s="19" t="s">
        <v>430</v>
      </c>
      <c r="F15" s="19" t="s">
        <v>649</v>
      </c>
      <c r="G15" s="20">
        <v>36</v>
      </c>
      <c r="N15" s="30"/>
    </row>
    <row r="16" spans="3:14" ht="13.5" thickBot="1">
      <c r="C16" s="14"/>
      <c r="D16" s="15" t="s">
        <v>104</v>
      </c>
      <c r="E16" s="15" t="s">
        <v>430</v>
      </c>
      <c r="F16" s="15" t="s">
        <v>147</v>
      </c>
      <c r="G16" s="16">
        <v>38</v>
      </c>
      <c r="N16" s="30"/>
    </row>
    <row r="17" spans="4:14" ht="13.5" thickBot="1">
      <c r="D17" s="19" t="s">
        <v>100</v>
      </c>
      <c r="E17" s="1" t="s">
        <v>430</v>
      </c>
      <c r="F17" s="1" t="s">
        <v>115</v>
      </c>
      <c r="G17" s="20">
        <v>31</v>
      </c>
      <c r="N17" s="30"/>
    </row>
    <row r="18" spans="3:14" ht="12.75">
      <c r="C18" s="10" t="s">
        <v>113</v>
      </c>
      <c r="D18" s="11" t="s">
        <v>105</v>
      </c>
      <c r="E18" s="11" t="s">
        <v>430</v>
      </c>
      <c r="F18" s="11" t="s">
        <v>146</v>
      </c>
      <c r="G18" s="12">
        <v>46</v>
      </c>
      <c r="N18" s="30"/>
    </row>
    <row r="19" spans="3:14" ht="13.5" thickBot="1">
      <c r="C19" s="14"/>
      <c r="D19" s="15" t="s">
        <v>106</v>
      </c>
      <c r="E19" s="15" t="s">
        <v>430</v>
      </c>
      <c r="F19" s="15" t="s">
        <v>147</v>
      </c>
      <c r="G19" s="16">
        <v>51</v>
      </c>
      <c r="N19" s="30"/>
    </row>
    <row r="20" spans="4:14" ht="13.5" thickBot="1">
      <c r="D20" s="19" t="s">
        <v>105</v>
      </c>
      <c r="E20" s="1" t="s">
        <v>430</v>
      </c>
      <c r="F20" s="1" t="s">
        <v>115</v>
      </c>
      <c r="G20" s="20">
        <v>46</v>
      </c>
      <c r="N20" s="30"/>
    </row>
    <row r="21" spans="3:14" ht="12.75">
      <c r="C21" s="10" t="s">
        <v>114</v>
      </c>
      <c r="D21" s="11" t="s">
        <v>107</v>
      </c>
      <c r="E21" s="11" t="s">
        <v>430</v>
      </c>
      <c r="F21" s="11" t="s">
        <v>649</v>
      </c>
      <c r="G21" s="12">
        <v>57</v>
      </c>
      <c r="N21" s="30"/>
    </row>
    <row r="22" spans="3:14" ht="13.5" thickBot="1">
      <c r="C22" s="14"/>
      <c r="D22" s="15" t="s">
        <v>108</v>
      </c>
      <c r="E22" s="15" t="s">
        <v>430</v>
      </c>
      <c r="F22" s="15" t="s">
        <v>147</v>
      </c>
      <c r="G22" s="16">
        <v>59</v>
      </c>
      <c r="N22" s="30"/>
    </row>
    <row r="23" spans="1:14" ht="13.5" thickBot="1">
      <c r="A23" s="28"/>
      <c r="B23" s="28"/>
      <c r="C23" s="101"/>
      <c r="D23" s="15" t="s">
        <v>87</v>
      </c>
      <c r="E23" s="15" t="s">
        <v>546</v>
      </c>
      <c r="F23" s="15" t="s">
        <v>115</v>
      </c>
      <c r="G23" s="20">
        <v>17</v>
      </c>
      <c r="N23" s="30"/>
    </row>
    <row r="24" spans="1:14" ht="12.75">
      <c r="A24" s="28"/>
      <c r="B24" s="28"/>
      <c r="C24" s="10" t="s">
        <v>411</v>
      </c>
      <c r="D24" s="11" t="s">
        <v>412</v>
      </c>
      <c r="E24" s="11" t="s">
        <v>546</v>
      </c>
      <c r="F24" s="11" t="s">
        <v>649</v>
      </c>
      <c r="G24" s="12">
        <v>22</v>
      </c>
      <c r="N24" s="30"/>
    </row>
    <row r="25" spans="1:14" ht="12.75">
      <c r="A25" s="28"/>
      <c r="B25" s="28"/>
      <c r="C25" s="18"/>
      <c r="D25" s="19" t="s">
        <v>413</v>
      </c>
      <c r="E25" s="19" t="s">
        <v>546</v>
      </c>
      <c r="F25" s="19" t="s">
        <v>146</v>
      </c>
      <c r="G25" s="20">
        <v>26</v>
      </c>
      <c r="N25" s="30"/>
    </row>
    <row r="26" spans="1:14" ht="12.75">
      <c r="A26" s="28"/>
      <c r="B26" s="28"/>
      <c r="C26" s="18"/>
      <c r="D26" s="19" t="s">
        <v>414</v>
      </c>
      <c r="E26" s="19" t="s">
        <v>546</v>
      </c>
      <c r="F26" s="19" t="s">
        <v>649</v>
      </c>
      <c r="G26" s="20">
        <v>30</v>
      </c>
      <c r="N26" s="30"/>
    </row>
    <row r="27" spans="1:14" ht="13.5" thickBot="1">
      <c r="A27" s="28"/>
      <c r="B27" s="28"/>
      <c r="C27" s="14"/>
      <c r="D27" s="15" t="s">
        <v>415</v>
      </c>
      <c r="E27" s="15" t="s">
        <v>546</v>
      </c>
      <c r="F27" s="15" t="s">
        <v>649</v>
      </c>
      <c r="G27" s="16">
        <v>36</v>
      </c>
      <c r="N27" s="30"/>
    </row>
    <row r="28" spans="1:14" ht="12.75">
      <c r="A28" s="28"/>
      <c r="B28" s="28"/>
      <c r="C28" s="10" t="s">
        <v>416</v>
      </c>
      <c r="D28" s="11" t="s">
        <v>417</v>
      </c>
      <c r="E28" s="11" t="s">
        <v>546</v>
      </c>
      <c r="F28" s="11" t="s">
        <v>146</v>
      </c>
      <c r="G28" s="20">
        <v>39</v>
      </c>
      <c r="N28" s="30"/>
    </row>
    <row r="29" spans="1:14" ht="12.75">
      <c r="A29" s="28"/>
      <c r="B29" s="28"/>
      <c r="C29" s="18"/>
      <c r="D29" s="19" t="s">
        <v>418</v>
      </c>
      <c r="E29" s="19" t="s">
        <v>546</v>
      </c>
      <c r="F29" s="19" t="s">
        <v>649</v>
      </c>
      <c r="G29" s="20">
        <v>43</v>
      </c>
      <c r="N29" s="30"/>
    </row>
    <row r="30" spans="3:14" ht="12.75">
      <c r="C30" s="18"/>
      <c r="D30" s="19" t="s">
        <v>626</v>
      </c>
      <c r="E30" s="19" t="s">
        <v>546</v>
      </c>
      <c r="F30" s="19" t="s">
        <v>649</v>
      </c>
      <c r="G30" s="20">
        <v>46</v>
      </c>
      <c r="N30" s="30"/>
    </row>
    <row r="31" spans="3:14" ht="12.75">
      <c r="C31" s="18"/>
      <c r="D31" s="19" t="s">
        <v>627</v>
      </c>
      <c r="E31" s="19" t="s">
        <v>546</v>
      </c>
      <c r="F31" s="19" t="s">
        <v>649</v>
      </c>
      <c r="G31" s="20">
        <v>51</v>
      </c>
      <c r="N31" s="30"/>
    </row>
    <row r="32" spans="3:14" ht="12.75">
      <c r="C32" s="18"/>
      <c r="D32" s="19" t="s">
        <v>419</v>
      </c>
      <c r="E32" s="19" t="s">
        <v>546</v>
      </c>
      <c r="F32" s="19" t="s">
        <v>649</v>
      </c>
      <c r="G32" s="20">
        <v>56</v>
      </c>
      <c r="N32" s="30"/>
    </row>
    <row r="33" spans="3:14" ht="12.75">
      <c r="C33" s="18"/>
      <c r="D33" s="19" t="s">
        <v>420</v>
      </c>
      <c r="E33" s="19" t="s">
        <v>546</v>
      </c>
      <c r="F33" s="19" t="s">
        <v>146</v>
      </c>
      <c r="G33" s="20">
        <v>60</v>
      </c>
      <c r="N33" s="30"/>
    </row>
    <row r="34" spans="3:14" ht="12.75">
      <c r="C34" s="18"/>
      <c r="D34" s="19" t="s">
        <v>421</v>
      </c>
      <c r="E34" s="19" t="s">
        <v>546</v>
      </c>
      <c r="F34" s="19" t="s">
        <v>649</v>
      </c>
      <c r="G34" s="20">
        <v>63</v>
      </c>
      <c r="N34" s="30"/>
    </row>
    <row r="35" spans="3:14" ht="12.75">
      <c r="C35" s="18"/>
      <c r="D35" s="19" t="s">
        <v>422</v>
      </c>
      <c r="E35" s="19" t="s">
        <v>546</v>
      </c>
      <c r="F35" s="19" t="s">
        <v>649</v>
      </c>
      <c r="G35" s="20">
        <v>67</v>
      </c>
      <c r="N35" s="30"/>
    </row>
    <row r="36" spans="3:14" ht="12.75">
      <c r="C36" s="18"/>
      <c r="D36" s="19" t="s">
        <v>628</v>
      </c>
      <c r="E36" s="19" t="s">
        <v>546</v>
      </c>
      <c r="F36" s="19" t="s">
        <v>146</v>
      </c>
      <c r="G36" s="20">
        <v>69</v>
      </c>
      <c r="N36" s="30"/>
    </row>
    <row r="37" spans="3:14" ht="13.5" thickBot="1">
      <c r="C37" s="14"/>
      <c r="D37" s="15" t="s">
        <v>423</v>
      </c>
      <c r="E37" s="19" t="s">
        <v>546</v>
      </c>
      <c r="F37" s="15" t="s">
        <v>147</v>
      </c>
      <c r="G37" s="20">
        <v>71</v>
      </c>
      <c r="N37" s="30"/>
    </row>
    <row r="38" spans="3:14" ht="12.75">
      <c r="C38" s="10" t="s">
        <v>424</v>
      </c>
      <c r="D38" s="11" t="s">
        <v>544</v>
      </c>
      <c r="E38" s="11" t="s">
        <v>546</v>
      </c>
      <c r="F38" s="11" t="s">
        <v>146</v>
      </c>
      <c r="G38" s="12">
        <v>102</v>
      </c>
      <c r="N38" s="30"/>
    </row>
    <row r="39" spans="3:14" ht="12.75">
      <c r="C39" s="18"/>
      <c r="D39" s="19" t="s">
        <v>435</v>
      </c>
      <c r="E39" s="19" t="s">
        <v>546</v>
      </c>
      <c r="F39" s="19" t="s">
        <v>649</v>
      </c>
      <c r="G39" s="20">
        <v>98</v>
      </c>
      <c r="N39" s="30"/>
    </row>
    <row r="40" spans="3:14" ht="12.75">
      <c r="C40" s="18"/>
      <c r="D40" s="19" t="s">
        <v>417</v>
      </c>
      <c r="E40" s="19" t="s">
        <v>546</v>
      </c>
      <c r="F40" s="19" t="s">
        <v>146</v>
      </c>
      <c r="G40" s="20">
        <v>39</v>
      </c>
      <c r="N40" s="30"/>
    </row>
    <row r="41" spans="3:14" ht="12.75">
      <c r="C41" s="18"/>
      <c r="D41" s="19" t="s">
        <v>425</v>
      </c>
      <c r="E41" s="19" t="s">
        <v>546</v>
      </c>
      <c r="F41" s="19" t="s">
        <v>649</v>
      </c>
      <c r="G41" s="20">
        <v>111</v>
      </c>
      <c r="N41" s="30"/>
    </row>
    <row r="42" spans="3:14" ht="12.75">
      <c r="C42" s="18"/>
      <c r="D42" s="19" t="s">
        <v>629</v>
      </c>
      <c r="E42" s="19" t="s">
        <v>546</v>
      </c>
      <c r="F42" s="19" t="s">
        <v>649</v>
      </c>
      <c r="G42" s="20">
        <v>114</v>
      </c>
      <c r="N42" s="30"/>
    </row>
    <row r="43" spans="3:14" ht="12.75">
      <c r="C43" s="18"/>
      <c r="D43" s="19" t="s">
        <v>630</v>
      </c>
      <c r="E43" s="19" t="s">
        <v>546</v>
      </c>
      <c r="F43" s="19" t="s">
        <v>649</v>
      </c>
      <c r="G43" s="20">
        <v>119</v>
      </c>
      <c r="N43" s="30"/>
    </row>
    <row r="44" spans="3:14" ht="12.75">
      <c r="C44" s="18"/>
      <c r="D44" s="19" t="s">
        <v>426</v>
      </c>
      <c r="E44" s="19" t="s">
        <v>546</v>
      </c>
      <c r="F44" s="19" t="s">
        <v>649</v>
      </c>
      <c r="G44" s="20">
        <v>124</v>
      </c>
      <c r="N44" s="30"/>
    </row>
    <row r="45" spans="3:14" ht="12.75">
      <c r="C45" s="18"/>
      <c r="D45" s="19" t="s">
        <v>420</v>
      </c>
      <c r="E45" s="19" t="s">
        <v>546</v>
      </c>
      <c r="F45" s="19" t="s">
        <v>146</v>
      </c>
      <c r="G45" s="20">
        <v>60</v>
      </c>
      <c r="N45" s="30"/>
    </row>
    <row r="46" spans="3:14" ht="12.75">
      <c r="C46" s="18"/>
      <c r="D46" s="19" t="s">
        <v>427</v>
      </c>
      <c r="E46" s="19" t="s">
        <v>546</v>
      </c>
      <c r="F46" s="19" t="s">
        <v>649</v>
      </c>
      <c r="G46" s="20">
        <v>131</v>
      </c>
      <c r="N46" s="30"/>
    </row>
    <row r="47" spans="3:14" ht="12.75">
      <c r="C47" s="18"/>
      <c r="D47" s="19" t="s">
        <v>428</v>
      </c>
      <c r="E47" s="19" t="s">
        <v>546</v>
      </c>
      <c r="F47" s="19" t="s">
        <v>649</v>
      </c>
      <c r="G47" s="20">
        <v>136</v>
      </c>
      <c r="N47" s="30"/>
    </row>
    <row r="48" spans="3:14" ht="12.75">
      <c r="C48" s="18"/>
      <c r="D48" s="19" t="s">
        <v>631</v>
      </c>
      <c r="E48" s="19" t="s">
        <v>546</v>
      </c>
      <c r="F48" s="19" t="s">
        <v>146</v>
      </c>
      <c r="G48" s="20">
        <v>138</v>
      </c>
      <c r="N48" s="30"/>
    </row>
    <row r="49" spans="3:14" ht="13.5" thickBot="1">
      <c r="C49" s="14"/>
      <c r="D49" s="15" t="s">
        <v>429</v>
      </c>
      <c r="E49" s="15" t="s">
        <v>546</v>
      </c>
      <c r="F49" s="15" t="s">
        <v>147</v>
      </c>
      <c r="G49" s="16">
        <v>140</v>
      </c>
      <c r="N49" s="30"/>
    </row>
    <row r="50" spans="5:12" ht="12.75">
      <c r="E50" s="19"/>
      <c r="F50" s="19"/>
      <c r="L50" s="84"/>
    </row>
    <row r="51" spans="5:12" ht="12.75">
      <c r="E51" s="19"/>
      <c r="F51" s="19"/>
      <c r="L51" s="84"/>
    </row>
    <row r="52" spans="3:12" ht="12.75">
      <c r="C52" s="23" t="s">
        <v>124</v>
      </c>
      <c r="D52" s="1"/>
      <c r="L52" s="84"/>
    </row>
    <row r="53" spans="3:12" ht="12.75">
      <c r="C53" s="1" t="s">
        <v>14</v>
      </c>
      <c r="D53" s="1" t="str">
        <f>"-Zsyno"</f>
        <v>-Zsyno</v>
      </c>
      <c r="E53" s="1" t="s">
        <v>117</v>
      </c>
      <c r="L53" s="84"/>
    </row>
    <row r="54" spans="3:12" ht="12.75">
      <c r="C54" s="1" t="s">
        <v>69</v>
      </c>
      <c r="D54" s="1" t="s">
        <v>120</v>
      </c>
      <c r="E54" s="1" t="s">
        <v>118</v>
      </c>
      <c r="L54" s="84"/>
    </row>
    <row r="55" spans="3:12" ht="12.75">
      <c r="C55" s="1" t="s">
        <v>70</v>
      </c>
      <c r="D55" s="1" t="s">
        <v>121</v>
      </c>
      <c r="E55" s="1" t="s">
        <v>119</v>
      </c>
      <c r="L55" s="84"/>
    </row>
    <row r="56" spans="5:12" ht="12.75">
      <c r="E56" s="19"/>
      <c r="F56" s="19"/>
      <c r="L56" s="84"/>
    </row>
  </sheetData>
  <printOptions/>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Header>&amp;L&amp;F, &amp;A&amp;R&amp;T, &amp;D</oddHead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56"/>
  <sheetViews>
    <sheetView zoomScale="75" zoomScaleNormal="75" workbookViewId="0" topLeftCell="A12">
      <selection activeCell="K25" sqref="K25"/>
    </sheetView>
  </sheetViews>
  <sheetFormatPr defaultColWidth="12" defaultRowHeight="12.75"/>
  <cols>
    <col min="1" max="2" width="12" style="1" customWidth="1"/>
    <col min="3" max="3" width="18.66015625" style="19" customWidth="1"/>
    <col min="4" max="4" width="12" style="19" customWidth="1"/>
    <col min="5" max="5" width="12" style="1" customWidth="1"/>
    <col min="6" max="6" width="8.83203125" style="1" customWidth="1"/>
    <col min="7" max="7" width="9.66015625" style="45" customWidth="1"/>
    <col min="8" max="8" width="11.16015625" style="45" customWidth="1"/>
    <col min="9" max="9" width="10" style="45" customWidth="1"/>
    <col min="10" max="10" width="11.16015625" style="45" customWidth="1"/>
    <col min="11" max="14" width="10" style="45" customWidth="1"/>
    <col min="15" max="20" width="10" style="120" customWidth="1"/>
    <col min="21" max="21" width="3.33203125" style="8" customWidth="1"/>
    <col min="22" max="22" width="12" style="30" customWidth="1"/>
    <col min="23" max="23" width="12.83203125" style="95" customWidth="1"/>
    <col min="24" max="16384" width="12" style="1" customWidth="1"/>
  </cols>
  <sheetData>
    <row r="1" spans="1:23" ht="12.75">
      <c r="A1" s="1" t="s">
        <v>555</v>
      </c>
      <c r="C1" s="25" t="s">
        <v>116</v>
      </c>
      <c r="D1" s="25" t="s">
        <v>2</v>
      </c>
      <c r="E1" s="5" t="s">
        <v>431</v>
      </c>
      <c r="F1" s="5" t="s">
        <v>145</v>
      </c>
      <c r="G1" s="115" t="s">
        <v>524</v>
      </c>
      <c r="H1" s="54" t="s">
        <v>538</v>
      </c>
      <c r="I1" s="54" t="s">
        <v>539</v>
      </c>
      <c r="J1" s="41" t="s">
        <v>540</v>
      </c>
      <c r="K1" s="43" t="s">
        <v>541</v>
      </c>
      <c r="L1" s="41" t="s">
        <v>564</v>
      </c>
      <c r="M1" s="42" t="s">
        <v>565</v>
      </c>
      <c r="N1" s="43" t="s">
        <v>566</v>
      </c>
      <c r="O1" s="119" t="s">
        <v>11</v>
      </c>
      <c r="P1" s="119" t="s">
        <v>12</v>
      </c>
      <c r="Q1" s="119" t="s">
        <v>13</v>
      </c>
      <c r="R1" s="121" t="s">
        <v>18</v>
      </c>
      <c r="S1" s="122" t="s">
        <v>19</v>
      </c>
      <c r="T1" s="123" t="s">
        <v>20</v>
      </c>
      <c r="U1" s="6"/>
      <c r="V1" s="32"/>
      <c r="W1" s="117"/>
    </row>
    <row r="2" spans="3:23" ht="13.5" thickBot="1">
      <c r="C2" s="19">
        <f aca="true" ca="1" t="shared" si="0" ref="C2:E21">IF(INDIRECT("SurfaceList!"&amp;ThisCol)="","",INDIRECT("SurfaceList!"&amp;ThisCol))</f>
      </c>
      <c r="D2" s="19" t="str">
        <f ca="1" t="shared" si="0"/>
        <v>Dummy</v>
      </c>
      <c r="E2" s="19" t="str">
        <f ca="1" t="shared" si="0"/>
        <v>Phot</v>
      </c>
      <c r="F2" s="19" t="str">
        <f aca="true" ca="1" t="shared" si="1" ref="F2:F49">IF(INDIRECT("SurfaceList!"&amp;ThisCol)="","",INDIRECT("SurfaceList!"&amp;ThisCol))</f>
        <v>Ignore</v>
      </c>
      <c r="G2" s="97">
        <f>AperturesSyno!Type</f>
      </c>
      <c r="H2" s="45">
        <f>IF(Flag="Ignore","",IF(Type="Circ",AperturesSyno!Dia,IF(Type="Ellips",AperturesSyno!EllipsX,AperturesSyno!RectX)))</f>
      </c>
      <c r="I2" s="45">
        <f>IF(Flag="Ignore","",IF(Type="Circ","",IF(Type="Ellips",AperturesSyno!EllipsY,AperturesSyno!RectY)))</f>
      </c>
      <c r="J2" s="44">
        <f>AperturesSyno!OffsetX</f>
      </c>
      <c r="K2" s="46">
        <f>IF(J2="","",AperturesSyno!OffsetY*(-1)*VertexCalc!NormDir)</f>
      </c>
      <c r="L2" s="44">
        <f aca="true" ca="1" t="shared" si="2" ref="L2:N21">IF(OR(Flag="Hole",Flag="Det"),IF(Csag="",INDIRECT("VertexCalc!"&amp;Axe&amp;"vertex"),INDIRECT("VertexCalc!"&amp;Axe&amp;"vertex")+Csag*INDIRECT("VertexCalc!"&amp;Axe&amp;"sag")+Ctang*INDIRECT("VertexCalc!"&amp;Axe&amp;"tang")),"")</f>
      </c>
      <c r="M2" s="45">
        <f ca="1" t="shared" si="2"/>
      </c>
      <c r="N2" s="46">
        <f ca="1" t="shared" si="2"/>
      </c>
      <c r="O2" s="120">
        <f aca="true" ca="1" t="shared" si="3" ref="O2:T11">IF(OR(Flag="Hole",Flag="Det"),INDIRECT("VertexCalc!"&amp;ThisCol),"")</f>
      </c>
      <c r="P2" s="120">
        <f ca="1" t="shared" si="3"/>
      </c>
      <c r="Q2" s="120">
        <f ca="1" t="shared" si="3"/>
      </c>
      <c r="R2" s="124">
        <f ca="1" t="shared" si="3"/>
      </c>
      <c r="S2" s="120">
        <f ca="1" t="shared" si="3"/>
      </c>
      <c r="T2" s="125">
        <f ca="1" t="shared" si="3"/>
      </c>
      <c r="U2" s="45"/>
      <c r="V2" s="45"/>
      <c r="W2" s="76"/>
    </row>
    <row r="3" spans="3:21" ht="12.75">
      <c r="C3" s="10" t="str">
        <f ca="1" t="shared" si="0"/>
        <v>Telescope</v>
      </c>
      <c r="D3" s="11" t="str">
        <f ca="1" t="shared" si="0"/>
        <v>M1</v>
      </c>
      <c r="E3" s="11" t="str">
        <f ca="1" t="shared" si="0"/>
        <v>Phot</v>
      </c>
      <c r="F3" s="11" t="str">
        <f ca="1" t="shared" si="1"/>
        <v>Mirror</v>
      </c>
      <c r="G3" s="98" t="str">
        <f>AperturesSyno!Type</f>
        <v>Circ</v>
      </c>
      <c r="H3" s="48">
        <f>IF(Flag="Ignore","",IF(Type="Circ",AperturesSyno!Dia,IF(Type="Ellips",AperturesSyno!EllipsX,AperturesSyno!RectX)))</f>
        <v>3500</v>
      </c>
      <c r="I3" s="48">
        <f>IF(Flag="Ignore","",IF(Type="Circ","",IF(Type="Ellips",AperturesSyno!EllipsY,AperturesSyno!RectY)))</f>
      </c>
      <c r="J3" s="47">
        <f>AperturesSyno!OffsetX</f>
      </c>
      <c r="K3" s="49">
        <f>IF(J3="","",AperturesSyno!OffsetY*(-1)*VertexCalc!NormDir)</f>
      </c>
      <c r="L3" s="47">
        <f ca="1" t="shared" si="2"/>
      </c>
      <c r="M3" s="48">
        <f ca="1" t="shared" si="2"/>
      </c>
      <c r="N3" s="49">
        <f ca="1" t="shared" si="2"/>
      </c>
      <c r="O3" s="129">
        <f ca="1" t="shared" si="3"/>
      </c>
      <c r="P3" s="129">
        <f ca="1" t="shared" si="3"/>
      </c>
      <c r="Q3" s="129">
        <f ca="1" t="shared" si="3"/>
      </c>
      <c r="R3" s="130">
        <f ca="1" t="shared" si="3"/>
      </c>
      <c r="S3" s="129">
        <f ca="1" t="shared" si="3"/>
      </c>
      <c r="T3" s="131">
        <f ca="1" t="shared" si="3"/>
      </c>
      <c r="U3" s="30"/>
    </row>
    <row r="4" spans="3:21" ht="13.5" thickBot="1">
      <c r="C4" s="14">
        <f ca="1" t="shared" si="0"/>
      </c>
      <c r="D4" s="15" t="str">
        <f ca="1" t="shared" si="0"/>
        <v>M2</v>
      </c>
      <c r="E4" s="15" t="str">
        <f ca="1" t="shared" si="0"/>
        <v>Phot</v>
      </c>
      <c r="F4" s="15" t="str">
        <f ca="1" t="shared" si="1"/>
        <v>Mirror</v>
      </c>
      <c r="G4" s="99" t="str">
        <f>AperturesSyno!Type</f>
        <v>Circ</v>
      </c>
      <c r="H4" s="51">
        <f>IF(Flag="Ignore","",IF(Type="Circ",AperturesSyno!Dia,IF(Type="Ellips",AperturesSyno!EllipsX,AperturesSyno!RectX)))</f>
        <v>308.12</v>
      </c>
      <c r="I4" s="51">
        <f>IF(Flag="Ignore","",IF(Type="Circ","",IF(Type="Ellips",AperturesSyno!EllipsY,AperturesSyno!RectY)))</f>
      </c>
      <c r="J4" s="50">
        <f>AperturesSyno!OffsetX</f>
      </c>
      <c r="K4" s="52">
        <f>IF(J4="","",AperturesSyno!OffsetY*(-1)*VertexCalc!NormDir)</f>
      </c>
      <c r="L4" s="50">
        <f ca="1" t="shared" si="2"/>
      </c>
      <c r="M4" s="51">
        <f ca="1" t="shared" si="2"/>
      </c>
      <c r="N4" s="52">
        <f ca="1" t="shared" si="2"/>
      </c>
      <c r="O4" s="127">
        <f ca="1" t="shared" si="3"/>
      </c>
      <c r="P4" s="127">
        <f ca="1" t="shared" si="3"/>
      </c>
      <c r="Q4" s="127">
        <f ca="1" t="shared" si="3"/>
      </c>
      <c r="R4" s="126">
        <f ca="1" t="shared" si="3"/>
      </c>
      <c r="S4" s="127">
        <f ca="1" t="shared" si="3"/>
      </c>
      <c r="T4" s="128">
        <f ca="1" t="shared" si="3"/>
      </c>
      <c r="U4" s="30"/>
    </row>
    <row r="5" spans="3:23" ht="12.75">
      <c r="C5" s="10" t="str">
        <f ca="1" t="shared" si="0"/>
        <v>Common optics</v>
      </c>
      <c r="D5" s="11" t="str">
        <f ca="1" t="shared" si="0"/>
        <v>CFP</v>
      </c>
      <c r="E5" s="11" t="str">
        <f ca="1" t="shared" si="0"/>
        <v>Phot</v>
      </c>
      <c r="F5" s="11" t="str">
        <f ca="1" t="shared" si="1"/>
        <v>Ignore</v>
      </c>
      <c r="G5" s="98">
        <f>AperturesSyno!Type</f>
      </c>
      <c r="H5" s="48">
        <f>IF(Flag="Ignore","",IF(Type="Circ",AperturesSyno!Dia,IF(Type="Ellips",AperturesSyno!EllipsX,AperturesSyno!RectX)))</f>
      </c>
      <c r="I5" s="48">
        <f>IF(Flag="Ignore","",IF(Type="Circ","",IF(Type="Ellips",AperturesSyno!EllipsY,AperturesSyno!RectY)))</f>
      </c>
      <c r="J5" s="47">
        <f>AperturesSyno!OffsetX</f>
      </c>
      <c r="K5" s="49">
        <f>IF(J5="","",AperturesSyno!OffsetY*(-1)*VertexCalc!NormDir)</f>
      </c>
      <c r="L5" s="44">
        <f ca="1" t="shared" si="2"/>
      </c>
      <c r="M5" s="45">
        <f ca="1" t="shared" si="2"/>
      </c>
      <c r="N5" s="46">
        <f ca="1" t="shared" si="2"/>
      </c>
      <c r="O5" s="120">
        <f ca="1" t="shared" si="3"/>
      </c>
      <c r="P5" s="120">
        <f ca="1" t="shared" si="3"/>
      </c>
      <c r="Q5" s="120">
        <f ca="1" t="shared" si="3"/>
      </c>
      <c r="R5" s="124">
        <f ca="1" t="shared" si="3"/>
      </c>
      <c r="S5" s="120">
        <f ca="1" t="shared" si="3"/>
      </c>
      <c r="T5" s="125">
        <f ca="1" t="shared" si="3"/>
      </c>
      <c r="U5" s="30"/>
      <c r="W5" s="96" t="s">
        <v>559</v>
      </c>
    </row>
    <row r="6" spans="3:23" ht="12.75">
      <c r="C6" s="18">
        <f ca="1" t="shared" si="0"/>
      </c>
      <c r="D6" s="19" t="str">
        <f ca="1" t="shared" si="0"/>
        <v>CM3</v>
      </c>
      <c r="E6" s="19" t="str">
        <f ca="1" t="shared" si="0"/>
        <v>Phot</v>
      </c>
      <c r="F6" s="19" t="str">
        <f ca="1" t="shared" si="1"/>
        <v>Mirror</v>
      </c>
      <c r="G6" s="97" t="str">
        <f>AperturesSyno!Type</f>
        <v>Rect</v>
      </c>
      <c r="H6" s="45">
        <f>IF(Flag="Ignore","",IF(Type="Circ",AperturesSyno!Dia,IF(Type="Ellips",AperturesSyno!EllipsX,AperturesSyno!RectX)))</f>
        <v>139</v>
      </c>
      <c r="I6" s="45">
        <f>IF(Flag="Ignore","",IF(Type="Circ","",IF(Type="Ellips",AperturesSyno!EllipsY,AperturesSyno!RectY)))</f>
        <v>62</v>
      </c>
      <c r="J6" s="44">
        <f>AperturesSyno!OffsetX</f>
        <v>-19.5</v>
      </c>
      <c r="K6" s="46">
        <f>IF(J6="","",AperturesSyno!OffsetY*(-1)*VertexCalc!NormDir)</f>
        <v>145</v>
      </c>
      <c r="L6" s="44">
        <f ca="1" t="shared" si="2"/>
      </c>
      <c r="M6" s="45">
        <f ca="1" t="shared" si="2"/>
      </c>
      <c r="N6" s="46">
        <f ca="1" t="shared" si="2"/>
      </c>
      <c r="O6" s="120">
        <f ca="1" t="shared" si="3"/>
      </c>
      <c r="P6" s="120">
        <f ca="1" t="shared" si="3"/>
      </c>
      <c r="Q6" s="120">
        <f ca="1" t="shared" si="3"/>
      </c>
      <c r="R6" s="124">
        <f ca="1" t="shared" si="3"/>
      </c>
      <c r="S6" s="120">
        <f ca="1" t="shared" si="3"/>
      </c>
      <c r="T6" s="125">
        <f ca="1" t="shared" si="3"/>
      </c>
      <c r="U6" s="30"/>
      <c r="W6" s="117" t="s">
        <v>560</v>
      </c>
    </row>
    <row r="7" spans="3:21" ht="12.75">
      <c r="C7" s="18">
        <f ca="1" t="shared" si="0"/>
      </c>
      <c r="D7" s="19" t="str">
        <f ca="1" t="shared" si="0"/>
        <v>CM4</v>
      </c>
      <c r="E7" s="19" t="str">
        <f ca="1" t="shared" si="0"/>
        <v>Phot</v>
      </c>
      <c r="F7" s="19" t="str">
        <f ca="1" t="shared" si="1"/>
        <v>Mirror</v>
      </c>
      <c r="G7" s="97" t="str">
        <f>AperturesSyno!Type</f>
        <v>Ellips</v>
      </c>
      <c r="H7" s="45">
        <f>IF(Flag="Ignore","",IF(Type="Circ",AperturesSyno!Dia,IF(Type="Ellips",AperturesSyno!EllipsX,AperturesSyno!RectX)))</f>
        <v>30</v>
      </c>
      <c r="I7" s="45">
        <f>IF(Flag="Ignore","",IF(Type="Circ","",IF(Type="Ellips",AperturesSyno!EllipsY,AperturesSyno!RectY)))</f>
        <v>32</v>
      </c>
      <c r="J7" s="44">
        <f>AperturesSyno!OffsetX</f>
      </c>
      <c r="K7" s="46">
        <f>IF(J7="","",AperturesSyno!OffsetY*(-1)*VertexCalc!NormDir)</f>
      </c>
      <c r="L7" s="44">
        <f ca="1" t="shared" si="2"/>
      </c>
      <c r="M7" s="45">
        <f ca="1" t="shared" si="2"/>
      </c>
      <c r="N7" s="46">
        <f ca="1" t="shared" si="2"/>
      </c>
      <c r="O7" s="120">
        <f ca="1" t="shared" si="3"/>
      </c>
      <c r="P7" s="120">
        <f ca="1" t="shared" si="3"/>
      </c>
      <c r="Q7" s="120">
        <f ca="1" t="shared" si="3"/>
      </c>
      <c r="R7" s="124">
        <f ca="1" t="shared" si="3"/>
      </c>
      <c r="S7" s="120">
        <f ca="1" t="shared" si="3"/>
      </c>
      <c r="T7" s="125">
        <f ca="1" t="shared" si="3"/>
      </c>
      <c r="U7" s="30"/>
    </row>
    <row r="8" spans="3:21" ht="13.5" thickBot="1">
      <c r="C8" s="14">
        <f ca="1" t="shared" si="0"/>
      </c>
      <c r="D8" s="15" t="str">
        <f ca="1" t="shared" si="0"/>
        <v>CM5</v>
      </c>
      <c r="E8" s="15" t="str">
        <f ca="1" t="shared" si="0"/>
        <v>Phot</v>
      </c>
      <c r="F8" s="15" t="str">
        <f ca="1" t="shared" si="1"/>
        <v>Mirror</v>
      </c>
      <c r="G8" s="99" t="str">
        <f>AperturesSyno!Type</f>
        <v>Rect</v>
      </c>
      <c r="H8" s="51">
        <f>IF(Flag="Ignore","",IF(Type="Circ",AperturesSyno!Dia,IF(Type="Ellips",AperturesSyno!EllipsX,AperturesSyno!RectX)))</f>
        <v>161</v>
      </c>
      <c r="I8" s="51">
        <f>IF(Flag="Ignore","",IF(Type="Circ","",IF(Type="Ellips",AperturesSyno!EllipsY,AperturesSyno!RectY)))</f>
        <v>85</v>
      </c>
      <c r="J8" s="50">
        <f>AperturesSyno!OffsetX</f>
        <v>19.5</v>
      </c>
      <c r="K8" s="52">
        <f>IF(J8="","",AperturesSyno!OffsetY*(-1)*VertexCalc!NormDir)</f>
        <v>-1.5</v>
      </c>
      <c r="L8" s="44">
        <f ca="1" t="shared" si="2"/>
      </c>
      <c r="M8" s="45">
        <f ca="1" t="shared" si="2"/>
      </c>
      <c r="N8" s="46">
        <f ca="1" t="shared" si="2"/>
      </c>
      <c r="O8" s="120">
        <f ca="1" t="shared" si="3"/>
      </c>
      <c r="P8" s="120">
        <f ca="1" t="shared" si="3"/>
      </c>
      <c r="Q8" s="120">
        <f ca="1" t="shared" si="3"/>
      </c>
      <c r="R8" s="124">
        <f ca="1" t="shared" si="3"/>
      </c>
      <c r="S8" s="120">
        <f ca="1" t="shared" si="3"/>
      </c>
      <c r="T8" s="125">
        <f ca="1" t="shared" si="3"/>
      </c>
      <c r="U8" s="30"/>
    </row>
    <row r="9" spans="3:21" ht="12.75">
      <c r="C9" s="10" t="str">
        <f ca="1" t="shared" si="0"/>
        <v>Photometer optics</v>
      </c>
      <c r="D9" s="11" t="str">
        <f ca="1" t="shared" si="0"/>
        <v>PM6</v>
      </c>
      <c r="E9" s="11" t="str">
        <f ca="1" t="shared" si="0"/>
        <v>Phot</v>
      </c>
      <c r="F9" s="11" t="str">
        <f ca="1" t="shared" si="1"/>
        <v>Mirror</v>
      </c>
      <c r="G9" s="98" t="str">
        <f>AperturesSyno!Type</f>
        <v>Rect</v>
      </c>
      <c r="H9" s="48">
        <f>IF(Flag="Ignore","",IF(Type="Circ",AperturesSyno!Dia,IF(Type="Ellips",AperturesSyno!EllipsX,AperturesSyno!RectX)))</f>
        <v>46</v>
      </c>
      <c r="I9" s="48">
        <f>IF(Flag="Ignore","",IF(Type="Circ","",IF(Type="Ellips",AperturesSyno!EllipsY,AperturesSyno!RectY)))</f>
        <v>27</v>
      </c>
      <c r="J9" s="47">
        <f>AperturesSyno!OffsetX</f>
      </c>
      <c r="K9" s="49">
        <f>IF(J9="","",AperturesSyno!OffsetY*(-1)*VertexCalc!NormDir)</f>
      </c>
      <c r="L9" s="47">
        <f ca="1" t="shared" si="2"/>
      </c>
      <c r="M9" s="48">
        <f ca="1" t="shared" si="2"/>
      </c>
      <c r="N9" s="49">
        <f ca="1" t="shared" si="2"/>
      </c>
      <c r="O9" s="129">
        <f ca="1" t="shared" si="3"/>
      </c>
      <c r="P9" s="129">
        <f ca="1" t="shared" si="3"/>
      </c>
      <c r="Q9" s="129">
        <f ca="1" t="shared" si="3"/>
      </c>
      <c r="R9" s="130">
        <f ca="1" t="shared" si="3"/>
      </c>
      <c r="S9" s="129">
        <f ca="1" t="shared" si="3"/>
      </c>
      <c r="T9" s="131">
        <f ca="1" t="shared" si="3"/>
      </c>
      <c r="U9" s="30"/>
    </row>
    <row r="10" spans="3:21" ht="12.75">
      <c r="C10" s="18">
        <f ca="1" t="shared" si="0"/>
      </c>
      <c r="D10" s="19" t="str">
        <f ca="1" t="shared" si="0"/>
        <v>PM7</v>
      </c>
      <c r="E10" s="19" t="str">
        <f ca="1" t="shared" si="0"/>
        <v>Phot</v>
      </c>
      <c r="F10" s="19" t="str">
        <f ca="1" t="shared" si="1"/>
        <v>Mirror</v>
      </c>
      <c r="G10" s="97" t="str">
        <f>AperturesSyno!Type</f>
        <v>Rect</v>
      </c>
      <c r="H10" s="45">
        <f>IF(Flag="Ignore","",IF(Type="Circ",AperturesSyno!Dia,IF(Type="Ellips",AperturesSyno!EllipsX,AperturesSyno!RectX)))</f>
        <v>118</v>
      </c>
      <c r="I10" s="45">
        <f>IF(Flag="Ignore","",IF(Type="Circ","",IF(Type="Ellips",AperturesSyno!EllipsY,AperturesSyno!RectY)))</f>
        <v>101</v>
      </c>
      <c r="J10" s="44">
        <f>AperturesSyno!OffsetX</f>
        <v>0</v>
      </c>
      <c r="K10" s="46">
        <f>IF(J10="","",AperturesSyno!OffsetY*(-1)*VertexCalc!NormDir)</f>
        <v>-1</v>
      </c>
      <c r="L10" s="44">
        <f ca="1" t="shared" si="2"/>
      </c>
      <c r="M10" s="45">
        <f ca="1" t="shared" si="2"/>
      </c>
      <c r="N10" s="46">
        <f ca="1" t="shared" si="2"/>
      </c>
      <c r="O10" s="120">
        <f ca="1" t="shared" si="3"/>
      </c>
      <c r="P10" s="120">
        <f ca="1" t="shared" si="3"/>
      </c>
      <c r="Q10" s="120">
        <f ca="1" t="shared" si="3"/>
      </c>
      <c r="R10" s="124">
        <f ca="1" t="shared" si="3"/>
      </c>
      <c r="S10" s="120">
        <f ca="1" t="shared" si="3"/>
      </c>
      <c r="T10" s="125">
        <f ca="1" t="shared" si="3"/>
      </c>
      <c r="U10" s="30"/>
    </row>
    <row r="11" spans="3:21" ht="12.75">
      <c r="C11" s="18">
        <f ca="1" t="shared" si="0"/>
      </c>
      <c r="D11" s="19" t="str">
        <f ca="1" t="shared" si="0"/>
        <v>PM8</v>
      </c>
      <c r="E11" s="19" t="str">
        <f ca="1" t="shared" si="0"/>
        <v>Phot</v>
      </c>
      <c r="F11" s="19" t="str">
        <f ca="1" t="shared" si="1"/>
        <v>Mirror</v>
      </c>
      <c r="G11" s="97" t="str">
        <f>AperturesSyno!Type</f>
        <v>Circ</v>
      </c>
      <c r="H11" s="45">
        <f>IF(Flag="Ignore","",IF(Type="Circ",AperturesSyno!Dia,IF(Type="Ellips",AperturesSyno!EllipsX,AperturesSyno!RectX)))</f>
        <v>64</v>
      </c>
      <c r="I11" s="45">
        <f>IF(Flag="Ignore","",IF(Type="Circ","",IF(Type="Ellips",AperturesSyno!EllipsY,AperturesSyno!RectY)))</f>
      </c>
      <c r="J11" s="44">
        <f>AperturesSyno!OffsetX</f>
      </c>
      <c r="K11" s="46">
        <f>IF(J11="","",AperturesSyno!OffsetY*(-1)*VertexCalc!NormDir)</f>
      </c>
      <c r="L11" s="44">
        <f ca="1" t="shared" si="2"/>
      </c>
      <c r="M11" s="45">
        <f ca="1" t="shared" si="2"/>
      </c>
      <c r="N11" s="46">
        <f ca="1" t="shared" si="2"/>
      </c>
      <c r="O11" s="120">
        <f ca="1" t="shared" si="3"/>
      </c>
      <c r="P11" s="120">
        <f ca="1" t="shared" si="3"/>
      </c>
      <c r="Q11" s="120">
        <f ca="1" t="shared" si="3"/>
      </c>
      <c r="R11" s="124">
        <f ca="1" t="shared" si="3"/>
      </c>
      <c r="S11" s="120">
        <f ca="1" t="shared" si="3"/>
      </c>
      <c r="T11" s="125">
        <f ca="1" t="shared" si="3"/>
      </c>
      <c r="U11" s="30"/>
    </row>
    <row r="12" spans="3:21" ht="12.75">
      <c r="C12" s="18">
        <f ca="1" t="shared" si="0"/>
      </c>
      <c r="D12" s="19" t="str">
        <f ca="1" t="shared" si="0"/>
        <v>PCS</v>
      </c>
      <c r="E12" s="19" t="str">
        <f ca="1" t="shared" si="0"/>
        <v>Phot</v>
      </c>
      <c r="F12" s="19" t="str">
        <f ca="1" t="shared" si="1"/>
        <v>Hole</v>
      </c>
      <c r="G12" s="97" t="str">
        <f>AperturesSyno!Type</f>
        <v>Ellips</v>
      </c>
      <c r="H12" s="45">
        <f>IF(Flag="Ignore","",IF(Type="Circ",AperturesSyno!Dia,IF(Type="Ellips",AperturesSyno!EllipsX,AperturesSyno!RectX)))</f>
        <v>46.128</v>
      </c>
      <c r="I12" s="45">
        <f>IF(Flag="Ignore","",IF(Type="Circ","",IF(Type="Ellips",AperturesSyno!EllipsY,AperturesSyno!RectY)))</f>
        <v>39.808</v>
      </c>
      <c r="J12" s="44">
        <f>AperturesSyno!OffsetX</f>
        <v>0</v>
      </c>
      <c r="K12" s="46">
        <f>IF(J12="","",AperturesSyno!OffsetY*(-1)*VertexCalc!NormDir)</f>
        <v>0.738</v>
      </c>
      <c r="L12" s="44">
        <f ca="1" t="shared" si="2"/>
        <v>192.32730381607303</v>
      </c>
      <c r="M12" s="45">
        <f ca="1" t="shared" si="2"/>
        <v>0</v>
      </c>
      <c r="N12" s="46">
        <f ca="1" t="shared" si="2"/>
        <v>-448.4603511840483</v>
      </c>
      <c r="O12" s="120">
        <f aca="true" ca="1" t="shared" si="4" ref="O12:T21">IF(OR(Flag="Hole",Flag="Det"),INDIRECT("VertexCalc!"&amp;ThisCol),"")</f>
        <v>0.6799712953275036</v>
      </c>
      <c r="P12" s="120">
        <f ca="1" t="shared" si="4"/>
        <v>0</v>
      </c>
      <c r="Q12" s="120">
        <f ca="1" t="shared" si="4"/>
        <v>0.7332387316083603</v>
      </c>
      <c r="R12" s="124">
        <f ca="1" t="shared" si="4"/>
        <v>0</v>
      </c>
      <c r="S12" s="120">
        <f ca="1" t="shared" si="4"/>
        <v>1</v>
      </c>
      <c r="T12" s="125">
        <f ca="1" t="shared" si="4"/>
        <v>0</v>
      </c>
      <c r="U12" s="30"/>
    </row>
    <row r="13" spans="3:21" ht="13.5" thickBot="1">
      <c r="C13" s="14">
        <f ca="1" t="shared" si="0"/>
      </c>
      <c r="D13" s="15" t="str">
        <f ca="1" t="shared" si="0"/>
        <v>PM9</v>
      </c>
      <c r="E13" s="15" t="str">
        <f ca="1" t="shared" si="0"/>
        <v>Phot</v>
      </c>
      <c r="F13" s="15" t="str">
        <f ca="1" t="shared" si="1"/>
        <v>Mirror</v>
      </c>
      <c r="G13" s="99" t="str">
        <f>AperturesSyno!Type</f>
        <v>Circ</v>
      </c>
      <c r="H13" s="51">
        <f>IF(Flag="Ignore","",IF(Type="Circ",AperturesSyno!Dia,IF(Type="Ellips",AperturesSyno!EllipsX,AperturesSyno!RectX)))</f>
        <v>112</v>
      </c>
      <c r="I13" s="51">
        <f>IF(Flag="Ignore","",IF(Type="Circ","",IF(Type="Ellips",AperturesSyno!EllipsY,AperturesSyno!RectY)))</f>
      </c>
      <c r="J13" s="50">
        <f>AperturesSyno!OffsetX</f>
      </c>
      <c r="K13" s="52">
        <f>IF(J13="","",AperturesSyno!OffsetY*(-1)*VertexCalc!NormDir)</f>
      </c>
      <c r="L13" s="50">
        <f ca="1" t="shared" si="2"/>
      </c>
      <c r="M13" s="51">
        <f ca="1" t="shared" si="2"/>
      </c>
      <c r="N13" s="52">
        <f ca="1" t="shared" si="2"/>
      </c>
      <c r="O13" s="127">
        <f ca="1" t="shared" si="4"/>
      </c>
      <c r="P13" s="127">
        <f ca="1" t="shared" si="4"/>
      </c>
      <c r="Q13" s="127">
        <f ca="1" t="shared" si="4"/>
      </c>
      <c r="R13" s="126">
        <f ca="1" t="shared" si="4"/>
      </c>
      <c r="S13" s="127">
        <f ca="1" t="shared" si="4"/>
      </c>
      <c r="T13" s="128">
        <f ca="1" t="shared" si="4"/>
      </c>
      <c r="U13" s="30"/>
    </row>
    <row r="14" spans="3:21" ht="12.75">
      <c r="C14" s="10" t="str">
        <f ca="1" t="shared" si="0"/>
        <v>Short wave</v>
      </c>
      <c r="D14" s="11" t="str">
        <f ca="1" t="shared" si="0"/>
        <v>PDIC1</v>
      </c>
      <c r="E14" s="11" t="str">
        <f ca="1" t="shared" si="0"/>
        <v>Phot</v>
      </c>
      <c r="F14" s="11" t="str">
        <f ca="1" t="shared" si="1"/>
        <v>Hole</v>
      </c>
      <c r="G14" s="98" t="str">
        <f>AperturesSyno!Type</f>
        <v>Circ</v>
      </c>
      <c r="H14" s="48">
        <f>IF(Flag="Ignore","",IF(Type="Circ",AperturesSyno!Dia,IF(Type="Ellips",AperturesSyno!EllipsX,AperturesSyno!RectX)))</f>
        <v>80</v>
      </c>
      <c r="I14" s="48">
        <f>IF(Flag="Ignore","",IF(Type="Circ","",IF(Type="Ellips",AperturesSyno!EllipsY,AperturesSyno!RectY)))</f>
      </c>
      <c r="J14" s="47">
        <f>AperturesSyno!OffsetX</f>
      </c>
      <c r="K14" s="49">
        <f>IF(J14="","",AperturesSyno!OffsetY*(-1)*VertexCalc!NormDir)</f>
      </c>
      <c r="L14" s="44">
        <f ca="1" t="shared" si="2"/>
        <v>238.419841</v>
      </c>
      <c r="M14" s="45">
        <f ca="1" t="shared" si="2"/>
        <v>0</v>
      </c>
      <c r="N14" s="46">
        <f ca="1" t="shared" si="2"/>
        <v>-527.460001</v>
      </c>
      <c r="O14" s="120">
        <f ca="1" t="shared" si="4"/>
        <v>-0.9051344700049381</v>
      </c>
      <c r="P14" s="120">
        <f ca="1" t="shared" si="4"/>
        <v>0</v>
      </c>
      <c r="Q14" s="120">
        <f ca="1" t="shared" si="4"/>
        <v>-0.4251253829270604</v>
      </c>
      <c r="R14" s="124">
        <f ca="1" t="shared" si="4"/>
        <v>0</v>
      </c>
      <c r="S14" s="120">
        <f ca="1" t="shared" si="4"/>
        <v>1</v>
      </c>
      <c r="T14" s="125">
        <f ca="1" t="shared" si="4"/>
        <v>0</v>
      </c>
      <c r="U14" s="30"/>
    </row>
    <row r="15" spans="3:23" ht="12.75">
      <c r="C15" s="18">
        <f ca="1" t="shared" si="0"/>
      </c>
      <c r="D15" s="19" t="str">
        <f ca="1" t="shared" si="0"/>
        <v>PM10</v>
      </c>
      <c r="E15" s="19" t="str">
        <f ca="1" t="shared" si="0"/>
        <v>Phot</v>
      </c>
      <c r="F15" s="19" t="str">
        <f ca="1" t="shared" si="1"/>
        <v>Mirror</v>
      </c>
      <c r="G15" s="97" t="str">
        <f>AperturesSyno!Type</f>
        <v>Rect</v>
      </c>
      <c r="H15" s="45">
        <f>IF(Flag="Ignore","",IF(Type="Circ",AperturesSyno!Dia,IF(Type="Ellips",AperturesSyno!EllipsX,AperturesSyno!RectX)))</f>
        <v>78</v>
      </c>
      <c r="I15" s="45">
        <f>IF(Flag="Ignore","",IF(Type="Circ","",IF(Type="Ellips",AperturesSyno!EllipsY,AperturesSyno!RectY)))</f>
        <v>40</v>
      </c>
      <c r="J15" s="44">
        <f>AperturesSyno!OffsetX</f>
        <v>2.5</v>
      </c>
      <c r="K15" s="46">
        <f>IF(J15="","",AperturesSyno!OffsetY*(-1)*VertexCalc!NormDir)</f>
        <v>0</v>
      </c>
      <c r="L15" s="44">
        <f ca="1" t="shared" si="2"/>
      </c>
      <c r="M15" s="45">
        <f ca="1" t="shared" si="2"/>
      </c>
      <c r="N15" s="46">
        <f ca="1" t="shared" si="2"/>
      </c>
      <c r="O15" s="120">
        <f ca="1" t="shared" si="4"/>
      </c>
      <c r="P15" s="120">
        <f ca="1" t="shared" si="4"/>
      </c>
      <c r="Q15" s="120">
        <f ca="1" t="shared" si="4"/>
      </c>
      <c r="R15" s="124">
        <f ca="1" t="shared" si="4"/>
      </c>
      <c r="S15" s="120">
        <f ca="1" t="shared" si="4"/>
      </c>
      <c r="T15" s="125">
        <f ca="1" t="shared" si="4"/>
      </c>
      <c r="U15" s="30"/>
      <c r="W15" s="117" t="s">
        <v>561</v>
      </c>
    </row>
    <row r="16" spans="3:21" ht="13.5" thickBot="1">
      <c r="C16" s="14">
        <f ca="1" t="shared" si="0"/>
      </c>
      <c r="D16" s="15" t="str">
        <f ca="1" t="shared" si="0"/>
        <v>PSW</v>
      </c>
      <c r="E16" s="15" t="str">
        <f ca="1" t="shared" si="0"/>
        <v>Phot</v>
      </c>
      <c r="F16" s="15" t="str">
        <f ca="1" t="shared" si="1"/>
        <v>Det</v>
      </c>
      <c r="G16" s="99" t="str">
        <f>AperturesSyno!Type</f>
        <v>Rect</v>
      </c>
      <c r="H16" s="51">
        <f>IF(Flag="Ignore","",IF(Type="Circ",AperturesSyno!Dia,IF(Type="Ellips",AperturesSyno!EllipsX,AperturesSyno!RectX)))</f>
        <v>40</v>
      </c>
      <c r="I16" s="51">
        <f>IF(Flag="Ignore","",IF(Type="Circ","",IF(Type="Ellips",AperturesSyno!EllipsY,AperturesSyno!RectY)))</f>
        <v>22</v>
      </c>
      <c r="J16" s="50">
        <f>AperturesSyno!OffsetX</f>
      </c>
      <c r="K16" s="52">
        <f>IF(J16="","",AperturesSyno!OffsetY*(-1)*VertexCalc!NormDir)</f>
      </c>
      <c r="L16" s="44">
        <f ca="1" t="shared" si="2"/>
        <v>139.942327</v>
      </c>
      <c r="M16" s="45">
        <f ca="1" t="shared" si="2"/>
        <v>-50</v>
      </c>
      <c r="N16" s="46">
        <f ca="1" t="shared" si="2"/>
        <v>-619.802728</v>
      </c>
      <c r="O16" s="120">
        <f ca="1" t="shared" si="4"/>
        <v>-4.468502751876572E-17</v>
      </c>
      <c r="P16" s="120">
        <f ca="1" t="shared" si="4"/>
        <v>1</v>
      </c>
      <c r="Q16" s="120">
        <f ca="1" t="shared" si="4"/>
        <v>-4.190131450276468E-17</v>
      </c>
      <c r="R16" s="124">
        <f ca="1" t="shared" si="4"/>
        <v>0.7294630677569378</v>
      </c>
      <c r="S16" s="120">
        <f ca="1" t="shared" si="4"/>
        <v>6.1257422745431E-17</v>
      </c>
      <c r="T16" s="125">
        <f ca="1" t="shared" si="4"/>
        <v>0.6840201991013403</v>
      </c>
      <c r="U16" s="30"/>
    </row>
    <row r="17" spans="3:21" ht="13.5" thickBot="1">
      <c r="C17" s="19">
        <f ca="1" t="shared" si="0"/>
      </c>
      <c r="D17" s="19" t="str">
        <f ca="1" t="shared" si="0"/>
        <v>PDIC1</v>
      </c>
      <c r="E17" s="1" t="str">
        <f ca="1" t="shared" si="0"/>
        <v>Phot</v>
      </c>
      <c r="F17" s="1" t="str">
        <f ca="1" t="shared" si="1"/>
        <v>Ignore</v>
      </c>
      <c r="G17" s="97">
        <f>AperturesSyno!Type</f>
      </c>
      <c r="H17" s="45">
        <f>IF(Flag="Ignore","",IF(Type="Circ",AperturesSyno!Dia,IF(Type="Ellips",AperturesSyno!EllipsX,AperturesSyno!RectX)))</f>
      </c>
      <c r="I17" s="45">
        <f>IF(Flag="Ignore","",IF(Type="Circ","",IF(Type="Ellips",AperturesSyno!EllipsY,AperturesSyno!RectY)))</f>
      </c>
      <c r="J17" s="44">
        <f>AperturesSyno!OffsetX</f>
      </c>
      <c r="K17" s="46">
        <f>IF(J17="","",AperturesSyno!OffsetY*(-1)*VertexCalc!NormDir)</f>
      </c>
      <c r="L17" s="132">
        <f ca="1" t="shared" si="2"/>
      </c>
      <c r="M17" s="133">
        <f ca="1" t="shared" si="2"/>
      </c>
      <c r="N17" s="134">
        <f ca="1" t="shared" si="2"/>
      </c>
      <c r="O17" s="135">
        <f ca="1" t="shared" si="4"/>
      </c>
      <c r="P17" s="135">
        <f ca="1" t="shared" si="4"/>
      </c>
      <c r="Q17" s="135">
        <f ca="1" t="shared" si="4"/>
      </c>
      <c r="R17" s="136">
        <f ca="1" t="shared" si="4"/>
      </c>
      <c r="S17" s="135">
        <f ca="1" t="shared" si="4"/>
      </c>
      <c r="T17" s="137">
        <f ca="1" t="shared" si="4"/>
      </c>
      <c r="U17" s="30"/>
    </row>
    <row r="18" spans="3:21" ht="12.75">
      <c r="C18" s="10" t="str">
        <f ca="1" t="shared" si="0"/>
        <v>Medium wave</v>
      </c>
      <c r="D18" s="11" t="str">
        <f ca="1" t="shared" si="0"/>
        <v>PDIC2</v>
      </c>
      <c r="E18" s="11" t="str">
        <f ca="1" t="shared" si="0"/>
        <v>Phot</v>
      </c>
      <c r="F18" s="11" t="str">
        <f ca="1" t="shared" si="1"/>
        <v>Hole</v>
      </c>
      <c r="G18" s="98" t="str">
        <f>AperturesSyno!Type</f>
        <v>Circ</v>
      </c>
      <c r="H18" s="48">
        <f>IF(Flag="Ignore","",IF(Type="Circ",AperturesSyno!Dia,IF(Type="Ellips",AperturesSyno!EllipsX,AperturesSyno!RectX)))</f>
        <v>72</v>
      </c>
      <c r="I18" s="48">
        <f>IF(Flag="Ignore","",IF(Type="Circ","",IF(Type="Ellips",AperturesSyno!EllipsY,AperturesSyno!RectY)))</f>
      </c>
      <c r="J18" s="47">
        <f>AperturesSyno!OffsetX</f>
      </c>
      <c r="K18" s="49">
        <f>IF(J18="","",AperturesSyno!OffsetY*(-1)*VertexCalc!NormDir)</f>
      </c>
      <c r="L18" s="44">
        <f ca="1" t="shared" si="2"/>
        <v>337.64034100000003</v>
      </c>
      <c r="M18" s="45">
        <f ca="1" t="shared" si="2"/>
        <v>7.15E-15</v>
      </c>
      <c r="N18" s="46">
        <f ca="1" t="shared" si="2"/>
        <v>-514.998367</v>
      </c>
      <c r="O18" s="120">
        <f ca="1" t="shared" si="4"/>
        <v>-0.8992431213587703</v>
      </c>
      <c r="P18" s="120">
        <f ca="1" t="shared" si="4"/>
        <v>-0.42261826174069944</v>
      </c>
      <c r="Q18" s="120">
        <f ca="1" t="shared" si="4"/>
        <v>-0.1129407523093658</v>
      </c>
      <c r="R18" s="124">
        <f ca="1" t="shared" si="4"/>
        <v>-0.4193239540327994</v>
      </c>
      <c r="S18" s="120">
        <f ca="1" t="shared" si="4"/>
        <v>0.9063077870366499</v>
      </c>
      <c r="T18" s="125">
        <f ca="1" t="shared" si="4"/>
        <v>-0.05266513771964412</v>
      </c>
      <c r="U18" s="30"/>
    </row>
    <row r="19" spans="3:21" ht="13.5" thickBot="1">
      <c r="C19" s="14">
        <f ca="1" t="shared" si="0"/>
      </c>
      <c r="D19" s="15" t="str">
        <f ca="1" t="shared" si="0"/>
        <v>PMW</v>
      </c>
      <c r="E19" s="15" t="str">
        <f ca="1" t="shared" si="0"/>
        <v>Phot</v>
      </c>
      <c r="F19" s="15" t="str">
        <f ca="1" t="shared" si="1"/>
        <v>Det</v>
      </c>
      <c r="G19" s="99" t="str">
        <f>AperturesSyno!Type</f>
        <v>Rect</v>
      </c>
      <c r="H19" s="51">
        <f>IF(Flag="Ignore","",IF(Type="Circ",AperturesSyno!Dia,IF(Type="Ellips",AperturesSyno!EllipsX,AperturesSyno!RectX)))</f>
        <v>40</v>
      </c>
      <c r="I19" s="51">
        <f>IF(Flag="Ignore","",IF(Type="Circ","",IF(Type="Ellips",AperturesSyno!EllipsY,AperturesSyno!RectY)))</f>
        <v>22</v>
      </c>
      <c r="J19" s="50">
        <f>AperturesSyno!OffsetX</f>
      </c>
      <c r="K19" s="52">
        <f>IF(J19="","",AperturesSyno!OffsetY*(-1)*VertexCalc!NormDir)</f>
      </c>
      <c r="L19" s="44">
        <f ca="1" t="shared" si="2"/>
        <v>283.429289</v>
      </c>
      <c r="M19" s="45">
        <f ca="1" t="shared" si="2"/>
        <v>-65.113778</v>
      </c>
      <c r="N19" s="46">
        <f ca="1" t="shared" si="2"/>
        <v>-521.807023</v>
      </c>
      <c r="O19" s="120">
        <f ca="1" t="shared" si="4"/>
        <v>0.6377770827670182</v>
      </c>
      <c r="P19" s="120">
        <f ca="1" t="shared" si="4"/>
        <v>0.766044443118978</v>
      </c>
      <c r="Q19" s="120">
        <f ca="1" t="shared" si="4"/>
        <v>0.0801018343343452</v>
      </c>
      <c r="R19" s="124">
        <f ca="1" t="shared" si="4"/>
        <v>-0.7600731296618486</v>
      </c>
      <c r="S19" s="120">
        <f ca="1" t="shared" si="4"/>
        <v>0.6427876096865394</v>
      </c>
      <c r="T19" s="125">
        <f ca="1" t="shared" si="4"/>
        <v>-0.09546164884134213</v>
      </c>
      <c r="U19" s="30"/>
    </row>
    <row r="20" spans="3:21" ht="13.5" thickBot="1">
      <c r="C20" s="19">
        <f ca="1" t="shared" si="0"/>
      </c>
      <c r="D20" s="19" t="str">
        <f ca="1" t="shared" si="0"/>
        <v>PDIC2</v>
      </c>
      <c r="E20" s="1" t="str">
        <f ca="1" t="shared" si="0"/>
        <v>Phot</v>
      </c>
      <c r="F20" s="1" t="str">
        <f ca="1" t="shared" si="1"/>
        <v>Ignore</v>
      </c>
      <c r="G20" s="97">
        <f>AperturesSyno!Type</f>
      </c>
      <c r="H20" s="45">
        <f>IF(Flag="Ignore","",IF(Type="Circ",AperturesSyno!Dia,IF(Type="Ellips",AperturesSyno!EllipsX,AperturesSyno!RectX)))</f>
      </c>
      <c r="I20" s="45">
        <f>IF(Flag="Ignore","",IF(Type="Circ","",IF(Type="Ellips",AperturesSyno!EllipsY,AperturesSyno!RectY)))</f>
      </c>
      <c r="J20" s="44">
        <f>AperturesSyno!OffsetX</f>
      </c>
      <c r="K20" s="46">
        <f>IF(J20="","",AperturesSyno!OffsetY*(-1)*VertexCalc!NormDir)</f>
      </c>
      <c r="L20" s="132">
        <f ca="1" t="shared" si="2"/>
      </c>
      <c r="M20" s="133">
        <f ca="1" t="shared" si="2"/>
      </c>
      <c r="N20" s="134">
        <f ca="1" t="shared" si="2"/>
      </c>
      <c r="O20" s="135">
        <f ca="1" t="shared" si="4"/>
      </c>
      <c r="P20" s="135">
        <f ca="1" t="shared" si="4"/>
      </c>
      <c r="Q20" s="135">
        <f ca="1" t="shared" si="4"/>
      </c>
      <c r="R20" s="136">
        <f ca="1" t="shared" si="4"/>
      </c>
      <c r="S20" s="135">
        <f ca="1" t="shared" si="4"/>
      </c>
      <c r="T20" s="137">
        <f ca="1" t="shared" si="4"/>
      </c>
      <c r="U20" s="30"/>
    </row>
    <row r="21" spans="3:21" ht="12.75">
      <c r="C21" s="10" t="str">
        <f ca="1" t="shared" si="0"/>
        <v>Long wave</v>
      </c>
      <c r="D21" s="11" t="str">
        <f ca="1" t="shared" si="0"/>
        <v>PM11</v>
      </c>
      <c r="E21" s="11" t="str">
        <f ca="1" t="shared" si="0"/>
        <v>Phot</v>
      </c>
      <c r="F21" s="11" t="str">
        <f ca="1" t="shared" si="1"/>
        <v>Mirror</v>
      </c>
      <c r="G21" s="98" t="str">
        <f>AperturesSyno!Type</f>
        <v>Rect</v>
      </c>
      <c r="H21" s="48">
        <f>IF(Flag="Ignore","",IF(Type="Circ",AperturesSyno!Dia,IF(Type="Ellips",AperturesSyno!EllipsX,AperturesSyno!RectX)))</f>
        <v>56</v>
      </c>
      <c r="I21" s="48">
        <f>IF(Flag="Ignore","",IF(Type="Circ","",IF(Type="Ellips",AperturesSyno!EllipsY,AperturesSyno!RectY)))</f>
        <v>53</v>
      </c>
      <c r="J21" s="47">
        <f>AperturesSyno!OffsetX</f>
        <v>0</v>
      </c>
      <c r="K21" s="49">
        <f>IF(J21="","",AperturesSyno!OffsetY*(-1)*VertexCalc!NormDir)</f>
        <v>2.75</v>
      </c>
      <c r="L21" s="44">
        <f ca="1" t="shared" si="2"/>
      </c>
      <c r="M21" s="45">
        <f ca="1" t="shared" si="2"/>
      </c>
      <c r="N21" s="46">
        <f ca="1" t="shared" si="2"/>
      </c>
      <c r="O21" s="120">
        <f ca="1" t="shared" si="4"/>
      </c>
      <c r="P21" s="120">
        <f ca="1" t="shared" si="4"/>
      </c>
      <c r="Q21" s="120">
        <f ca="1" t="shared" si="4"/>
      </c>
      <c r="R21" s="124">
        <f ca="1" t="shared" si="4"/>
      </c>
      <c r="S21" s="120">
        <f ca="1" t="shared" si="4"/>
      </c>
      <c r="T21" s="125">
        <f ca="1" t="shared" si="4"/>
      </c>
      <c r="U21" s="30"/>
    </row>
    <row r="22" spans="3:21" ht="13.5" thickBot="1">
      <c r="C22" s="14">
        <f aca="true" ca="1" t="shared" si="5" ref="C22:E41">IF(INDIRECT("SurfaceList!"&amp;ThisCol)="","",INDIRECT("SurfaceList!"&amp;ThisCol))</f>
      </c>
      <c r="D22" s="15" t="str">
        <f ca="1" t="shared" si="5"/>
        <v>PLW</v>
      </c>
      <c r="E22" s="15" t="str">
        <f ca="1" t="shared" si="5"/>
        <v>Phot</v>
      </c>
      <c r="F22" s="15" t="str">
        <f ca="1" t="shared" si="1"/>
        <v>Det</v>
      </c>
      <c r="G22" s="99" t="str">
        <f>AperturesSyno!Type</f>
        <v>Rect</v>
      </c>
      <c r="H22" s="51">
        <f>IF(Flag="Ignore","",IF(Type="Circ",AperturesSyno!Dia,IF(Type="Ellips",AperturesSyno!EllipsX,AperturesSyno!RectX)))</f>
        <v>40</v>
      </c>
      <c r="I22" s="51">
        <f>IF(Flag="Ignore","",IF(Type="Circ","",IF(Type="Ellips",AperturesSyno!EllipsY,AperturesSyno!RectY)))</f>
        <v>22</v>
      </c>
      <c r="J22" s="50">
        <f>AperturesSyno!OffsetX</f>
      </c>
      <c r="K22" s="52">
        <f>IF(J22="","",AperturesSyno!OffsetY*(-1)*VertexCalc!NormDir)</f>
      </c>
      <c r="L22" s="44">
        <f aca="true" ca="1" t="shared" si="6" ref="L22:N41">IF(OR(Flag="Hole",Flag="Det"),IF(Csag="",INDIRECT("VertexCalc!"&amp;Axe&amp;"vertex"),INDIRECT("VertexCalc!"&amp;Axe&amp;"vertex")+Csag*INDIRECT("VertexCalc!"&amp;Axe&amp;"sag")+Ctang*INDIRECT("VertexCalc!"&amp;Axe&amp;"tang")),"")</f>
        <v>381.298363</v>
      </c>
      <c r="M22" s="45">
        <f ca="1" t="shared" si="6"/>
        <v>-1.34E-14</v>
      </c>
      <c r="N22" s="46">
        <f ca="1" t="shared" si="6"/>
        <v>-468.515249</v>
      </c>
      <c r="O22" s="120">
        <f aca="true" ca="1" t="shared" si="7" ref="O22:T31">IF(OR(Flag="Hole",Flag="Det"),INDIRECT("VertexCalc!"&amp;ThisCol),"")</f>
        <v>-2.4434609525453033E-05</v>
      </c>
      <c r="P22" s="120">
        <f ca="1" t="shared" si="7"/>
        <v>0</v>
      </c>
      <c r="Q22" s="120">
        <f ca="1" t="shared" si="7"/>
        <v>-0.9999999997014749</v>
      </c>
      <c r="R22" s="124">
        <f ca="1" t="shared" si="7"/>
        <v>0</v>
      </c>
      <c r="S22" s="120">
        <f ca="1" t="shared" si="7"/>
        <v>1</v>
      </c>
      <c r="T22" s="125">
        <f ca="1" t="shared" si="7"/>
        <v>0</v>
      </c>
      <c r="U22" s="30"/>
    </row>
    <row r="23" spans="3:21" ht="13.5" thickBot="1">
      <c r="C23" s="19">
        <f ca="1" t="shared" si="5"/>
      </c>
      <c r="D23" s="19" t="str">
        <f ca="1" t="shared" si="5"/>
        <v>CM5</v>
      </c>
      <c r="E23" s="19" t="str">
        <f ca="1" t="shared" si="5"/>
        <v>Spec</v>
      </c>
      <c r="F23" s="15" t="str">
        <f ca="1" t="shared" si="1"/>
        <v>Ignore</v>
      </c>
      <c r="G23" s="97">
        <f>AperturesSyno!Type</f>
      </c>
      <c r="H23" s="45">
        <f>IF(Flag="Ignore","",IF(Type="Circ",AperturesSyno!Dia,IF(Type="Ellips",AperturesSyno!EllipsX,AperturesSyno!RectX)))</f>
      </c>
      <c r="I23" s="45">
        <f>IF(Flag="Ignore","",IF(Type="Circ","",IF(Type="Ellips",AperturesSyno!EllipsY,AperturesSyno!RectY)))</f>
      </c>
      <c r="J23" s="44">
        <f>AperturesSyno!OffsetX</f>
      </c>
      <c r="K23" s="46">
        <f>IF(J23="","",AperturesSyno!OffsetY*(-1)*VertexCalc!NormDir)</f>
      </c>
      <c r="L23" s="132">
        <f ca="1" t="shared" si="6"/>
      </c>
      <c r="M23" s="133">
        <f ca="1" t="shared" si="6"/>
      </c>
      <c r="N23" s="134">
        <f ca="1" t="shared" si="6"/>
      </c>
      <c r="O23" s="135">
        <f ca="1" t="shared" si="7"/>
      </c>
      <c r="P23" s="135">
        <f ca="1" t="shared" si="7"/>
      </c>
      <c r="Q23" s="135">
        <f ca="1" t="shared" si="7"/>
      </c>
      <c r="R23" s="136">
        <f ca="1" t="shared" si="7"/>
      </c>
      <c r="S23" s="135">
        <f ca="1" t="shared" si="7"/>
      </c>
      <c r="T23" s="137">
        <f ca="1" t="shared" si="7"/>
      </c>
      <c r="U23" s="30"/>
    </row>
    <row r="24" spans="3:21" ht="12.75">
      <c r="C24" s="10" t="str">
        <f ca="1" t="shared" si="5"/>
        <v>Spectrometer optics</v>
      </c>
      <c r="D24" s="11" t="str">
        <f ca="1" t="shared" si="5"/>
        <v>SM6</v>
      </c>
      <c r="E24" s="11" t="str">
        <f ca="1" t="shared" si="5"/>
        <v>Spec</v>
      </c>
      <c r="F24" s="11" t="str">
        <f ca="1" t="shared" si="1"/>
        <v>Mirror</v>
      </c>
      <c r="G24" s="98" t="str">
        <f>AperturesSyno!Type</f>
        <v>Ellips</v>
      </c>
      <c r="H24" s="48">
        <f>IF(Flag="Ignore","",IF(Type="Circ",AperturesSyno!Dia,IF(Type="Ellips",AperturesSyno!EllipsX,AperturesSyno!RectX)))</f>
        <v>24</v>
      </c>
      <c r="I24" s="48">
        <f>IF(Flag="Ignore","",IF(Type="Circ","",IF(Type="Ellips",AperturesSyno!EllipsY,AperturesSyno!RectY)))</f>
        <v>18</v>
      </c>
      <c r="J24" s="47">
        <f>AperturesSyno!OffsetX</f>
        <v>1</v>
      </c>
      <c r="K24" s="49">
        <f>IF(J24="","",AperturesSyno!OffsetY*(-1)*VertexCalc!NormDir)</f>
        <v>0</v>
      </c>
      <c r="L24" s="44">
        <f ca="1" t="shared" si="6"/>
      </c>
      <c r="M24" s="45">
        <f ca="1" t="shared" si="6"/>
      </c>
      <c r="N24" s="46">
        <f ca="1" t="shared" si="6"/>
      </c>
      <c r="O24" s="120">
        <f ca="1" t="shared" si="7"/>
      </c>
      <c r="P24" s="120">
        <f ca="1" t="shared" si="7"/>
      </c>
      <c r="Q24" s="120">
        <f ca="1" t="shared" si="7"/>
      </c>
      <c r="R24" s="124">
        <f ca="1" t="shared" si="7"/>
      </c>
      <c r="S24" s="120">
        <f ca="1" t="shared" si="7"/>
      </c>
      <c r="T24" s="125">
        <f ca="1" t="shared" si="7"/>
      </c>
      <c r="U24" s="30"/>
    </row>
    <row r="25" spans="3:21" ht="12.75">
      <c r="C25" s="18">
        <f ca="1" t="shared" si="5"/>
      </c>
      <c r="D25" s="19" t="str">
        <f ca="1" t="shared" si="5"/>
        <v>SCS</v>
      </c>
      <c r="E25" s="19" t="str">
        <f ca="1" t="shared" si="5"/>
        <v>Spec</v>
      </c>
      <c r="F25" s="19" t="str">
        <f ca="1" t="shared" si="1"/>
        <v>Hole</v>
      </c>
      <c r="G25" s="97" t="str">
        <f>AperturesSyno!Type</f>
        <v>Ellips</v>
      </c>
      <c r="H25" s="45">
        <f>IF(Flag="Ignore","",IF(Type="Circ",AperturesSyno!Dia,IF(Type="Ellips",AperturesSyno!EllipsX,AperturesSyno!RectX)))</f>
        <v>23.9</v>
      </c>
      <c r="I25" s="45">
        <f>IF(Flag="Ignore","",IF(Type="Circ","",IF(Type="Ellips",AperturesSyno!EllipsY,AperturesSyno!RectY)))</f>
        <v>25.14</v>
      </c>
      <c r="J25" s="44">
        <f>AperturesSyno!OffsetX</f>
        <v>0.4</v>
      </c>
      <c r="K25" s="46">
        <f>IF(J25="","",AperturesSyno!OffsetY*(-1)*VertexCalc!NormDir)</f>
        <v>-0.82</v>
      </c>
      <c r="L25" s="44">
        <f ca="1" t="shared" si="6"/>
        <v>314.318482362748</v>
      </c>
      <c r="M25" s="45">
        <f ca="1" t="shared" si="6"/>
        <v>142.27244217964406</v>
      </c>
      <c r="N25" s="46">
        <f ca="1" t="shared" si="6"/>
        <v>-233.28401172171573</v>
      </c>
      <c r="O25" s="120">
        <f ca="1" t="shared" si="7"/>
        <v>-0.49644749895141155</v>
      </c>
      <c r="P25" s="120">
        <f ca="1" t="shared" si="7"/>
        <v>-0.7528435614080758</v>
      </c>
      <c r="Q25" s="120">
        <f ca="1" t="shared" si="7"/>
        <v>-0.4321648445110881</v>
      </c>
      <c r="R25" s="124">
        <f ca="1" t="shared" si="7"/>
        <v>0.10552311724119295</v>
      </c>
      <c r="S25" s="120">
        <f ca="1" t="shared" si="7"/>
        <v>0.4418171429276573</v>
      </c>
      <c r="T25" s="125">
        <f ca="1" t="shared" si="7"/>
        <v>-0.8908773675107835</v>
      </c>
      <c r="U25" s="30"/>
    </row>
    <row r="26" spans="3:23" ht="12.75">
      <c r="C26" s="18">
        <f ca="1" t="shared" si="5"/>
      </c>
      <c r="D26" s="19" t="str">
        <f ca="1" t="shared" si="5"/>
        <v>SM7</v>
      </c>
      <c r="E26" s="19" t="str">
        <f ca="1" t="shared" si="5"/>
        <v>Spec</v>
      </c>
      <c r="F26" s="19" t="str">
        <f ca="1" t="shared" si="1"/>
        <v>Mirror</v>
      </c>
      <c r="G26" s="97" t="str">
        <f>AperturesSyno!Type</f>
        <v>Rect</v>
      </c>
      <c r="H26" s="45">
        <f>IF(Flag="Ignore","",IF(Type="Circ",AperturesSyno!Dia,IF(Type="Ellips",AperturesSyno!EllipsX,AperturesSyno!RectX)))</f>
        <v>57</v>
      </c>
      <c r="I26" s="45">
        <f>IF(Flag="Ignore","",IF(Type="Circ","",IF(Type="Ellips",AperturesSyno!EllipsY,AperturesSyno!RectY)))</f>
        <v>40</v>
      </c>
      <c r="J26" s="44">
        <f>AperturesSyno!OffsetX</f>
        <v>4</v>
      </c>
      <c r="K26" s="46">
        <f>IF(J26="","",AperturesSyno!OffsetY*(-1)*VertexCalc!NormDir)</f>
        <v>0</v>
      </c>
      <c r="L26" s="44">
        <f ca="1" t="shared" si="6"/>
      </c>
      <c r="M26" s="45">
        <f ca="1" t="shared" si="6"/>
      </c>
      <c r="N26" s="46">
        <f ca="1" t="shared" si="6"/>
      </c>
      <c r="O26" s="120">
        <f ca="1" t="shared" si="7"/>
      </c>
      <c r="P26" s="120">
        <f ca="1" t="shared" si="7"/>
      </c>
      <c r="Q26" s="120">
        <f ca="1" t="shared" si="7"/>
      </c>
      <c r="R26" s="124">
        <f ca="1" t="shared" si="7"/>
      </c>
      <c r="S26" s="120">
        <f ca="1" t="shared" si="7"/>
      </c>
      <c r="T26" s="125">
        <f ca="1" t="shared" si="7"/>
      </c>
      <c r="U26" s="30"/>
      <c r="W26" s="117" t="s">
        <v>562</v>
      </c>
    </row>
    <row r="27" spans="3:21" ht="13.5" thickBot="1">
      <c r="C27" s="14">
        <f ca="1" t="shared" si="5"/>
      </c>
      <c r="D27" s="15" t="str">
        <f ca="1" t="shared" si="5"/>
        <v>SM8A</v>
      </c>
      <c r="E27" s="15" t="str">
        <f ca="1" t="shared" si="5"/>
        <v>Spec</v>
      </c>
      <c r="F27" s="15" t="str">
        <f ca="1" t="shared" si="1"/>
        <v>Mirror</v>
      </c>
      <c r="G27" s="99" t="str">
        <f>AperturesSyno!Type</f>
        <v>Circ</v>
      </c>
      <c r="H27" s="51">
        <f>IF(Flag="Ignore","",IF(Type="Circ",AperturesSyno!Dia,IF(Type="Ellips",AperturesSyno!EllipsX,AperturesSyno!RectX)))</f>
        <v>60</v>
      </c>
      <c r="I27" s="51">
        <f>IF(Flag="Ignore","",IF(Type="Circ","",IF(Type="Ellips",AperturesSyno!EllipsY,AperturesSyno!RectY)))</f>
      </c>
      <c r="J27" s="50">
        <f>AperturesSyno!OffsetX</f>
      </c>
      <c r="K27" s="52">
        <f>IF(J27="","",AperturesSyno!OffsetY*(-1)*VertexCalc!NormDir)</f>
      </c>
      <c r="L27" s="44">
        <f ca="1" t="shared" si="6"/>
      </c>
      <c r="M27" s="45">
        <f ca="1" t="shared" si="6"/>
      </c>
      <c r="N27" s="46">
        <f ca="1" t="shared" si="6"/>
      </c>
      <c r="O27" s="120">
        <f ca="1" t="shared" si="7"/>
      </c>
      <c r="P27" s="120">
        <f ca="1" t="shared" si="7"/>
      </c>
      <c r="Q27" s="120">
        <f ca="1" t="shared" si="7"/>
      </c>
      <c r="R27" s="124">
        <f ca="1" t="shared" si="7"/>
      </c>
      <c r="S27" s="120">
        <f ca="1" t="shared" si="7"/>
      </c>
      <c r="T27" s="125">
        <f ca="1" t="shared" si="7"/>
      </c>
      <c r="U27" s="30"/>
    </row>
    <row r="28" spans="3:21" ht="12.75">
      <c r="C28" s="10" t="str">
        <f ca="1" t="shared" si="5"/>
        <v>Upper arm</v>
      </c>
      <c r="D28" s="11" t="str">
        <f ca="1" t="shared" si="5"/>
        <v>SBS1</v>
      </c>
      <c r="E28" s="11" t="str">
        <f ca="1" t="shared" si="5"/>
        <v>Spec</v>
      </c>
      <c r="F28" s="11" t="str">
        <f ca="1" t="shared" si="1"/>
        <v>Hole</v>
      </c>
      <c r="G28" s="97" t="str">
        <f>AperturesSyno!Type</f>
        <v>Circ</v>
      </c>
      <c r="H28" s="45">
        <f>IF(Flag="Ignore","",IF(Type="Circ",AperturesSyno!Dia,IF(Type="Ellips",AperturesSyno!EllipsX,AperturesSyno!RectX)))</f>
        <v>30</v>
      </c>
      <c r="I28" s="45">
        <f>IF(Flag="Ignore","",IF(Type="Circ","",IF(Type="Ellips",AperturesSyno!EllipsY,AperturesSyno!RectY)))</f>
      </c>
      <c r="J28" s="44">
        <f>AperturesSyno!OffsetX</f>
        <v>0</v>
      </c>
      <c r="K28" s="46">
        <f>IF(J28="","",AperturesSyno!OffsetY*(-1)*VertexCalc!NormDir)</f>
        <v>1.5</v>
      </c>
      <c r="L28" s="47">
        <f ca="1" t="shared" si="6"/>
        <v>223.12771002748894</v>
      </c>
      <c r="M28" s="48">
        <f ca="1" t="shared" si="6"/>
        <v>170.85667802748893</v>
      </c>
      <c r="N28" s="49">
        <f ca="1" t="shared" si="6"/>
        <v>-319.898533</v>
      </c>
      <c r="O28" s="129">
        <f ca="1" t="shared" si="7"/>
        <v>0.9999999999999998</v>
      </c>
      <c r="P28" s="129">
        <f ca="1" t="shared" si="7"/>
        <v>0</v>
      </c>
      <c r="Q28" s="129">
        <f ca="1" t="shared" si="7"/>
        <v>-1.8325957145940456E-08</v>
      </c>
      <c r="R28" s="130">
        <f ca="1" t="shared" si="7"/>
        <v>-3.3584070531484604E-16</v>
      </c>
      <c r="S28" s="129">
        <f ca="1" t="shared" si="7"/>
        <v>0.9999999999999998</v>
      </c>
      <c r="T28" s="131">
        <f ca="1" t="shared" si="7"/>
        <v>-1.8325957145940453E-08</v>
      </c>
      <c r="U28" s="30"/>
    </row>
    <row r="29" spans="3:21" ht="12.75">
      <c r="C29" s="18">
        <f ca="1" t="shared" si="5"/>
      </c>
      <c r="D29" s="19" t="str">
        <f ca="1" t="shared" si="5"/>
        <v>SM9A</v>
      </c>
      <c r="E29" s="19" t="str">
        <f ca="1" t="shared" si="5"/>
        <v>Spec</v>
      </c>
      <c r="F29" s="19" t="str">
        <f ca="1" t="shared" si="1"/>
        <v>Mirror</v>
      </c>
      <c r="G29" s="97" t="str">
        <f>AperturesSyno!Type</f>
        <v>Circ</v>
      </c>
      <c r="H29" s="45">
        <f>IF(Flag="Ignore","",IF(Type="Circ",AperturesSyno!Dia,IF(Type="Ellips",AperturesSyno!EllipsX,AperturesSyno!RectX)))</f>
        <v>50</v>
      </c>
      <c r="I29" s="45">
        <f>IF(Flag="Ignore","",IF(Type="Circ","",IF(Type="Ellips",AperturesSyno!EllipsY,AperturesSyno!RectY)))</f>
      </c>
      <c r="J29" s="44">
        <f>AperturesSyno!OffsetX</f>
      </c>
      <c r="K29" s="46">
        <f>IF(J29="","",AperturesSyno!OffsetY*(-1)*VertexCalc!NormDir)</f>
      </c>
      <c r="L29" s="44">
        <f ca="1" t="shared" si="6"/>
      </c>
      <c r="M29" s="45">
        <f ca="1" t="shared" si="6"/>
      </c>
      <c r="N29" s="46">
        <f ca="1" t="shared" si="6"/>
      </c>
      <c r="O29" s="120">
        <f ca="1" t="shared" si="7"/>
      </c>
      <c r="P29" s="120">
        <f ca="1" t="shared" si="7"/>
      </c>
      <c r="Q29" s="120">
        <f ca="1" t="shared" si="7"/>
      </c>
      <c r="R29" s="124">
        <f ca="1" t="shared" si="7"/>
      </c>
      <c r="S29" s="120">
        <f ca="1" t="shared" si="7"/>
      </c>
      <c r="T29" s="125">
        <f ca="1" t="shared" si="7"/>
      </c>
      <c r="U29" s="30"/>
    </row>
    <row r="30" spans="3:21" ht="12.75">
      <c r="C30" s="18">
        <f ca="1" t="shared" si="5"/>
      </c>
      <c r="D30" s="19" t="str">
        <f ca="1" t="shared" si="5"/>
        <v>SRTA1</v>
      </c>
      <c r="E30" s="19" t="str">
        <f ca="1" t="shared" si="5"/>
        <v>Spec</v>
      </c>
      <c r="F30" s="19" t="str">
        <f ca="1" t="shared" si="1"/>
        <v>Mirror</v>
      </c>
      <c r="G30" s="97" t="str">
        <f>AperturesSyno!Type</f>
        <v>Circ</v>
      </c>
      <c r="H30" s="45">
        <f>IF(Flag="Ignore","",IF(Type="Circ",AperturesSyno!Dia,IF(Type="Ellips",AperturesSyno!EllipsX,AperturesSyno!RectX)))</f>
        <v>36.808</v>
      </c>
      <c r="I30" s="45">
        <f>IF(Flag="Ignore","",IF(Type="Circ","",IF(Type="Ellips",AperturesSyno!EllipsY,AperturesSyno!RectY)))</f>
      </c>
      <c r="J30" s="44">
        <f>AperturesSyno!OffsetX</f>
      </c>
      <c r="K30" s="46">
        <f>IF(J30="","",AperturesSyno!OffsetY*(-1)*VertexCalc!NormDir)</f>
      </c>
      <c r="L30" s="44">
        <f ca="1" t="shared" si="6"/>
      </c>
      <c r="M30" s="45">
        <f ca="1" t="shared" si="6"/>
      </c>
      <c r="N30" s="46">
        <f ca="1" t="shared" si="6"/>
      </c>
      <c r="O30" s="120">
        <f ca="1" t="shared" si="7"/>
      </c>
      <c r="P30" s="120">
        <f ca="1" t="shared" si="7"/>
      </c>
      <c r="Q30" s="120">
        <f ca="1" t="shared" si="7"/>
      </c>
      <c r="R30" s="124">
        <f ca="1" t="shared" si="7"/>
      </c>
      <c r="S30" s="120">
        <f ca="1" t="shared" si="7"/>
      </c>
      <c r="T30" s="125">
        <f ca="1" t="shared" si="7"/>
      </c>
      <c r="U30" s="30"/>
    </row>
    <row r="31" spans="3:21" ht="12.75">
      <c r="C31" s="18">
        <f ca="1" t="shared" si="5"/>
      </c>
      <c r="D31" s="19" t="str">
        <f ca="1" t="shared" si="5"/>
        <v>SRTA2</v>
      </c>
      <c r="E31" s="19" t="str">
        <f ca="1" t="shared" si="5"/>
        <v>Spec</v>
      </c>
      <c r="F31" s="19" t="str">
        <f ca="1" t="shared" si="1"/>
        <v>Mirror</v>
      </c>
      <c r="G31" s="97" t="str">
        <f>AperturesSyno!Type</f>
        <v>Circ</v>
      </c>
      <c r="H31" s="45">
        <f>IF(Flag="Ignore","",IF(Type="Circ",AperturesSyno!Dia,IF(Type="Ellips",AperturesSyno!EllipsX,AperturesSyno!RectX)))</f>
        <v>38.2616</v>
      </c>
      <c r="I31" s="45">
        <f>IF(Flag="Ignore","",IF(Type="Circ","",IF(Type="Ellips",AperturesSyno!EllipsY,AperturesSyno!RectY)))</f>
      </c>
      <c r="J31" s="44">
        <f>AperturesSyno!OffsetX</f>
      </c>
      <c r="K31" s="46">
        <f>IF(J31="","",AperturesSyno!OffsetY*(-1)*VertexCalc!NormDir)</f>
      </c>
      <c r="L31" s="44">
        <f ca="1" t="shared" si="6"/>
      </c>
      <c r="M31" s="45">
        <f ca="1" t="shared" si="6"/>
      </c>
      <c r="N31" s="46">
        <f ca="1" t="shared" si="6"/>
      </c>
      <c r="O31" s="120">
        <f ca="1" t="shared" si="7"/>
      </c>
      <c r="P31" s="120">
        <f ca="1" t="shared" si="7"/>
      </c>
      <c r="Q31" s="120">
        <f ca="1" t="shared" si="7"/>
      </c>
      <c r="R31" s="124">
        <f ca="1" t="shared" si="7"/>
      </c>
      <c r="S31" s="120">
        <f ca="1" t="shared" si="7"/>
      </c>
      <c r="T31" s="125">
        <f ca="1" t="shared" si="7"/>
      </c>
      <c r="U31" s="30"/>
    </row>
    <row r="32" spans="3:21" ht="12.75">
      <c r="C32" s="18">
        <f ca="1" t="shared" si="5"/>
      </c>
      <c r="D32" s="19" t="str">
        <f ca="1" t="shared" si="5"/>
        <v>SM10A</v>
      </c>
      <c r="E32" s="19" t="str">
        <f ca="1" t="shared" si="5"/>
        <v>Spec</v>
      </c>
      <c r="F32" s="19" t="str">
        <f ca="1" t="shared" si="1"/>
        <v>Mirror</v>
      </c>
      <c r="G32" s="97" t="str">
        <f>AperturesSyno!Type</f>
        <v>Circ</v>
      </c>
      <c r="H32" s="45">
        <f>IF(Flag="Ignore","",IF(Type="Circ",AperturesSyno!Dia,IF(Type="Ellips",AperturesSyno!EllipsX,AperturesSyno!RectX)))</f>
        <v>60</v>
      </c>
      <c r="I32" s="45">
        <f>IF(Flag="Ignore","",IF(Type="Circ","",IF(Type="Ellips",AperturesSyno!EllipsY,AperturesSyno!RectY)))</f>
      </c>
      <c r="J32" s="44">
        <f>AperturesSyno!OffsetX</f>
      </c>
      <c r="K32" s="46">
        <f>IF(J32="","",AperturesSyno!OffsetY*(-1)*VertexCalc!NormDir)</f>
      </c>
      <c r="L32" s="44">
        <f ca="1" t="shared" si="6"/>
      </c>
      <c r="M32" s="45">
        <f ca="1" t="shared" si="6"/>
      </c>
      <c r="N32" s="46">
        <f ca="1" t="shared" si="6"/>
      </c>
      <c r="O32" s="120">
        <f aca="true" ca="1" t="shared" si="8" ref="O32:T41">IF(OR(Flag="Hole",Flag="Det"),INDIRECT("VertexCalc!"&amp;ThisCol),"")</f>
      </c>
      <c r="P32" s="120">
        <f ca="1" t="shared" si="8"/>
      </c>
      <c r="Q32" s="120">
        <f ca="1" t="shared" si="8"/>
      </c>
      <c r="R32" s="124">
        <f ca="1" t="shared" si="8"/>
      </c>
      <c r="S32" s="120">
        <f ca="1" t="shared" si="8"/>
      </c>
      <c r="T32" s="125">
        <f ca="1" t="shared" si="8"/>
      </c>
      <c r="U32" s="30"/>
    </row>
    <row r="33" spans="3:21" ht="12.75">
      <c r="C33" s="18">
        <f ca="1" t="shared" si="5"/>
      </c>
      <c r="D33" s="19" t="str">
        <f ca="1" t="shared" si="5"/>
        <v>SBS2</v>
      </c>
      <c r="E33" s="19" t="str">
        <f ca="1" t="shared" si="5"/>
        <v>Spec</v>
      </c>
      <c r="F33" s="19" t="str">
        <f ca="1" t="shared" si="1"/>
        <v>Hole</v>
      </c>
      <c r="G33" s="97" t="str">
        <f>AperturesSyno!Type</f>
        <v>Circ</v>
      </c>
      <c r="H33" s="45">
        <f>IF(Flag="Ignore","",IF(Type="Circ",AperturesSyno!Dia,IF(Type="Ellips",AperturesSyno!EllipsX,AperturesSyno!RectX)))</f>
        <v>36</v>
      </c>
      <c r="I33" s="45">
        <f>IF(Flag="Ignore","",IF(Type="Circ","",IF(Type="Ellips",AperturesSyno!EllipsY,AperturesSyno!RectY)))</f>
      </c>
      <c r="J33" s="44">
        <f>AperturesSyno!OffsetX</f>
        <v>0</v>
      </c>
      <c r="K33" s="46">
        <f>IF(J33="","",AperturesSyno!OffsetY*(-1)*VertexCalc!NormDir)</f>
        <v>-2</v>
      </c>
      <c r="L33" s="44">
        <f ca="1" t="shared" si="6"/>
        <v>223.12771</v>
      </c>
      <c r="M33" s="45">
        <f ca="1" t="shared" si="6"/>
        <v>170.85667804223695</v>
      </c>
      <c r="N33" s="46">
        <f ca="1" t="shared" si="6"/>
        <v>-546.598533</v>
      </c>
      <c r="O33" s="120">
        <f ca="1" t="shared" si="8"/>
        <v>1</v>
      </c>
      <c r="P33" s="120">
        <f ca="1" t="shared" si="8"/>
        <v>0</v>
      </c>
      <c r="Q33" s="120">
        <f ca="1" t="shared" si="8"/>
        <v>1.22514845490862E-16</v>
      </c>
      <c r="R33" s="124">
        <f ca="1" t="shared" si="8"/>
        <v>-2.587327798029081E-24</v>
      </c>
      <c r="S33" s="120">
        <f ca="1" t="shared" si="8"/>
        <v>0.9999999999999998</v>
      </c>
      <c r="T33" s="125">
        <f ca="1" t="shared" si="8"/>
        <v>2.1118483949131386E-08</v>
      </c>
      <c r="U33" s="30"/>
    </row>
    <row r="34" spans="3:21" ht="12.75">
      <c r="C34" s="18">
        <f ca="1" t="shared" si="5"/>
      </c>
      <c r="D34" s="19" t="str">
        <f ca="1" t="shared" si="5"/>
        <v>SM11A</v>
      </c>
      <c r="E34" s="19" t="str">
        <f ca="1" t="shared" si="5"/>
        <v>Spec</v>
      </c>
      <c r="F34" s="19" t="str">
        <f ca="1" t="shared" si="1"/>
        <v>Mirror</v>
      </c>
      <c r="G34" s="97" t="str">
        <f>AperturesSyno!Type</f>
        <v>Circ</v>
      </c>
      <c r="H34" s="45">
        <f>IF(Flag="Ignore","",IF(Type="Circ",AperturesSyno!Dia,IF(Type="Ellips",AperturesSyno!EllipsX,AperturesSyno!RectX)))</f>
        <v>74</v>
      </c>
      <c r="I34" s="45">
        <f>IF(Flag="Ignore","",IF(Type="Circ","",IF(Type="Ellips",AperturesSyno!EllipsY,AperturesSyno!RectY)))</f>
      </c>
      <c r="J34" s="44">
        <f>AperturesSyno!OffsetX</f>
        <v>0</v>
      </c>
      <c r="K34" s="46">
        <f>IF(J34="","",AperturesSyno!OffsetY*(-1)*VertexCalc!NormDir)</f>
        <v>1</v>
      </c>
      <c r="L34" s="44">
        <f ca="1" t="shared" si="6"/>
      </c>
      <c r="M34" s="45">
        <f ca="1" t="shared" si="6"/>
      </c>
      <c r="N34" s="46">
        <f ca="1" t="shared" si="6"/>
      </c>
      <c r="O34" s="120">
        <f ca="1" t="shared" si="8"/>
      </c>
      <c r="P34" s="120">
        <f ca="1" t="shared" si="8"/>
      </c>
      <c r="Q34" s="120">
        <f ca="1" t="shared" si="8"/>
      </c>
      <c r="R34" s="124">
        <f ca="1" t="shared" si="8"/>
      </c>
      <c r="S34" s="120">
        <f ca="1" t="shared" si="8"/>
      </c>
      <c r="T34" s="125">
        <f ca="1" t="shared" si="8"/>
      </c>
      <c r="U34" s="30"/>
    </row>
    <row r="35" spans="3:21" ht="12.75">
      <c r="C35" s="18">
        <f ca="1" t="shared" si="5"/>
      </c>
      <c r="D35" s="19" t="str">
        <f ca="1" t="shared" si="5"/>
        <v>SM12A</v>
      </c>
      <c r="E35" s="19" t="str">
        <f ca="1" t="shared" si="5"/>
        <v>Spec</v>
      </c>
      <c r="F35" s="19" t="str">
        <f ca="1" t="shared" si="1"/>
        <v>Mirror</v>
      </c>
      <c r="G35" s="97" t="str">
        <f>AperturesSyno!Type</f>
        <v>Ellips</v>
      </c>
      <c r="H35" s="45">
        <f>IF(Flag="Ignore","",IF(Type="Circ",AperturesSyno!Dia,IF(Type="Ellips",AperturesSyno!EllipsX,AperturesSyno!RectX)))</f>
        <v>24.8</v>
      </c>
      <c r="I35" s="45">
        <f>IF(Flag="Ignore","",IF(Type="Circ","",IF(Type="Ellips",AperturesSyno!EllipsY,AperturesSyno!RectY)))</f>
        <v>18</v>
      </c>
      <c r="J35" s="44">
        <f>AperturesSyno!OffsetX</f>
        <v>-0.63</v>
      </c>
      <c r="K35" s="46">
        <f>IF(J35="","",AperturesSyno!OffsetY*(-1)*VertexCalc!NormDir)</f>
        <v>0.5</v>
      </c>
      <c r="L35" s="44">
        <f ca="1" t="shared" si="6"/>
      </c>
      <c r="M35" s="45">
        <f ca="1" t="shared" si="6"/>
      </c>
      <c r="N35" s="46">
        <f ca="1" t="shared" si="6"/>
      </c>
      <c r="O35" s="120">
        <f ca="1" t="shared" si="8"/>
      </c>
      <c r="P35" s="120">
        <f ca="1" t="shared" si="8"/>
      </c>
      <c r="Q35" s="120">
        <f ca="1" t="shared" si="8"/>
      </c>
      <c r="R35" s="124">
        <f ca="1" t="shared" si="8"/>
      </c>
      <c r="S35" s="120">
        <f ca="1" t="shared" si="8"/>
      </c>
      <c r="T35" s="125">
        <f ca="1" t="shared" si="8"/>
      </c>
      <c r="U35" s="30"/>
    </row>
    <row r="36" spans="3:21" ht="12.75">
      <c r="C36" s="18">
        <f ca="1" t="shared" si="5"/>
      </c>
      <c r="D36" s="19" t="str">
        <f ca="1" t="shared" si="5"/>
        <v>SFLA</v>
      </c>
      <c r="E36" s="19" t="str">
        <f ca="1" t="shared" si="5"/>
        <v>Spec</v>
      </c>
      <c r="F36" s="19" t="str">
        <f ca="1" t="shared" si="1"/>
        <v>Hole</v>
      </c>
      <c r="G36" s="97" t="str">
        <f>AperturesSyno!Type</f>
        <v>Circ</v>
      </c>
      <c r="H36" s="45">
        <f>IF(Flag="Ignore","",IF(Type="Circ",AperturesSyno!Dia,IF(Type="Ellips",AperturesSyno!EllipsX,AperturesSyno!RectX)))</f>
        <v>15.0204</v>
      </c>
      <c r="I36" s="45">
        <f>IF(Flag="Ignore","",IF(Type="Circ","",IF(Type="Ellips",AperturesSyno!EllipsY,AperturesSyno!RectY)))</f>
      </c>
      <c r="J36" s="44">
        <f>AperturesSyno!OffsetX</f>
      </c>
      <c r="K36" s="46">
        <f>IF(J36="","",AperturesSyno!OffsetY*(-1)*VertexCalc!NormDir)</f>
      </c>
      <c r="L36" s="44">
        <f ca="1" t="shared" si="6"/>
        <v>263.582597</v>
      </c>
      <c r="M36" s="45">
        <f ca="1" t="shared" si="6"/>
        <v>236.756678</v>
      </c>
      <c r="N36" s="46">
        <f ca="1" t="shared" si="6"/>
        <v>-636.663145</v>
      </c>
      <c r="O36" s="120">
        <f ca="1" t="shared" si="8"/>
        <v>-6.032678484924683E-17</v>
      </c>
      <c r="P36" s="120">
        <f ca="1" t="shared" si="8"/>
        <v>-1</v>
      </c>
      <c r="Q36" s="120">
        <f ca="1" t="shared" si="8"/>
        <v>-1.0637239828316857E-17</v>
      </c>
      <c r="R36" s="124">
        <f ca="1" t="shared" si="8"/>
        <v>-0.984807753012208</v>
      </c>
      <c r="S36" s="120">
        <f ca="1" t="shared" si="8"/>
        <v>6.1257422745431E-17</v>
      </c>
      <c r="T36" s="125">
        <f ca="1" t="shared" si="8"/>
        <v>-0.17364817766693028</v>
      </c>
      <c r="U36" s="30"/>
    </row>
    <row r="37" spans="3:21" ht="13.5" thickBot="1">
      <c r="C37" s="14">
        <f ca="1" t="shared" si="5"/>
      </c>
      <c r="D37" s="15" t="str">
        <f ca="1" t="shared" si="5"/>
        <v>SSW</v>
      </c>
      <c r="E37" s="15" t="str">
        <f ca="1" t="shared" si="5"/>
        <v>Spec</v>
      </c>
      <c r="F37" s="15" t="str">
        <f ca="1" t="shared" si="1"/>
        <v>Det</v>
      </c>
      <c r="G37" s="97" t="str">
        <f>AperturesSyno!Type</f>
        <v>Circ</v>
      </c>
      <c r="H37" s="45">
        <f>IF(Flag="Ignore","",IF(Type="Circ",AperturesSyno!Dia,IF(Type="Ellips",AperturesSyno!EllipsX,AperturesSyno!RectX)))</f>
        <v>20</v>
      </c>
      <c r="I37" s="45">
        <f>IF(Flag="Ignore","",IF(Type="Circ","",IF(Type="Ellips",AperturesSyno!EllipsY,AperturesSyno!RectY)))</f>
      </c>
      <c r="J37" s="44">
        <f>AperturesSyno!OffsetX</f>
      </c>
      <c r="K37" s="46">
        <f>IF(J37="","",AperturesSyno!OffsetY*(-1)*VertexCalc!NormDir)</f>
      </c>
      <c r="L37" s="50">
        <f ca="1" t="shared" si="6"/>
        <v>263.582597</v>
      </c>
      <c r="M37" s="51">
        <f ca="1" t="shared" si="6"/>
        <v>250.856678</v>
      </c>
      <c r="N37" s="52">
        <f ca="1" t="shared" si="6"/>
        <v>-636.663145</v>
      </c>
      <c r="O37" s="127">
        <f ca="1" t="shared" si="8"/>
        <v>-6.1257422745431E-17</v>
      </c>
      <c r="P37" s="127">
        <f ca="1" t="shared" si="8"/>
        <v>-1</v>
      </c>
      <c r="Q37" s="127">
        <f ca="1" t="shared" si="8"/>
        <v>7.504943682824895E-33</v>
      </c>
      <c r="R37" s="126">
        <f ca="1" t="shared" si="8"/>
        <v>-1</v>
      </c>
      <c r="S37" s="127">
        <f ca="1" t="shared" si="8"/>
        <v>6.1257422745431E-17</v>
      </c>
      <c r="T37" s="128">
        <f ca="1" t="shared" si="8"/>
        <v>1.22514845490862E-16</v>
      </c>
      <c r="U37" s="30"/>
    </row>
    <row r="38" spans="3:21" ht="12.75">
      <c r="C38" s="10" t="str">
        <f ca="1" t="shared" si="5"/>
        <v>Lower arm</v>
      </c>
      <c r="D38" s="11" t="str">
        <f ca="1" t="shared" si="5"/>
        <v>SCAL</v>
      </c>
      <c r="E38" s="11" t="str">
        <f ca="1" t="shared" si="5"/>
        <v>Spec</v>
      </c>
      <c r="F38" s="11" t="str">
        <f ca="1" t="shared" si="1"/>
        <v>Hole</v>
      </c>
      <c r="G38" s="98" t="str">
        <f>AperturesSyno!Type</f>
        <v>Circ</v>
      </c>
      <c r="H38" s="48">
        <f>IF(Flag="Ignore","",IF(Type="Circ",AperturesSyno!Dia,IF(Type="Ellips",AperturesSyno!EllipsX,AperturesSyno!RectX)))</f>
        <v>25</v>
      </c>
      <c r="I38" s="48">
        <f>IF(Flag="Ignore","",IF(Type="Circ","",IF(Type="Ellips",AperturesSyno!EllipsY,AperturesSyno!RectY)))</f>
      </c>
      <c r="J38" s="47">
        <f>AperturesSyno!OffsetX</f>
      </c>
      <c r="K38" s="49">
        <f>IF(J38="","",AperturesSyno!OffsetY*(-1)*VertexCalc!NormDir)</f>
      </c>
      <c r="L38" s="44">
        <f ca="1" t="shared" si="6"/>
        <v>158.8528</v>
      </c>
      <c r="M38" s="45">
        <f ca="1" t="shared" si="6"/>
        <v>170.856678</v>
      </c>
      <c r="N38" s="46">
        <f ca="1" t="shared" si="6"/>
        <v>-219.396473</v>
      </c>
      <c r="O38" s="130">
        <f ca="1" t="shared" si="8"/>
        <v>0.984807753012208</v>
      </c>
      <c r="P38" s="129">
        <f ca="1" t="shared" si="8"/>
        <v>0</v>
      </c>
      <c r="Q38" s="131">
        <f ca="1" t="shared" si="8"/>
        <v>0.17364817766693033</v>
      </c>
      <c r="R38" s="124">
        <f ca="1" t="shared" si="8"/>
        <v>0</v>
      </c>
      <c r="S38" s="120">
        <f ca="1" t="shared" si="8"/>
        <v>1</v>
      </c>
      <c r="T38" s="125">
        <f ca="1" t="shared" si="8"/>
        <v>0</v>
      </c>
      <c r="U38" s="30"/>
    </row>
    <row r="39" spans="3:21" ht="12.75">
      <c r="C39" s="18">
        <f ca="1" t="shared" si="5"/>
      </c>
      <c r="D39" s="19" t="str">
        <f ca="1" t="shared" si="5"/>
        <v>SM8B</v>
      </c>
      <c r="E39" s="19" t="str">
        <f ca="1" t="shared" si="5"/>
        <v>Spec</v>
      </c>
      <c r="F39" s="19" t="str">
        <f ca="1" t="shared" si="1"/>
        <v>Mirror</v>
      </c>
      <c r="G39" s="97" t="str">
        <f>AperturesSyno!Type</f>
        <v>Circ</v>
      </c>
      <c r="H39" s="45">
        <f>IF(Flag="Ignore","",IF(Type="Circ",AperturesSyno!Dia,IF(Type="Ellips",AperturesSyno!EllipsX,AperturesSyno!RectX)))</f>
        <v>60</v>
      </c>
      <c r="I39" s="45">
        <f>IF(Flag="Ignore","",IF(Type="Circ","",IF(Type="Ellips",AperturesSyno!EllipsY,AperturesSyno!RectY)))</f>
      </c>
      <c r="J39" s="44">
        <f>AperturesSyno!OffsetX</f>
      </c>
      <c r="K39" s="46">
        <f>IF(J39="","",AperturesSyno!OffsetY*(-1)*VertexCalc!NormDir)</f>
      </c>
      <c r="L39" s="44">
        <f ca="1" t="shared" si="6"/>
      </c>
      <c r="M39" s="45">
        <f ca="1" t="shared" si="6"/>
      </c>
      <c r="N39" s="46">
        <f ca="1" t="shared" si="6"/>
      </c>
      <c r="O39" s="124">
        <f ca="1" t="shared" si="8"/>
      </c>
      <c r="P39" s="120">
        <f ca="1" t="shared" si="8"/>
      </c>
      <c r="Q39" s="125">
        <f ca="1" t="shared" si="8"/>
      </c>
      <c r="R39" s="124">
        <f ca="1" t="shared" si="8"/>
      </c>
      <c r="S39" s="120">
        <f ca="1" t="shared" si="8"/>
      </c>
      <c r="T39" s="125">
        <f ca="1" t="shared" si="8"/>
      </c>
      <c r="U39" s="30"/>
    </row>
    <row r="40" spans="3:21" ht="12.75">
      <c r="C40" s="18">
        <f ca="1" t="shared" si="5"/>
      </c>
      <c r="D40" s="19" t="str">
        <f ca="1" t="shared" si="5"/>
        <v>SBS1</v>
      </c>
      <c r="E40" s="19" t="str">
        <f ca="1" t="shared" si="5"/>
        <v>Spec</v>
      </c>
      <c r="F40" s="19" t="str">
        <f ca="1" t="shared" si="1"/>
        <v>Hole</v>
      </c>
      <c r="G40" s="97" t="str">
        <f>AperturesSyno!Type</f>
        <v>Circ</v>
      </c>
      <c r="H40" s="45">
        <f>IF(Flag="Ignore","",IF(Type="Circ",AperturesSyno!Dia,IF(Type="Ellips",AperturesSyno!EllipsX,AperturesSyno!RectX)))</f>
        <v>30</v>
      </c>
      <c r="I40" s="45">
        <f>IF(Flag="Ignore","",IF(Type="Circ","",IF(Type="Ellips",AperturesSyno!EllipsY,AperturesSyno!RectY)))</f>
      </c>
      <c r="J40" s="44">
        <f>AperturesSyno!OffsetX</f>
        <v>0</v>
      </c>
      <c r="K40" s="46">
        <f>IF(J40="","",AperturesSyno!OffsetY*(-1)*VertexCalc!NormDir)</f>
        <v>1.5</v>
      </c>
      <c r="L40" s="44">
        <f ca="1" t="shared" si="6"/>
        <v>223.12771002748894</v>
      </c>
      <c r="M40" s="45">
        <f ca="1" t="shared" si="6"/>
        <v>170.85667802748893</v>
      </c>
      <c r="N40" s="46">
        <f ca="1" t="shared" si="6"/>
        <v>-319.898533</v>
      </c>
      <c r="O40" s="124">
        <f ca="1" t="shared" si="8"/>
        <v>0.9999999999999998</v>
      </c>
      <c r="P40" s="120">
        <f ca="1" t="shared" si="8"/>
        <v>0</v>
      </c>
      <c r="Q40" s="125">
        <f ca="1" t="shared" si="8"/>
        <v>-1.8325957145940456E-08</v>
      </c>
      <c r="R40" s="124">
        <f ca="1" t="shared" si="8"/>
        <v>-3.3584070531484604E-16</v>
      </c>
      <c r="S40" s="120">
        <f ca="1" t="shared" si="8"/>
        <v>0.9999999999999998</v>
      </c>
      <c r="T40" s="125">
        <f ca="1" t="shared" si="8"/>
        <v>-1.8325957145940453E-08</v>
      </c>
      <c r="U40" s="30"/>
    </row>
    <row r="41" spans="3:21" ht="12.75">
      <c r="C41" s="18">
        <f ca="1" t="shared" si="5"/>
      </c>
      <c r="D41" s="19" t="str">
        <f ca="1" t="shared" si="5"/>
        <v>SM9B</v>
      </c>
      <c r="E41" s="19" t="str">
        <f ca="1" t="shared" si="5"/>
        <v>Spec</v>
      </c>
      <c r="F41" s="19" t="str">
        <f ca="1" t="shared" si="1"/>
        <v>Mirror</v>
      </c>
      <c r="G41" s="97" t="str">
        <f>AperturesSyno!Type</f>
        <v>Circ</v>
      </c>
      <c r="H41" s="45">
        <f>IF(Flag="Ignore","",IF(Type="Circ",AperturesSyno!Dia,IF(Type="Ellips",AperturesSyno!EllipsX,AperturesSyno!RectX)))</f>
        <v>50</v>
      </c>
      <c r="I41" s="45">
        <f>IF(Flag="Ignore","",IF(Type="Circ","",IF(Type="Ellips",AperturesSyno!EllipsY,AperturesSyno!RectY)))</f>
      </c>
      <c r="J41" s="44">
        <f>AperturesSyno!OffsetX</f>
      </c>
      <c r="K41" s="46">
        <f>IF(J41="","",AperturesSyno!OffsetY*(-1)*VertexCalc!NormDir)</f>
      </c>
      <c r="L41" s="44">
        <f ca="1" t="shared" si="6"/>
      </c>
      <c r="M41" s="45">
        <f ca="1" t="shared" si="6"/>
      </c>
      <c r="N41" s="46">
        <f ca="1" t="shared" si="6"/>
      </c>
      <c r="O41" s="124">
        <f ca="1" t="shared" si="8"/>
      </c>
      <c r="P41" s="120">
        <f ca="1" t="shared" si="8"/>
      </c>
      <c r="Q41" s="125">
        <f ca="1" t="shared" si="8"/>
      </c>
      <c r="R41" s="124">
        <f ca="1" t="shared" si="8"/>
      </c>
      <c r="S41" s="120">
        <f ca="1" t="shared" si="8"/>
      </c>
      <c r="T41" s="125">
        <f ca="1" t="shared" si="8"/>
      </c>
      <c r="U41" s="30"/>
    </row>
    <row r="42" spans="3:21" ht="12.75">
      <c r="C42" s="18">
        <f aca="true" ca="1" t="shared" si="9" ref="C42:E49">IF(INDIRECT("SurfaceList!"&amp;ThisCol)="","",INDIRECT("SurfaceList!"&amp;ThisCol))</f>
      </c>
      <c r="D42" s="19" t="str">
        <f ca="1" t="shared" si="9"/>
        <v>SRTB1</v>
      </c>
      <c r="E42" s="19" t="str">
        <f ca="1" t="shared" si="9"/>
        <v>Spec</v>
      </c>
      <c r="F42" s="19" t="str">
        <f ca="1" t="shared" si="1"/>
        <v>Mirror</v>
      </c>
      <c r="G42" s="97" t="str">
        <f>AperturesSyno!Type</f>
        <v>Circ</v>
      </c>
      <c r="H42" s="45">
        <f>IF(Flag="Ignore","",IF(Type="Circ",AperturesSyno!Dia,IF(Type="Ellips",AperturesSyno!EllipsX,AperturesSyno!RectX)))</f>
        <v>36.808</v>
      </c>
      <c r="I42" s="45">
        <f>IF(Flag="Ignore","",IF(Type="Circ","",IF(Type="Ellips",AperturesSyno!EllipsY,AperturesSyno!RectY)))</f>
      </c>
      <c r="J42" s="44">
        <f>AperturesSyno!OffsetX</f>
      </c>
      <c r="K42" s="46">
        <f>IF(J42="","",AperturesSyno!OffsetY*(-1)*VertexCalc!NormDir)</f>
      </c>
      <c r="L42" s="44">
        <f aca="true" ca="1" t="shared" si="10" ref="L42:N49">IF(OR(Flag="Hole",Flag="Det"),IF(Csag="",INDIRECT("VertexCalc!"&amp;Axe&amp;"vertex"),INDIRECT("VertexCalc!"&amp;Axe&amp;"vertex")+Csag*INDIRECT("VertexCalc!"&amp;Axe&amp;"sag")+Ctang*INDIRECT("VertexCalc!"&amp;Axe&amp;"tang")),"")</f>
      </c>
      <c r="M42" s="45">
        <f ca="1" t="shared" si="10"/>
      </c>
      <c r="N42" s="46">
        <f ca="1" t="shared" si="10"/>
      </c>
      <c r="O42" s="124">
        <f aca="true" ca="1" t="shared" si="11" ref="O42:T49">IF(OR(Flag="Hole",Flag="Det"),INDIRECT("VertexCalc!"&amp;ThisCol),"")</f>
      </c>
      <c r="P42" s="120">
        <f ca="1" t="shared" si="11"/>
      </c>
      <c r="Q42" s="125">
        <f ca="1" t="shared" si="11"/>
      </c>
      <c r="R42" s="124">
        <f ca="1" t="shared" si="11"/>
      </c>
      <c r="S42" s="120">
        <f ca="1" t="shared" si="11"/>
      </c>
      <c r="T42" s="125">
        <f ca="1" t="shared" si="11"/>
      </c>
      <c r="U42" s="30"/>
    </row>
    <row r="43" spans="3:21" ht="12.75">
      <c r="C43" s="18">
        <f ca="1" t="shared" si="9"/>
      </c>
      <c r="D43" s="19" t="str">
        <f ca="1" t="shared" si="9"/>
        <v>SRTB2</v>
      </c>
      <c r="E43" s="19" t="str">
        <f ca="1" t="shared" si="9"/>
        <v>Spec</v>
      </c>
      <c r="F43" s="19" t="str">
        <f ca="1" t="shared" si="1"/>
        <v>Mirror</v>
      </c>
      <c r="G43" s="97" t="str">
        <f>AperturesSyno!Type</f>
        <v>Circ</v>
      </c>
      <c r="H43" s="45">
        <f>IF(Flag="Ignore","",IF(Type="Circ",AperturesSyno!Dia,IF(Type="Ellips",AperturesSyno!EllipsX,AperturesSyno!RectX)))</f>
        <v>38.2616</v>
      </c>
      <c r="I43" s="45">
        <f>IF(Flag="Ignore","",IF(Type="Circ","",IF(Type="Ellips",AperturesSyno!EllipsY,AperturesSyno!RectY)))</f>
      </c>
      <c r="J43" s="44">
        <f>AperturesSyno!OffsetX</f>
      </c>
      <c r="K43" s="46">
        <f>IF(J43="","",AperturesSyno!OffsetY*(-1)*VertexCalc!NormDir)</f>
      </c>
      <c r="L43" s="44">
        <f ca="1" t="shared" si="10"/>
      </c>
      <c r="M43" s="45">
        <f ca="1" t="shared" si="10"/>
      </c>
      <c r="N43" s="46">
        <f ca="1" t="shared" si="10"/>
      </c>
      <c r="O43" s="124">
        <f ca="1" t="shared" si="11"/>
      </c>
      <c r="P43" s="120">
        <f ca="1" t="shared" si="11"/>
      </c>
      <c r="Q43" s="125">
        <f ca="1" t="shared" si="11"/>
      </c>
      <c r="R43" s="124">
        <f ca="1" t="shared" si="11"/>
      </c>
      <c r="S43" s="120">
        <f ca="1" t="shared" si="11"/>
      </c>
      <c r="T43" s="125">
        <f ca="1" t="shared" si="11"/>
      </c>
      <c r="U43" s="30"/>
    </row>
    <row r="44" spans="3:21" ht="12.75">
      <c r="C44" s="18">
        <f ca="1" t="shared" si="9"/>
      </c>
      <c r="D44" s="19" t="str">
        <f ca="1" t="shared" si="9"/>
        <v>SM10B</v>
      </c>
      <c r="E44" s="19" t="str">
        <f ca="1" t="shared" si="9"/>
        <v>Spec</v>
      </c>
      <c r="F44" s="19" t="str">
        <f ca="1" t="shared" si="1"/>
        <v>Mirror</v>
      </c>
      <c r="G44" s="97" t="str">
        <f>AperturesSyno!Type</f>
        <v>Circ</v>
      </c>
      <c r="H44" s="45">
        <f>IF(Flag="Ignore","",IF(Type="Circ",AperturesSyno!Dia,IF(Type="Ellips",AperturesSyno!EllipsX,AperturesSyno!RectX)))</f>
        <v>60</v>
      </c>
      <c r="I44" s="45">
        <f>IF(Flag="Ignore","",IF(Type="Circ","",IF(Type="Ellips",AperturesSyno!EllipsY,AperturesSyno!RectY)))</f>
      </c>
      <c r="J44" s="44">
        <f>AperturesSyno!OffsetX</f>
      </c>
      <c r="K44" s="46">
        <f>IF(J44="","",AperturesSyno!OffsetY*(-1)*VertexCalc!NormDir)</f>
      </c>
      <c r="L44" s="44">
        <f ca="1" t="shared" si="10"/>
      </c>
      <c r="M44" s="45">
        <f ca="1" t="shared" si="10"/>
      </c>
      <c r="N44" s="46">
        <f ca="1" t="shared" si="10"/>
      </c>
      <c r="O44" s="124">
        <f ca="1" t="shared" si="11"/>
      </c>
      <c r="P44" s="120">
        <f ca="1" t="shared" si="11"/>
      </c>
      <c r="Q44" s="125">
        <f ca="1" t="shared" si="11"/>
      </c>
      <c r="R44" s="124">
        <f ca="1" t="shared" si="11"/>
      </c>
      <c r="S44" s="120">
        <f ca="1" t="shared" si="11"/>
      </c>
      <c r="T44" s="125">
        <f ca="1" t="shared" si="11"/>
      </c>
      <c r="U44" s="30"/>
    </row>
    <row r="45" spans="3:21" ht="12.75">
      <c r="C45" s="18">
        <f ca="1" t="shared" si="9"/>
      </c>
      <c r="D45" s="19" t="str">
        <f ca="1" t="shared" si="9"/>
        <v>SBS2</v>
      </c>
      <c r="E45" s="19" t="str">
        <f ca="1" t="shared" si="9"/>
        <v>Spec</v>
      </c>
      <c r="F45" s="19" t="str">
        <f ca="1" t="shared" si="1"/>
        <v>Hole</v>
      </c>
      <c r="G45" s="97" t="str">
        <f>AperturesSyno!Type</f>
        <v>Circ</v>
      </c>
      <c r="H45" s="45">
        <f>IF(Flag="Ignore","",IF(Type="Circ",AperturesSyno!Dia,IF(Type="Ellips",AperturesSyno!EllipsX,AperturesSyno!RectX)))</f>
        <v>36</v>
      </c>
      <c r="I45" s="45">
        <f>IF(Flag="Ignore","",IF(Type="Circ","",IF(Type="Ellips",AperturesSyno!EllipsY,AperturesSyno!RectY)))</f>
      </c>
      <c r="J45" s="44">
        <f>AperturesSyno!OffsetX</f>
        <v>0</v>
      </c>
      <c r="K45" s="46">
        <f>IF(J45="","",AperturesSyno!OffsetY*(-1)*VertexCalc!NormDir)</f>
        <v>-2</v>
      </c>
      <c r="L45" s="44">
        <f ca="1" t="shared" si="10"/>
        <v>223.12771</v>
      </c>
      <c r="M45" s="45">
        <f ca="1" t="shared" si="10"/>
        <v>170.85667804223695</v>
      </c>
      <c r="N45" s="46">
        <f ca="1" t="shared" si="10"/>
        <v>-546.598533</v>
      </c>
      <c r="O45" s="124">
        <f ca="1" t="shared" si="11"/>
        <v>1</v>
      </c>
      <c r="P45" s="120">
        <f ca="1" t="shared" si="11"/>
        <v>0</v>
      </c>
      <c r="Q45" s="125">
        <f ca="1" t="shared" si="11"/>
        <v>1.22514845490862E-16</v>
      </c>
      <c r="R45" s="124">
        <f ca="1" t="shared" si="11"/>
        <v>-2.587327798029081E-24</v>
      </c>
      <c r="S45" s="120">
        <f ca="1" t="shared" si="11"/>
        <v>0.9999999999999998</v>
      </c>
      <c r="T45" s="125">
        <f ca="1" t="shared" si="11"/>
        <v>2.1118483949131386E-08</v>
      </c>
      <c r="U45" s="30"/>
    </row>
    <row r="46" spans="3:21" ht="12.75">
      <c r="C46" s="18">
        <f ca="1" t="shared" si="9"/>
      </c>
      <c r="D46" s="19" t="str">
        <f ca="1" t="shared" si="9"/>
        <v>SM11B</v>
      </c>
      <c r="E46" s="19" t="str">
        <f ca="1" t="shared" si="9"/>
        <v>Spec</v>
      </c>
      <c r="F46" s="19" t="str">
        <f ca="1" t="shared" si="1"/>
        <v>Mirror</v>
      </c>
      <c r="G46" s="97" t="str">
        <f>AperturesSyno!Type</f>
        <v>Circ</v>
      </c>
      <c r="H46" s="45">
        <f>IF(Flag="Ignore","",IF(Type="Circ",AperturesSyno!Dia,IF(Type="Ellips",AperturesSyno!EllipsX,AperturesSyno!RectX)))</f>
        <v>74</v>
      </c>
      <c r="I46" s="45">
        <f>IF(Flag="Ignore","",IF(Type="Circ","",IF(Type="Ellips",AperturesSyno!EllipsY,AperturesSyno!RectY)))</f>
      </c>
      <c r="J46" s="44">
        <f>AperturesSyno!OffsetX</f>
        <v>0</v>
      </c>
      <c r="K46" s="46">
        <f>IF(J46="","",AperturesSyno!OffsetY*(-1)*VertexCalc!NormDir)</f>
        <v>-1</v>
      </c>
      <c r="L46" s="44">
        <f ca="1" t="shared" si="10"/>
      </c>
      <c r="M46" s="45">
        <f ca="1" t="shared" si="10"/>
      </c>
      <c r="N46" s="46">
        <f ca="1" t="shared" si="10"/>
      </c>
      <c r="O46" s="124">
        <f ca="1" t="shared" si="11"/>
      </c>
      <c r="P46" s="120">
        <f ca="1" t="shared" si="11"/>
      </c>
      <c r="Q46" s="125">
        <f ca="1" t="shared" si="11"/>
      </c>
      <c r="R46" s="124">
        <f ca="1" t="shared" si="11"/>
      </c>
      <c r="S46" s="120">
        <f ca="1" t="shared" si="11"/>
      </c>
      <c r="T46" s="125">
        <f ca="1" t="shared" si="11"/>
      </c>
      <c r="U46" s="30"/>
    </row>
    <row r="47" spans="3:21" ht="12.75">
      <c r="C47" s="18">
        <f ca="1" t="shared" si="9"/>
      </c>
      <c r="D47" s="19" t="str">
        <f ca="1" t="shared" si="9"/>
        <v>SM12B</v>
      </c>
      <c r="E47" s="19" t="str">
        <f ca="1" t="shared" si="9"/>
        <v>Spec</v>
      </c>
      <c r="F47" s="19" t="str">
        <f ca="1" t="shared" si="1"/>
        <v>Mirror</v>
      </c>
      <c r="G47" s="97" t="str">
        <f>AperturesSyno!Type</f>
        <v>Ellips</v>
      </c>
      <c r="H47" s="45">
        <f>IF(Flag="Ignore","",IF(Type="Circ",AperturesSyno!Dia,IF(Type="Ellips",AperturesSyno!EllipsX,AperturesSyno!RectX)))</f>
        <v>24.8</v>
      </c>
      <c r="I47" s="45">
        <f>IF(Flag="Ignore","",IF(Type="Circ","",IF(Type="Ellips",AperturesSyno!EllipsY,AperturesSyno!RectY)))</f>
        <v>18</v>
      </c>
      <c r="J47" s="44">
        <f>AperturesSyno!OffsetX</f>
        <v>-0.63</v>
      </c>
      <c r="K47" s="46">
        <f>IF(J47="","",AperturesSyno!OffsetY*(-1)*VertexCalc!NormDir)</f>
        <v>-0.5</v>
      </c>
      <c r="L47" s="44">
        <f ca="1" t="shared" si="10"/>
      </c>
      <c r="M47" s="45">
        <f ca="1" t="shared" si="10"/>
      </c>
      <c r="N47" s="46">
        <f ca="1" t="shared" si="10"/>
      </c>
      <c r="O47" s="124">
        <f ca="1" t="shared" si="11"/>
      </c>
      <c r="P47" s="120">
        <f ca="1" t="shared" si="11"/>
      </c>
      <c r="Q47" s="125">
        <f ca="1" t="shared" si="11"/>
      </c>
      <c r="R47" s="124">
        <f ca="1" t="shared" si="11"/>
      </c>
      <c r="S47" s="120">
        <f ca="1" t="shared" si="11"/>
      </c>
      <c r="T47" s="125">
        <f ca="1" t="shared" si="11"/>
      </c>
      <c r="U47" s="30"/>
    </row>
    <row r="48" spans="3:21" ht="12.75">
      <c r="C48" s="18"/>
      <c r="D48" s="19" t="str">
        <f ca="1" t="shared" si="9"/>
        <v>SFLB</v>
      </c>
      <c r="E48" s="19" t="str">
        <f ca="1" t="shared" si="9"/>
        <v>Spec</v>
      </c>
      <c r="F48" s="19" t="str">
        <f ca="1" t="shared" si="1"/>
        <v>Hole</v>
      </c>
      <c r="G48" s="97" t="str">
        <f>AperturesSyno!Type</f>
        <v>Circ</v>
      </c>
      <c r="H48" s="45">
        <f>IF(Flag="Ignore","",IF(Type="Circ",AperturesSyno!Dia,IF(Type="Ellips",AperturesSyno!EllipsX,AperturesSyno!RectX)))</f>
        <v>14.6868</v>
      </c>
      <c r="I48" s="45">
        <f>IF(Flag="Ignore","",IF(Type="Circ","",IF(Type="Ellips",AperturesSyno!EllipsY,AperturesSyno!RectY)))</f>
      </c>
      <c r="J48" s="44">
        <f>AperturesSyno!OffsetX</f>
      </c>
      <c r="K48" s="46">
        <f>IF(J48="","",AperturesSyno!OffsetY*(-1)*VertexCalc!NormDir)</f>
      </c>
      <c r="L48" s="44">
        <f ca="1" t="shared" si="10"/>
        <v>182.672823</v>
      </c>
      <c r="M48" s="45">
        <f ca="1" t="shared" si="10"/>
        <v>246.956678</v>
      </c>
      <c r="N48" s="46">
        <f ca="1" t="shared" si="10"/>
        <v>-636.663145</v>
      </c>
      <c r="O48" s="124">
        <f ca="1" t="shared" si="11"/>
        <v>6.032678484924683E-17</v>
      </c>
      <c r="P48" s="120">
        <f ca="1" t="shared" si="11"/>
        <v>-1</v>
      </c>
      <c r="Q48" s="125">
        <f ca="1" t="shared" si="11"/>
        <v>-1.0637239828316857E-17</v>
      </c>
      <c r="R48" s="124">
        <f ca="1" t="shared" si="11"/>
        <v>0.984807753012208</v>
      </c>
      <c r="S48" s="120">
        <f ca="1" t="shared" si="11"/>
        <v>6.1257422745431E-17</v>
      </c>
      <c r="T48" s="125">
        <f ca="1" t="shared" si="11"/>
        <v>-0.17364817766693028</v>
      </c>
      <c r="U48" s="30"/>
    </row>
    <row r="49" spans="3:21" ht="13.5" thickBot="1">
      <c r="C49" s="14">
        <f ca="1" t="shared" si="9"/>
      </c>
      <c r="D49" s="15" t="str">
        <f ca="1" t="shared" si="9"/>
        <v>SLW</v>
      </c>
      <c r="E49" s="15" t="str">
        <f ca="1" t="shared" si="9"/>
        <v>Spec</v>
      </c>
      <c r="F49" s="15" t="str">
        <f ca="1" t="shared" si="1"/>
        <v>Det</v>
      </c>
      <c r="G49" s="99" t="str">
        <f>AperturesSyno!Type</f>
        <v>Circ</v>
      </c>
      <c r="H49" s="51">
        <f>IF(Flag="Ignore","",IF(Type="Circ",AperturesSyno!Dia,IF(Type="Ellips",AperturesSyno!EllipsX,AperturesSyno!RectX)))</f>
        <v>20</v>
      </c>
      <c r="I49" s="51">
        <f>IF(Flag="Ignore","",IF(Type="Circ","",IF(Type="Ellips",AperturesSyno!EllipsY,AperturesSyno!RectY)))</f>
      </c>
      <c r="J49" s="50">
        <f>AperturesSyno!OffsetX</f>
      </c>
      <c r="K49" s="52">
        <f>IF(J49="","",AperturesSyno!OffsetY*(-1)*VertexCalc!NormDir)</f>
      </c>
      <c r="L49" s="50">
        <f ca="1" t="shared" si="10"/>
        <v>182.672823</v>
      </c>
      <c r="M49" s="51">
        <f ca="1" t="shared" si="10"/>
        <v>250.856678</v>
      </c>
      <c r="N49" s="52">
        <f ca="1" t="shared" si="10"/>
        <v>-636.663145</v>
      </c>
      <c r="O49" s="126">
        <f ca="1" t="shared" si="11"/>
        <v>6.1257422745431E-17</v>
      </c>
      <c r="P49" s="127">
        <f ca="1" t="shared" si="11"/>
        <v>-1</v>
      </c>
      <c r="Q49" s="128">
        <f ca="1" t="shared" si="11"/>
        <v>7.504943682824895E-33</v>
      </c>
      <c r="R49" s="126">
        <f ca="1" t="shared" si="11"/>
        <v>1</v>
      </c>
      <c r="S49" s="127">
        <f ca="1" t="shared" si="11"/>
        <v>6.1257422745431E-17</v>
      </c>
      <c r="T49" s="128">
        <f ca="1" t="shared" si="11"/>
        <v>1.22514845490862E-16</v>
      </c>
      <c r="U49" s="30"/>
    </row>
    <row r="50" spans="1:14" ht="12.75">
      <c r="A50" s="1" t="s">
        <v>442</v>
      </c>
      <c r="E50" s="19"/>
      <c r="F50" s="19"/>
      <c r="J50" s="84"/>
      <c r="L50" s="45" t="s">
        <v>439</v>
      </c>
      <c r="M50" s="45" t="s">
        <v>440</v>
      </c>
      <c r="N50" s="45" t="s">
        <v>441</v>
      </c>
    </row>
    <row r="51" spans="5:10" ht="12.75">
      <c r="E51" s="19"/>
      <c r="F51" s="19"/>
      <c r="J51" s="84"/>
    </row>
    <row r="52" spans="3:10" ht="12.75">
      <c r="C52" s="23" t="s">
        <v>124</v>
      </c>
      <c r="D52" s="1"/>
      <c r="J52" s="84"/>
    </row>
    <row r="53" spans="3:10" ht="12.75">
      <c r="C53" s="1" t="s">
        <v>14</v>
      </c>
      <c r="D53" s="1" t="str">
        <f>"-Zsyno"</f>
        <v>-Zsyno</v>
      </c>
      <c r="E53" s="1" t="s">
        <v>117</v>
      </c>
      <c r="J53" s="84"/>
    </row>
    <row r="54" spans="3:10" ht="12.75">
      <c r="C54" s="1" t="s">
        <v>69</v>
      </c>
      <c r="D54" s="1" t="s">
        <v>120</v>
      </c>
      <c r="E54" s="1" t="s">
        <v>118</v>
      </c>
      <c r="J54" s="84"/>
    </row>
    <row r="55" spans="3:10" ht="12.75">
      <c r="C55" s="1" t="s">
        <v>70</v>
      </c>
      <c r="D55" s="1" t="s">
        <v>121</v>
      </c>
      <c r="E55" s="1" t="s">
        <v>119</v>
      </c>
      <c r="J55" s="84"/>
    </row>
    <row r="56" spans="5:10" ht="12.75">
      <c r="E56" s="19"/>
      <c r="F56" s="19"/>
      <c r="J56" s="84"/>
    </row>
  </sheetData>
  <printOptions/>
  <pageMargins left="0.48" right="0.37" top="0.984251968503937" bottom="0.984251968503937" header="0.5118110236220472" footer="0.5118110236220472"/>
  <pageSetup fitToHeight="1" fitToWidth="1" horizontalDpi="600" verticalDpi="600" orientation="landscape" paperSize="9" scale="54" r:id="rId2"/>
  <headerFooter alignWithMargins="0">
    <oddHeader>&amp;L&amp;F, &amp;A&amp;R&amp;T, &amp;D</oddHead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I59"/>
  <sheetViews>
    <sheetView zoomScale="75" zoomScaleNormal="75" workbookViewId="0" topLeftCell="A1">
      <selection activeCell="G42" sqref="G42:I44"/>
    </sheetView>
  </sheetViews>
  <sheetFormatPr defaultColWidth="12" defaultRowHeight="12.75"/>
  <cols>
    <col min="1" max="2" width="12" style="1" customWidth="1"/>
    <col min="3" max="3" width="20.16015625" style="1" customWidth="1"/>
    <col min="4" max="6" width="12" style="1" customWidth="1"/>
    <col min="7" max="7" width="10.83203125" style="30" customWidth="1"/>
    <col min="8" max="8" width="12.16015625" style="30" customWidth="1"/>
    <col min="9" max="9" width="10.83203125" style="30" customWidth="1"/>
    <col min="10" max="16384" width="12" style="1" customWidth="1"/>
  </cols>
  <sheetData>
    <row r="1" spans="1:9" s="5" customFormat="1" ht="12.75">
      <c r="A1" s="1" t="s">
        <v>555</v>
      </c>
      <c r="C1" s="25" t="s">
        <v>116</v>
      </c>
      <c r="D1" s="25" t="s">
        <v>2</v>
      </c>
      <c r="E1" s="5" t="s">
        <v>431</v>
      </c>
      <c r="F1" s="5" t="s">
        <v>145</v>
      </c>
      <c r="G1" s="41" t="str">
        <f>Axe&amp;Local</f>
        <v>XGut</v>
      </c>
      <c r="H1" s="42" t="str">
        <f>Axe&amp;Local</f>
        <v>YGut</v>
      </c>
      <c r="I1" s="43" t="str">
        <f>Axe&amp;Local</f>
        <v>ZGut</v>
      </c>
    </row>
    <row r="2" spans="3:9" ht="13.5" thickBot="1">
      <c r="C2" s="19">
        <f aca="true" ca="1" t="shared" si="0" ref="C2:E21">IF(INDIRECT("SurfaceList!"&amp;ThisCol)="","",INDIRECT("SurfaceList!"&amp;ThisCol))</f>
      </c>
      <c r="D2" s="19" t="str">
        <f ca="1" t="shared" si="0"/>
        <v>Dummy</v>
      </c>
      <c r="E2" s="19" t="str">
        <f ca="1" t="shared" si="0"/>
        <v>Phot</v>
      </c>
      <c r="F2" s="19" t="str">
        <f aca="true" ca="1" t="shared" si="1" ref="F2:F49">IF(INDIRECT("SurfaceList!"&amp;ThisCol)="","",INDIRECT("SurfaceList!"&amp;ThisCol))</f>
        <v>Ignore</v>
      </c>
      <c r="G2" s="44">
        <f aca="true" ca="1" t="shared" si="2" ref="G2:I21">IF(Flag="Ignore","",INDIRECT("RayImpacts!"&amp;Axe&amp;System&amp;Local))</f>
      </c>
      <c r="H2" s="45">
        <f ca="1" t="shared" si="2"/>
      </c>
      <c r="I2" s="46">
        <f ca="1" t="shared" si="2"/>
      </c>
    </row>
    <row r="3" spans="3:9" ht="12.75">
      <c r="C3" s="10" t="str">
        <f ca="1" t="shared" si="0"/>
        <v>Telescope</v>
      </c>
      <c r="D3" s="11" t="str">
        <f ca="1" t="shared" si="0"/>
        <v>M1</v>
      </c>
      <c r="E3" s="11" t="str">
        <f ca="1" t="shared" si="0"/>
        <v>Phot</v>
      </c>
      <c r="F3" s="11" t="str">
        <f ca="1" t="shared" si="1"/>
        <v>Mirror</v>
      </c>
      <c r="G3" s="47">
        <f ca="1" t="shared" si="2"/>
        <v>1252.428903</v>
      </c>
      <c r="H3" s="48">
        <f ca="1" t="shared" si="2"/>
        <v>0</v>
      </c>
      <c r="I3" s="49">
        <f ca="1" t="shared" si="2"/>
        <v>54.793441</v>
      </c>
    </row>
    <row r="4" spans="3:9" ht="13.5" thickBot="1">
      <c r="C4" s="14">
        <f ca="1" t="shared" si="0"/>
      </c>
      <c r="D4" s="15" t="str">
        <f ca="1" t="shared" si="0"/>
        <v>M2</v>
      </c>
      <c r="E4" s="15" t="str">
        <f ca="1" t="shared" si="0"/>
        <v>Phot</v>
      </c>
      <c r="F4" s="15" t="str">
        <f ca="1" t="shared" si="1"/>
        <v>Mirror</v>
      </c>
      <c r="G4" s="50">
        <f ca="1" t="shared" si="2"/>
        <v>2839.998</v>
      </c>
      <c r="H4" s="51">
        <f ca="1" t="shared" si="2"/>
        <v>0</v>
      </c>
      <c r="I4" s="52">
        <f ca="1" t="shared" si="2"/>
        <v>7.11E-15</v>
      </c>
    </row>
    <row r="5" spans="3:9" ht="12.75">
      <c r="C5" s="10" t="str">
        <f ca="1" t="shared" si="0"/>
        <v>Common optics</v>
      </c>
      <c r="D5" s="11" t="str">
        <f ca="1" t="shared" si="0"/>
        <v>CFP</v>
      </c>
      <c r="E5" s="11" t="str">
        <f ca="1" t="shared" si="0"/>
        <v>Phot</v>
      </c>
      <c r="F5" s="11" t="str">
        <f ca="1" t="shared" si="1"/>
        <v>Ignore</v>
      </c>
      <c r="G5" s="47">
        <f ca="1" t="shared" si="2"/>
      </c>
      <c r="H5" s="48">
        <f ca="1" t="shared" si="2"/>
      </c>
      <c r="I5" s="49">
        <f ca="1" t="shared" si="2"/>
      </c>
    </row>
    <row r="6" spans="3:9" ht="12.75">
      <c r="C6" s="18">
        <f ca="1" t="shared" si="0"/>
      </c>
      <c r="D6" s="19" t="str">
        <f ca="1" t="shared" si="0"/>
        <v>CM3</v>
      </c>
      <c r="E6" s="19" t="str">
        <f ca="1" t="shared" si="0"/>
        <v>Phot</v>
      </c>
      <c r="F6" s="19" t="str">
        <f ca="1" t="shared" si="1"/>
        <v>Mirror</v>
      </c>
      <c r="G6" s="44">
        <f ca="1" t="shared" si="2"/>
        <v>131.14166</v>
      </c>
      <c r="H6" s="45">
        <f ca="1" t="shared" si="2"/>
        <v>0</v>
      </c>
      <c r="I6" s="46">
        <f ca="1" t="shared" si="2"/>
        <v>-93.493606</v>
      </c>
    </row>
    <row r="7" spans="3:9" ht="12.75">
      <c r="C7" s="18">
        <f ca="1" t="shared" si="0"/>
      </c>
      <c r="D7" s="19" t="str">
        <f ca="1" t="shared" si="0"/>
        <v>CM4</v>
      </c>
      <c r="E7" s="19" t="str">
        <f ca="1" t="shared" si="0"/>
        <v>Phot</v>
      </c>
      <c r="F7" s="19" t="str">
        <f ca="1" t="shared" si="1"/>
        <v>Mirror</v>
      </c>
      <c r="G7" s="44">
        <f ca="1" t="shared" si="2"/>
        <v>316.125099</v>
      </c>
      <c r="H7" s="45">
        <f ca="1" t="shared" si="2"/>
        <v>0</v>
      </c>
      <c r="I7" s="46">
        <f ca="1" t="shared" si="2"/>
        <v>-200.09386</v>
      </c>
    </row>
    <row r="8" spans="3:9" ht="13.5" thickBot="1">
      <c r="C8" s="14">
        <f ca="1" t="shared" si="0"/>
      </c>
      <c r="D8" s="15" t="str">
        <f ca="1" t="shared" si="0"/>
        <v>CM5</v>
      </c>
      <c r="E8" s="15" t="str">
        <f ca="1" t="shared" si="0"/>
        <v>Phot</v>
      </c>
      <c r="F8" s="15" t="str">
        <f ca="1" t="shared" si="1"/>
        <v>Mirror</v>
      </c>
      <c r="G8" s="50">
        <f ca="1" t="shared" si="2"/>
        <v>119.782557</v>
      </c>
      <c r="H8" s="51">
        <f ca="1" t="shared" si="2"/>
        <v>0</v>
      </c>
      <c r="I8" s="52">
        <f ca="1" t="shared" si="2"/>
        <v>-179.688568</v>
      </c>
    </row>
    <row r="9" spans="3:9" ht="12.75">
      <c r="C9" s="10" t="str">
        <f ca="1" t="shared" si="0"/>
        <v>Photometer optics</v>
      </c>
      <c r="D9" s="11" t="str">
        <f ca="1" t="shared" si="0"/>
        <v>PM6</v>
      </c>
      <c r="E9" s="11" t="str">
        <f ca="1" t="shared" si="0"/>
        <v>Phot</v>
      </c>
      <c r="F9" s="11" t="str">
        <f ca="1" t="shared" si="1"/>
        <v>Mirror</v>
      </c>
      <c r="G9" s="47">
        <f ca="1" t="shared" si="2"/>
        <v>296.15067</v>
      </c>
      <c r="H9" s="48">
        <f ca="1" t="shared" si="2"/>
        <v>0</v>
      </c>
      <c r="I9" s="49">
        <f ca="1" t="shared" si="2"/>
        <v>-259.533208</v>
      </c>
    </row>
    <row r="10" spans="3:9" ht="12.75">
      <c r="C10" s="18">
        <f ca="1" t="shared" si="0"/>
      </c>
      <c r="D10" s="19" t="str">
        <f ca="1" t="shared" si="0"/>
        <v>PM7</v>
      </c>
      <c r="E10" s="19" t="str">
        <f ca="1" t="shared" si="0"/>
        <v>Phot</v>
      </c>
      <c r="F10" s="19" t="str">
        <f ca="1" t="shared" si="1"/>
        <v>Mirror</v>
      </c>
      <c r="G10" s="44">
        <f ca="1" t="shared" si="2"/>
        <v>94.234236</v>
      </c>
      <c r="H10" s="45">
        <f ca="1" t="shared" si="2"/>
        <v>0</v>
      </c>
      <c r="I10" s="46">
        <f ca="1" t="shared" si="2"/>
        <v>-279.481485</v>
      </c>
    </row>
    <row r="11" spans="3:9" ht="12.75">
      <c r="C11" s="18">
        <f ca="1" t="shared" si="0"/>
      </c>
      <c r="D11" s="19" t="str">
        <f ca="1" t="shared" si="0"/>
        <v>PM8</v>
      </c>
      <c r="E11" s="19" t="str">
        <f ca="1" t="shared" si="0"/>
        <v>Phot</v>
      </c>
      <c r="F11" s="19" t="str">
        <f ca="1" t="shared" si="1"/>
        <v>Mirror</v>
      </c>
      <c r="G11" s="44">
        <f ca="1" t="shared" si="2"/>
        <v>240.46633</v>
      </c>
      <c r="H11" s="45">
        <f ca="1" t="shared" si="2"/>
        <v>0</v>
      </c>
      <c r="I11" s="46">
        <f ca="1" t="shared" si="2"/>
        <v>-397.634151</v>
      </c>
    </row>
    <row r="12" spans="3:9" ht="12.75">
      <c r="C12" s="18">
        <f ca="1" t="shared" si="0"/>
      </c>
      <c r="D12" s="19" t="str">
        <f ca="1" t="shared" si="0"/>
        <v>PCS</v>
      </c>
      <c r="E12" s="19" t="str">
        <f ca="1" t="shared" si="0"/>
        <v>Phot</v>
      </c>
      <c r="F12" s="19" t="str">
        <f ca="1" t="shared" si="1"/>
        <v>Hole</v>
      </c>
      <c r="G12" s="44">
        <f ca="1" t="shared" si="2"/>
        <v>192.86738</v>
      </c>
      <c r="H12" s="45">
        <f ca="1" t="shared" si="2"/>
        <v>0</v>
      </c>
      <c r="I12" s="46">
        <f ca="1" t="shared" si="2"/>
        <v>-448.961193</v>
      </c>
    </row>
    <row r="13" spans="3:9" ht="13.5" thickBot="1">
      <c r="C13" s="14">
        <f ca="1" t="shared" si="0"/>
      </c>
      <c r="D13" s="15" t="str">
        <f ca="1" t="shared" si="0"/>
        <v>PM9</v>
      </c>
      <c r="E13" s="15" t="str">
        <f ca="1" t="shared" si="0"/>
        <v>Phot</v>
      </c>
      <c r="F13" s="15" t="str">
        <f ca="1" t="shared" si="1"/>
        <v>Mirror</v>
      </c>
      <c r="G13" s="50">
        <f ca="1" t="shared" si="2"/>
        <v>104.471035</v>
      </c>
      <c r="H13" s="51">
        <f ca="1" t="shared" si="2"/>
        <v>0</v>
      </c>
      <c r="I13" s="52">
        <f ca="1" t="shared" si="2"/>
        <v>-544.281002</v>
      </c>
    </row>
    <row r="14" spans="3:9" ht="12.75">
      <c r="C14" s="10" t="str">
        <f ca="1" t="shared" si="0"/>
        <v>Short wave</v>
      </c>
      <c r="D14" s="11" t="str">
        <f ca="1" t="shared" si="0"/>
        <v>PDIC1</v>
      </c>
      <c r="E14" s="11" t="str">
        <f ca="1" t="shared" si="0"/>
        <v>Phot</v>
      </c>
      <c r="F14" s="11" t="str">
        <f ca="1" t="shared" si="1"/>
        <v>Hole</v>
      </c>
      <c r="G14" s="47">
        <f ca="1" t="shared" si="2"/>
        <v>238.419239</v>
      </c>
      <c r="H14" s="48">
        <f ca="1" t="shared" si="2"/>
        <v>0</v>
      </c>
      <c r="I14" s="49">
        <f ca="1" t="shared" si="2"/>
        <v>-527.45872</v>
      </c>
    </row>
    <row r="15" spans="1:9" ht="12.75">
      <c r="A15" s="23"/>
      <c r="C15" s="18">
        <f ca="1" t="shared" si="0"/>
      </c>
      <c r="D15" s="19" t="str">
        <f ca="1" t="shared" si="0"/>
        <v>PM10</v>
      </c>
      <c r="E15" s="19" t="str">
        <f ca="1" t="shared" si="0"/>
        <v>Phot</v>
      </c>
      <c r="F15" s="19" t="str">
        <f ca="1" t="shared" si="1"/>
        <v>Mirror</v>
      </c>
      <c r="G15" s="44">
        <f ca="1" t="shared" si="2"/>
        <v>139.942078</v>
      </c>
      <c r="H15" s="45">
        <f ca="1" t="shared" si="2"/>
        <v>1.82E-14</v>
      </c>
      <c r="I15" s="46">
        <f ca="1" t="shared" si="2"/>
        <v>-619.802462</v>
      </c>
    </row>
    <row r="16" spans="3:9" ht="13.5" thickBot="1">
      <c r="C16" s="14">
        <f ca="1" t="shared" si="0"/>
      </c>
      <c r="D16" s="15" t="str">
        <f ca="1" t="shared" si="0"/>
        <v>PSW</v>
      </c>
      <c r="E16" s="15" t="str">
        <f ca="1" t="shared" si="0"/>
        <v>Phot</v>
      </c>
      <c r="F16" s="15" t="str">
        <f ca="1" t="shared" si="1"/>
        <v>Det</v>
      </c>
      <c r="G16" s="50">
        <f ca="1" t="shared" si="2"/>
        <v>139.942327</v>
      </c>
      <c r="H16" s="51">
        <f ca="1" t="shared" si="2"/>
        <v>-50</v>
      </c>
      <c r="I16" s="52">
        <f ca="1" t="shared" si="2"/>
        <v>-619.802728</v>
      </c>
    </row>
    <row r="17" spans="3:9" ht="13.5" thickBot="1">
      <c r="C17" s="19">
        <f ca="1" t="shared" si="0"/>
      </c>
      <c r="D17" s="19" t="str">
        <f ca="1" t="shared" si="0"/>
        <v>PDIC1</v>
      </c>
      <c r="E17" s="1" t="str">
        <f ca="1" t="shared" si="0"/>
        <v>Phot</v>
      </c>
      <c r="F17" s="1" t="str">
        <f ca="1" t="shared" si="1"/>
        <v>Ignore</v>
      </c>
      <c r="G17" s="44">
        <f ca="1" t="shared" si="2"/>
      </c>
      <c r="H17" s="45">
        <f ca="1" t="shared" si="2"/>
      </c>
      <c r="I17" s="46">
        <f ca="1" t="shared" si="2"/>
      </c>
    </row>
    <row r="18" spans="3:9" ht="12.75">
      <c r="C18" s="10" t="str">
        <f ca="1" t="shared" si="0"/>
        <v>Medium wave</v>
      </c>
      <c r="D18" s="11" t="str">
        <f ca="1" t="shared" si="0"/>
        <v>PDIC2</v>
      </c>
      <c r="E18" s="11" t="str">
        <f ca="1" t="shared" si="0"/>
        <v>Phot</v>
      </c>
      <c r="F18" s="11" t="str">
        <f ca="1" t="shared" si="1"/>
        <v>Hole</v>
      </c>
      <c r="G18" s="47">
        <f ca="1" t="shared" si="2"/>
        <v>337.640264</v>
      </c>
      <c r="H18" s="48">
        <f ca="1" t="shared" si="2"/>
        <v>-4.41E-16</v>
      </c>
      <c r="I18" s="49">
        <f ca="1" t="shared" si="2"/>
        <v>-514.997754</v>
      </c>
    </row>
    <row r="19" spans="1:9" ht="13.5" thickBot="1">
      <c r="A19" s="23"/>
      <c r="C19" s="14">
        <f ca="1" t="shared" si="0"/>
      </c>
      <c r="D19" s="15" t="str">
        <f ca="1" t="shared" si="0"/>
        <v>PMW</v>
      </c>
      <c r="E19" s="15" t="str">
        <f ca="1" t="shared" si="0"/>
        <v>Phot</v>
      </c>
      <c r="F19" s="15" t="str">
        <f ca="1" t="shared" si="1"/>
        <v>Det</v>
      </c>
      <c r="G19" s="50">
        <f ca="1" t="shared" si="2"/>
        <v>283.429289</v>
      </c>
      <c r="H19" s="51">
        <f ca="1" t="shared" si="2"/>
        <v>-65.113778</v>
      </c>
      <c r="I19" s="52">
        <f ca="1" t="shared" si="2"/>
        <v>-521.807023</v>
      </c>
    </row>
    <row r="20" spans="1:9" ht="13.5" thickBot="1">
      <c r="A20" s="22"/>
      <c r="B20" s="22"/>
      <c r="C20" s="19">
        <f ca="1" t="shared" si="0"/>
      </c>
      <c r="D20" s="19" t="str">
        <f ca="1" t="shared" si="0"/>
        <v>PDIC2</v>
      </c>
      <c r="E20" s="1" t="str">
        <f ca="1" t="shared" si="0"/>
        <v>Phot</v>
      </c>
      <c r="F20" s="1" t="str">
        <f ca="1" t="shared" si="1"/>
        <v>Ignore</v>
      </c>
      <c r="G20" s="44">
        <f ca="1" t="shared" si="2"/>
      </c>
      <c r="H20" s="45">
        <f ca="1" t="shared" si="2"/>
      </c>
      <c r="I20" s="46">
        <f ca="1" t="shared" si="2"/>
      </c>
    </row>
    <row r="21" spans="1:9" ht="12.75">
      <c r="A21" s="22"/>
      <c r="B21" s="22"/>
      <c r="C21" s="10" t="str">
        <f ca="1" t="shared" si="0"/>
        <v>Long wave</v>
      </c>
      <c r="D21" s="11" t="str">
        <f ca="1" t="shared" si="0"/>
        <v>PM11</v>
      </c>
      <c r="E21" s="11" t="str">
        <f ca="1" t="shared" si="0"/>
        <v>Phot</v>
      </c>
      <c r="F21" s="11" t="str">
        <f ca="1" t="shared" si="1"/>
        <v>Mirror</v>
      </c>
      <c r="G21" s="47">
        <f ca="1" t="shared" si="2"/>
        <v>381.297659</v>
      </c>
      <c r="H21" s="48">
        <f ca="1" t="shared" si="2"/>
        <v>-4.78E-15</v>
      </c>
      <c r="I21" s="49">
        <f ca="1" t="shared" si="2"/>
        <v>-509.514911</v>
      </c>
    </row>
    <row r="22" spans="1:9" ht="13.5" thickBot="1">
      <c r="A22" s="22"/>
      <c r="B22" s="22"/>
      <c r="C22" s="14">
        <f aca="true" ca="1" t="shared" si="3" ref="C22:E41">IF(INDIRECT("SurfaceList!"&amp;ThisCol)="","",INDIRECT("SurfaceList!"&amp;ThisCol))</f>
      </c>
      <c r="D22" s="15" t="str">
        <f ca="1" t="shared" si="3"/>
        <v>PLW</v>
      </c>
      <c r="E22" s="15" t="str">
        <f ca="1" t="shared" si="3"/>
        <v>Phot</v>
      </c>
      <c r="F22" s="15" t="str">
        <f ca="1" t="shared" si="1"/>
        <v>Det</v>
      </c>
      <c r="G22" s="50">
        <f aca="true" ca="1" t="shared" si="4" ref="G22:I41">IF(Flag="Ignore","",INDIRECT("RayImpacts!"&amp;Axe&amp;System&amp;Local))</f>
        <v>381.298363</v>
      </c>
      <c r="H22" s="51">
        <f ca="1" t="shared" si="4"/>
        <v>9.28E-15</v>
      </c>
      <c r="I22" s="52">
        <f ca="1" t="shared" si="4"/>
        <v>-468.515249</v>
      </c>
    </row>
    <row r="23" spans="3:9" ht="13.5" thickBot="1">
      <c r="C23" s="19">
        <f ca="1" t="shared" si="3"/>
      </c>
      <c r="D23" s="19" t="str">
        <f ca="1" t="shared" si="3"/>
        <v>CM5</v>
      </c>
      <c r="E23" s="19" t="str">
        <f ca="1" t="shared" si="3"/>
        <v>Spec</v>
      </c>
      <c r="F23" s="15" t="str">
        <f ca="1" t="shared" si="1"/>
        <v>Ignore</v>
      </c>
      <c r="G23" s="50">
        <f ca="1" t="shared" si="4"/>
      </c>
      <c r="H23" s="51">
        <f ca="1" t="shared" si="4"/>
      </c>
      <c r="I23" s="52">
        <f ca="1" t="shared" si="4"/>
      </c>
    </row>
    <row r="24" spans="3:9" ht="12.75">
      <c r="C24" s="10" t="str">
        <f ca="1" t="shared" si="3"/>
        <v>Spectrometer optics</v>
      </c>
      <c r="D24" s="11" t="str">
        <f ca="1" t="shared" si="3"/>
        <v>SM6</v>
      </c>
      <c r="E24" s="11" t="str">
        <f ca="1" t="shared" si="3"/>
        <v>Spec</v>
      </c>
      <c r="F24" s="11" t="str">
        <f ca="1" t="shared" si="1"/>
        <v>Mirror</v>
      </c>
      <c r="G24" s="47">
        <f ca="1" t="shared" si="4"/>
        <v>306.147355</v>
      </c>
      <c r="H24" s="48">
        <f ca="1" t="shared" si="4"/>
        <v>33.819095</v>
      </c>
      <c r="I24" s="49">
        <f ca="1" t="shared" si="4"/>
        <v>-263.977827</v>
      </c>
    </row>
    <row r="25" spans="3:9" ht="12.75">
      <c r="C25" s="18">
        <f ca="1" t="shared" si="3"/>
      </c>
      <c r="D25" s="19" t="str">
        <f ca="1" t="shared" si="3"/>
        <v>SCS</v>
      </c>
      <c r="E25" s="19" t="str">
        <f ca="1" t="shared" si="3"/>
        <v>Spec</v>
      </c>
      <c r="F25" s="19" t="str">
        <f ca="1" t="shared" si="1"/>
        <v>Hole</v>
      </c>
      <c r="G25" s="44">
        <f ca="1" t="shared" si="4"/>
        <v>314.984032</v>
      </c>
      <c r="H25" s="45">
        <f ca="1" t="shared" si="4"/>
        <v>141.695796</v>
      </c>
      <c r="I25" s="46">
        <f ca="1" t="shared" si="4"/>
        <v>-233.044025</v>
      </c>
    </row>
    <row r="26" spans="3:9" ht="12.75">
      <c r="C26" s="18">
        <f ca="1" t="shared" si="3"/>
      </c>
      <c r="D26" s="19" t="str">
        <f ca="1" t="shared" si="3"/>
        <v>SM7</v>
      </c>
      <c r="E26" s="19" t="str">
        <f ca="1" t="shared" si="3"/>
        <v>Spec</v>
      </c>
      <c r="F26" s="19" t="str">
        <f ca="1" t="shared" si="1"/>
        <v>Mirror</v>
      </c>
      <c r="G26" s="44">
        <f ca="1" t="shared" si="4"/>
        <v>317.372966</v>
      </c>
      <c r="H26" s="45">
        <f ca="1" t="shared" si="4"/>
        <v>170.85951</v>
      </c>
      <c r="I26" s="46">
        <f ca="1" t="shared" si="4"/>
        <v>-224.681288</v>
      </c>
    </row>
    <row r="27" spans="3:9" s="19" customFormat="1" ht="13.5" thickBot="1">
      <c r="C27" s="14">
        <f ca="1" t="shared" si="3"/>
      </c>
      <c r="D27" s="15" t="str">
        <f ca="1" t="shared" si="3"/>
        <v>SM8A</v>
      </c>
      <c r="E27" s="15" t="str">
        <f ca="1" t="shared" si="3"/>
        <v>Spec</v>
      </c>
      <c r="F27" s="15" t="str">
        <f ca="1" t="shared" si="1"/>
        <v>Mirror</v>
      </c>
      <c r="G27" s="50">
        <f ca="1" t="shared" si="4"/>
        <v>373.504392</v>
      </c>
      <c r="H27" s="51">
        <f ca="1" t="shared" si="4"/>
        <v>170.860517</v>
      </c>
      <c r="I27" s="52">
        <f ca="1" t="shared" si="4"/>
        <v>-234.578711</v>
      </c>
    </row>
    <row r="28" spans="3:9" s="19" customFormat="1" ht="12.75">
      <c r="C28" s="10" t="str">
        <f ca="1" t="shared" si="3"/>
        <v>Upper arm</v>
      </c>
      <c r="D28" s="11" t="str">
        <f ca="1" t="shared" si="3"/>
        <v>SBS1</v>
      </c>
      <c r="E28" s="11" t="str">
        <f ca="1" t="shared" si="3"/>
        <v>Spec</v>
      </c>
      <c r="F28" s="11" t="str">
        <f ca="1" t="shared" si="1"/>
        <v>Hole</v>
      </c>
      <c r="G28" s="47">
        <f ca="1" t="shared" si="4"/>
        <v>223.12771</v>
      </c>
      <c r="H28" s="48">
        <f ca="1" t="shared" si="4"/>
        <v>170.857397</v>
      </c>
      <c r="I28" s="49">
        <f ca="1" t="shared" si="4"/>
        <v>-321.3983</v>
      </c>
    </row>
    <row r="29" spans="3:9" s="19" customFormat="1" ht="12.75">
      <c r="C29" s="18">
        <f ca="1" t="shared" si="3"/>
      </c>
      <c r="D29" s="19" t="str">
        <f ca="1" t="shared" si="3"/>
        <v>SM9A</v>
      </c>
      <c r="E29" s="19" t="str">
        <f ca="1" t="shared" si="3"/>
        <v>Spec</v>
      </c>
      <c r="F29" s="19" t="str">
        <f ca="1" t="shared" si="1"/>
        <v>Mirror</v>
      </c>
      <c r="G29" s="44">
        <f ca="1" t="shared" si="4"/>
        <v>373.123463</v>
      </c>
      <c r="H29" s="45">
        <f ca="1" t="shared" si="4"/>
        <v>170.854284</v>
      </c>
      <c r="I29" s="46">
        <f ca="1" t="shared" si="4"/>
        <v>-407.99796</v>
      </c>
    </row>
    <row r="30" spans="3:9" s="19" customFormat="1" ht="12.75">
      <c r="C30" s="18">
        <f ca="1" t="shared" si="3"/>
      </c>
      <c r="D30" s="19" t="str">
        <f ca="1" t="shared" si="3"/>
        <v>SRTA1</v>
      </c>
      <c r="E30" s="19" t="str">
        <f ca="1" t="shared" si="3"/>
        <v>Spec</v>
      </c>
      <c r="F30" s="19" t="str">
        <f ca="1" t="shared" si="1"/>
        <v>Mirror</v>
      </c>
      <c r="G30" s="44">
        <f ca="1" t="shared" si="4"/>
        <v>248.123579</v>
      </c>
      <c r="H30" s="45">
        <f ca="1" t="shared" si="4"/>
        <v>170.854265</v>
      </c>
      <c r="I30" s="46">
        <f ca="1" t="shared" si="4"/>
        <v>-407.998264</v>
      </c>
    </row>
    <row r="31" spans="3:9" s="19" customFormat="1" ht="12.75">
      <c r="C31" s="18">
        <f ca="1" t="shared" si="3"/>
      </c>
      <c r="D31" s="19" t="str">
        <f ca="1" t="shared" si="3"/>
        <v>SRTA2</v>
      </c>
      <c r="E31" s="19" t="str">
        <f ca="1" t="shared" si="3"/>
        <v>Spec</v>
      </c>
      <c r="F31" s="19" t="str">
        <f ca="1" t="shared" si="1"/>
        <v>Mirror</v>
      </c>
      <c r="G31" s="44">
        <f ca="1" t="shared" si="4"/>
        <v>248.123457</v>
      </c>
      <c r="H31" s="45">
        <f ca="1" t="shared" si="4"/>
        <v>170.854258</v>
      </c>
      <c r="I31" s="46">
        <f ca="1" t="shared" si="4"/>
        <v>-457.998681</v>
      </c>
    </row>
    <row r="32" spans="3:9" s="19" customFormat="1" ht="12.75">
      <c r="C32" s="18">
        <f ca="1" t="shared" si="3"/>
      </c>
      <c r="D32" s="19" t="str">
        <f ca="1" t="shared" si="3"/>
        <v>SM10A</v>
      </c>
      <c r="E32" s="19" t="str">
        <f ca="1" t="shared" si="3"/>
        <v>Spec</v>
      </c>
      <c r="F32" s="19" t="str">
        <f ca="1" t="shared" si="1"/>
        <v>Mirror</v>
      </c>
      <c r="G32" s="44">
        <f ca="1" t="shared" si="4"/>
        <v>373.123268</v>
      </c>
      <c r="H32" s="45">
        <f ca="1" t="shared" si="4"/>
        <v>170.854239</v>
      </c>
      <c r="I32" s="46">
        <f ca="1" t="shared" si="4"/>
        <v>-457.998377</v>
      </c>
    </row>
    <row r="33" spans="3:9" s="19" customFormat="1" ht="12.75">
      <c r="C33" s="18">
        <f ca="1" t="shared" si="3"/>
      </c>
      <c r="D33" s="19" t="str">
        <f ca="1" t="shared" si="3"/>
        <v>SBS2</v>
      </c>
      <c r="E33" s="19" t="str">
        <f ca="1" t="shared" si="3"/>
        <v>Spec</v>
      </c>
      <c r="F33" s="19" t="str">
        <f ca="1" t="shared" si="1"/>
        <v>Hole</v>
      </c>
      <c r="G33" s="44">
        <f ca="1" t="shared" si="4"/>
        <v>223.12771</v>
      </c>
      <c r="H33" s="45">
        <f ca="1" t="shared" si="4"/>
        <v>170.857352</v>
      </c>
      <c r="I33" s="46">
        <f ca="1" t="shared" si="4"/>
        <v>-544.598115</v>
      </c>
    </row>
    <row r="34" spans="3:9" s="19" customFormat="1" ht="12.75">
      <c r="C34" s="18">
        <f ca="1" t="shared" si="3"/>
      </c>
      <c r="D34" s="19" t="str">
        <f ca="1" t="shared" si="3"/>
        <v>SM11A</v>
      </c>
      <c r="E34" s="19" t="str">
        <f ca="1" t="shared" si="3"/>
        <v>Spec</v>
      </c>
      <c r="F34" s="19" t="str">
        <f ca="1" t="shared" si="1"/>
        <v>Mirror</v>
      </c>
      <c r="G34" s="44">
        <f ca="1" t="shared" si="4"/>
        <v>354.74635</v>
      </c>
      <c r="H34" s="45">
        <f ca="1" t="shared" si="4"/>
        <v>170.860083</v>
      </c>
      <c r="I34" s="46">
        <f ca="1" t="shared" si="4"/>
        <v>-620.587965</v>
      </c>
    </row>
    <row r="35" spans="1:9" s="19" customFormat="1" ht="12.75">
      <c r="A35" s="29"/>
      <c r="C35" s="18">
        <f ca="1" t="shared" si="3"/>
      </c>
      <c r="D35" s="19" t="str">
        <f ca="1" t="shared" si="3"/>
        <v>SM12A</v>
      </c>
      <c r="E35" s="19" t="str">
        <f ca="1" t="shared" si="3"/>
        <v>Spec</v>
      </c>
      <c r="F35" s="19" t="str">
        <f ca="1" t="shared" si="1"/>
        <v>Mirror</v>
      </c>
      <c r="G35" s="44">
        <f ca="1" t="shared" si="4"/>
        <v>263.581021</v>
      </c>
      <c r="H35" s="45">
        <f ca="1" t="shared" si="4"/>
        <v>170.858259</v>
      </c>
      <c r="I35" s="46">
        <f ca="1" t="shared" si="4"/>
        <v>-636.663312</v>
      </c>
    </row>
    <row r="36" spans="3:9" s="19" customFormat="1" ht="12.75">
      <c r="C36" s="18">
        <f ca="1" t="shared" si="3"/>
      </c>
      <c r="D36" s="19" t="str">
        <f ca="1" t="shared" si="3"/>
        <v>SFLA</v>
      </c>
      <c r="E36" s="19" t="str">
        <f ca="1" t="shared" si="3"/>
        <v>Spec</v>
      </c>
      <c r="F36" s="19" t="str">
        <f ca="1" t="shared" si="1"/>
        <v>Hole</v>
      </c>
      <c r="G36" s="44">
        <f ca="1" t="shared" si="4"/>
        <v>263.582353</v>
      </c>
      <c r="H36" s="45">
        <f ca="1" t="shared" si="4"/>
        <v>236.756678</v>
      </c>
      <c r="I36" s="46">
        <f ca="1" t="shared" si="4"/>
        <v>-636.663389</v>
      </c>
    </row>
    <row r="37" spans="3:9" s="19" customFormat="1" ht="13.5" thickBot="1">
      <c r="C37" s="14">
        <f ca="1" t="shared" si="3"/>
      </c>
      <c r="D37" s="15" t="str">
        <f ca="1" t="shared" si="3"/>
        <v>SSW</v>
      </c>
      <c r="E37" s="15" t="str">
        <f ca="1" t="shared" si="3"/>
        <v>Spec</v>
      </c>
      <c r="F37" s="15" t="str">
        <f ca="1" t="shared" si="1"/>
        <v>Det</v>
      </c>
      <c r="G37" s="50">
        <f ca="1" t="shared" si="4"/>
        <v>263.582671</v>
      </c>
      <c r="H37" s="51">
        <f ca="1" t="shared" si="4"/>
        <v>250.856678</v>
      </c>
      <c r="I37" s="52">
        <f ca="1" t="shared" si="4"/>
        <v>-636.663366</v>
      </c>
    </row>
    <row r="38" spans="1:9" s="19" customFormat="1" ht="12.75">
      <c r="A38" s="28"/>
      <c r="B38" s="28"/>
      <c r="C38" s="10" t="str">
        <f ca="1" t="shared" si="3"/>
        <v>Lower arm</v>
      </c>
      <c r="D38" s="11" t="str">
        <f ca="1" t="shared" si="3"/>
        <v>SCAL</v>
      </c>
      <c r="E38" s="11" t="str">
        <f ca="1" t="shared" si="3"/>
        <v>Spec</v>
      </c>
      <c r="F38" s="11" t="str">
        <f ca="1" t="shared" si="1"/>
        <v>Hole</v>
      </c>
      <c r="G38" s="47">
        <f ca="1" t="shared" si="4"/>
        <v>158.852846</v>
      </c>
      <c r="H38" s="48">
        <f ca="1" t="shared" si="4"/>
        <v>170.858972</v>
      </c>
      <c r="I38" s="49">
        <f ca="1" t="shared" si="4"/>
        <v>-219.396733</v>
      </c>
    </row>
    <row r="39" spans="1:9" s="19" customFormat="1" ht="12.75">
      <c r="A39" s="28"/>
      <c r="B39" s="28"/>
      <c r="C39" s="18">
        <f ca="1" t="shared" si="3"/>
      </c>
      <c r="D39" s="19" t="str">
        <f ca="1" t="shared" si="3"/>
        <v>SM8B</v>
      </c>
      <c r="E39" s="19" t="str">
        <f ca="1" t="shared" si="3"/>
        <v>Spec</v>
      </c>
      <c r="F39" s="19" t="str">
        <f ca="1" t="shared" si="1"/>
        <v>Mirror</v>
      </c>
      <c r="G39" s="44">
        <f ca="1" t="shared" si="4"/>
        <v>72.751027</v>
      </c>
      <c r="H39" s="45">
        <f ca="1" t="shared" si="4"/>
        <v>170.860517</v>
      </c>
      <c r="I39" s="46">
        <f ca="1" t="shared" si="4"/>
        <v>-234.578711</v>
      </c>
    </row>
    <row r="40" spans="1:9" s="19" customFormat="1" ht="12.75">
      <c r="A40" s="28"/>
      <c r="B40" s="28"/>
      <c r="C40" s="18">
        <f ca="1" t="shared" si="3"/>
      </c>
      <c r="D40" s="19" t="str">
        <f ca="1" t="shared" si="3"/>
        <v>SBS1</v>
      </c>
      <c r="E40" s="19" t="str">
        <f ca="1" t="shared" si="3"/>
        <v>Spec</v>
      </c>
      <c r="F40" s="19" t="str">
        <f ca="1" t="shared" si="1"/>
        <v>Hole</v>
      </c>
      <c r="G40" s="44">
        <f ca="1" t="shared" si="4"/>
        <v>223.12771</v>
      </c>
      <c r="H40" s="45">
        <f ca="1" t="shared" si="4"/>
        <v>170.857397</v>
      </c>
      <c r="I40" s="46">
        <f ca="1" t="shared" si="4"/>
        <v>-321.3983</v>
      </c>
    </row>
    <row r="41" spans="1:9" s="19" customFormat="1" ht="12.75">
      <c r="A41" s="28"/>
      <c r="B41" s="28"/>
      <c r="C41" s="18">
        <f ca="1" t="shared" si="3"/>
      </c>
      <c r="D41" s="19" t="str">
        <f ca="1" t="shared" si="3"/>
        <v>SM9B</v>
      </c>
      <c r="E41" s="19" t="str">
        <f ca="1" t="shared" si="3"/>
        <v>Spec</v>
      </c>
      <c r="F41" s="19" t="str">
        <f ca="1" t="shared" si="1"/>
        <v>Mirror</v>
      </c>
      <c r="G41" s="44">
        <f ca="1" t="shared" si="4"/>
        <v>73.131956</v>
      </c>
      <c r="H41" s="45">
        <f ca="1" t="shared" si="4"/>
        <v>170.854284</v>
      </c>
      <c r="I41" s="46">
        <f ca="1" t="shared" si="4"/>
        <v>-407.99796</v>
      </c>
    </row>
    <row r="42" spans="1:9" s="19" customFormat="1" ht="12.75">
      <c r="A42" s="28"/>
      <c r="B42" s="28"/>
      <c r="C42" s="18">
        <f aca="true" ca="1" t="shared" si="5" ref="C42:E49">IF(INDIRECT("SurfaceList!"&amp;ThisCol)="","",INDIRECT("SurfaceList!"&amp;ThisCol))</f>
      </c>
      <c r="D42" s="19" t="str">
        <f ca="1" t="shared" si="5"/>
        <v>SRTB1</v>
      </c>
      <c r="E42" s="19" t="str">
        <f ca="1" t="shared" si="5"/>
        <v>Spec</v>
      </c>
      <c r="F42" s="19" t="str">
        <f ca="1" t="shared" si="1"/>
        <v>Mirror</v>
      </c>
      <c r="G42" s="44">
        <f aca="true" ca="1" t="shared" si="6" ref="G42:I49">IF(Flag="Ignore","",INDIRECT("RayImpacts!"&amp;Axe&amp;System&amp;Local))</f>
        <v>198.131841</v>
      </c>
      <c r="H42" s="45">
        <f ca="1" t="shared" si="6"/>
        <v>170.854265</v>
      </c>
      <c r="I42" s="46">
        <f ca="1" t="shared" si="6"/>
        <v>-407.998264</v>
      </c>
    </row>
    <row r="43" spans="1:9" s="19" customFormat="1" ht="12.75">
      <c r="A43" s="28"/>
      <c r="B43" s="28"/>
      <c r="C43" s="18">
        <f ca="1" t="shared" si="5"/>
      </c>
      <c r="D43" s="19" t="str">
        <f ca="1" t="shared" si="5"/>
        <v>SRTB2</v>
      </c>
      <c r="E43" s="19" t="str">
        <f ca="1" t="shared" si="5"/>
        <v>Spec</v>
      </c>
      <c r="F43" s="19" t="str">
        <f ca="1" t="shared" si="1"/>
        <v>Mirror</v>
      </c>
      <c r="G43" s="44">
        <f ca="1" t="shared" si="6"/>
        <v>198.131962</v>
      </c>
      <c r="H43" s="45">
        <f ca="1" t="shared" si="6"/>
        <v>170.854258</v>
      </c>
      <c r="I43" s="46">
        <f ca="1" t="shared" si="6"/>
        <v>-457.998681</v>
      </c>
    </row>
    <row r="44" spans="1:9" s="19" customFormat="1" ht="12.75">
      <c r="A44" s="28"/>
      <c r="B44" s="28"/>
      <c r="C44" s="18"/>
      <c r="D44" s="19" t="str">
        <f ca="1" t="shared" si="5"/>
        <v>SM10B</v>
      </c>
      <c r="E44" s="19" t="str">
        <f ca="1" t="shared" si="5"/>
        <v>Spec</v>
      </c>
      <c r="F44" s="19" t="str">
        <f ca="1" t="shared" si="1"/>
        <v>Mirror</v>
      </c>
      <c r="G44" s="44">
        <f ca="1" t="shared" si="6"/>
        <v>73.13215199999999</v>
      </c>
      <c r="H44" s="45">
        <f ca="1" t="shared" si="6"/>
        <v>170.854239</v>
      </c>
      <c r="I44" s="46">
        <f ca="1" t="shared" si="6"/>
        <v>-457.998377</v>
      </c>
    </row>
    <row r="45" spans="1:9" s="19" customFormat="1" ht="12.75">
      <c r="A45" s="28"/>
      <c r="B45" s="28"/>
      <c r="C45" s="18">
        <f ca="1" t="shared" si="5"/>
      </c>
      <c r="D45" s="19" t="str">
        <f ca="1" t="shared" si="5"/>
        <v>SBS2</v>
      </c>
      <c r="E45" s="19" t="str">
        <f ca="1" t="shared" si="5"/>
        <v>Spec</v>
      </c>
      <c r="F45" s="19" t="str">
        <f ca="1" t="shared" si="1"/>
        <v>Hole</v>
      </c>
      <c r="G45" s="44">
        <f ca="1" t="shared" si="6"/>
        <v>223.12771</v>
      </c>
      <c r="H45" s="45">
        <f ca="1" t="shared" si="6"/>
        <v>170.857352</v>
      </c>
      <c r="I45" s="46">
        <f ca="1" t="shared" si="6"/>
        <v>-544.598115</v>
      </c>
    </row>
    <row r="46" spans="1:9" s="19" customFormat="1" ht="12.75">
      <c r="A46" s="28"/>
      <c r="B46" s="28"/>
      <c r="C46" s="18">
        <f ca="1" t="shared" si="5"/>
      </c>
      <c r="D46" s="19" t="str">
        <f ca="1" t="shared" si="5"/>
        <v>SM11B</v>
      </c>
      <c r="E46" s="19" t="str">
        <f ca="1" t="shared" si="5"/>
        <v>Spec</v>
      </c>
      <c r="F46" s="19" t="str">
        <f ca="1" t="shared" si="1"/>
        <v>Mirror</v>
      </c>
      <c r="G46" s="44">
        <f ca="1" t="shared" si="6"/>
        <v>91.509069</v>
      </c>
      <c r="H46" s="45">
        <f ca="1" t="shared" si="6"/>
        <v>170.860083</v>
      </c>
      <c r="I46" s="46">
        <f ca="1" t="shared" si="6"/>
        <v>-620.587965</v>
      </c>
    </row>
    <row r="47" spans="1:9" s="19" customFormat="1" ht="12.75">
      <c r="A47" s="28"/>
      <c r="B47" s="28"/>
      <c r="C47" s="18">
        <f ca="1" t="shared" si="5"/>
      </c>
      <c r="D47" s="19" t="str">
        <f ca="1" t="shared" si="5"/>
        <v>SM12B</v>
      </c>
      <c r="E47" s="19" t="str">
        <f ca="1" t="shared" si="5"/>
        <v>Spec</v>
      </c>
      <c r="F47" s="19" t="str">
        <f ca="1" t="shared" si="1"/>
        <v>Mirror</v>
      </c>
      <c r="G47" s="44">
        <f ca="1" t="shared" si="6"/>
        <v>182.674398</v>
      </c>
      <c r="H47" s="45">
        <f ca="1" t="shared" si="6"/>
        <v>170.858259</v>
      </c>
      <c r="I47" s="46">
        <f ca="1" t="shared" si="6"/>
        <v>-636.663312</v>
      </c>
    </row>
    <row r="48" spans="1:9" s="19" customFormat="1" ht="12.75">
      <c r="A48" s="28"/>
      <c r="B48" s="28"/>
      <c r="C48" s="18">
        <f ca="1" t="shared" si="5"/>
      </c>
      <c r="D48" s="19" t="str">
        <f ca="1" t="shared" si="5"/>
        <v>SFLB</v>
      </c>
      <c r="E48" s="19" t="str">
        <f ca="1" t="shared" si="5"/>
        <v>Spec</v>
      </c>
      <c r="F48" s="19" t="str">
        <f ca="1" t="shared" si="1"/>
        <v>Hole</v>
      </c>
      <c r="G48" s="44">
        <f ca="1" t="shared" si="6"/>
        <v>182.67286000000001</v>
      </c>
      <c r="H48" s="45">
        <f ca="1" t="shared" si="6"/>
        <v>246.956678</v>
      </c>
      <c r="I48" s="46">
        <f ca="1" t="shared" si="6"/>
        <v>-636.663401</v>
      </c>
    </row>
    <row r="49" spans="1:9" s="19" customFormat="1" ht="13.5" thickBot="1">
      <c r="A49" s="28"/>
      <c r="B49" s="28"/>
      <c r="C49" s="14">
        <f ca="1" t="shared" si="5"/>
      </c>
      <c r="D49" s="15" t="str">
        <f ca="1" t="shared" si="5"/>
        <v>SLW</v>
      </c>
      <c r="E49" s="15" t="str">
        <f ca="1" t="shared" si="5"/>
        <v>Spec</v>
      </c>
      <c r="F49" s="15" t="str">
        <f ca="1" t="shared" si="1"/>
        <v>Det</v>
      </c>
      <c r="G49" s="50">
        <f ca="1" t="shared" si="6"/>
        <v>182.672787</v>
      </c>
      <c r="H49" s="51">
        <f ca="1" t="shared" si="6"/>
        <v>250.856678</v>
      </c>
      <c r="I49" s="52">
        <f ca="1" t="shared" si="6"/>
        <v>-636.663396</v>
      </c>
    </row>
    <row r="50" spans="1:9" ht="12.75">
      <c r="A50" s="114" t="s">
        <v>442</v>
      </c>
      <c r="C50" s="19"/>
      <c r="D50" s="19"/>
      <c r="E50" s="19"/>
      <c r="F50" s="19"/>
      <c r="G50" s="45" t="s">
        <v>14</v>
      </c>
      <c r="H50" s="45" t="s">
        <v>69</v>
      </c>
      <c r="I50" s="45" t="s">
        <v>70</v>
      </c>
    </row>
    <row r="51" spans="1:9" s="8" customFormat="1" ht="12.75">
      <c r="A51" s="114" t="s">
        <v>456</v>
      </c>
      <c r="C51" s="20"/>
      <c r="D51" s="20"/>
      <c r="E51" s="20"/>
      <c r="F51" s="20"/>
      <c r="G51" s="45" t="s">
        <v>136</v>
      </c>
      <c r="H51" s="45" t="s">
        <v>136</v>
      </c>
      <c r="I51" s="45" t="s">
        <v>136</v>
      </c>
    </row>
    <row r="52" spans="1:9" ht="12.75">
      <c r="A52" s="22"/>
      <c r="B52" s="22"/>
      <c r="D52" s="23" t="s">
        <v>124</v>
      </c>
      <c r="F52" s="29" t="s">
        <v>236</v>
      </c>
      <c r="G52" s="1"/>
      <c r="H52" s="45"/>
      <c r="I52" s="45"/>
    </row>
    <row r="53" spans="1:9" ht="12.75">
      <c r="A53" s="22"/>
      <c r="B53" s="22"/>
      <c r="D53" s="1" t="s">
        <v>14</v>
      </c>
      <c r="E53" s="1" t="str">
        <f>"-Zsyno"</f>
        <v>-Zsyno</v>
      </c>
      <c r="F53" s="19" t="s">
        <v>339</v>
      </c>
      <c r="G53" s="1" t="s">
        <v>117</v>
      </c>
      <c r="H53" s="45"/>
      <c r="I53" s="45"/>
    </row>
    <row r="54" spans="1:9" ht="12.75">
      <c r="A54" s="22"/>
      <c r="B54" s="22"/>
      <c r="D54" s="1" t="s">
        <v>69</v>
      </c>
      <c r="E54" s="1" t="s">
        <v>120</v>
      </c>
      <c r="F54" s="19" t="s">
        <v>340</v>
      </c>
      <c r="G54" s="1" t="s">
        <v>118</v>
      </c>
      <c r="H54" s="45"/>
      <c r="I54" s="45"/>
    </row>
    <row r="55" spans="1:9" ht="12.75">
      <c r="A55" s="22"/>
      <c r="B55" s="22"/>
      <c r="D55" s="1" t="s">
        <v>70</v>
      </c>
      <c r="E55" s="1" t="s">
        <v>121</v>
      </c>
      <c r="F55" s="19" t="s">
        <v>341</v>
      </c>
      <c r="G55" s="1" t="s">
        <v>119</v>
      </c>
      <c r="H55" s="45"/>
      <c r="I55" s="45"/>
    </row>
    <row r="56" spans="1:9" ht="12.75">
      <c r="A56" s="22"/>
      <c r="B56" s="22"/>
      <c r="C56" s="19"/>
      <c r="D56" s="19"/>
      <c r="F56" s="19"/>
      <c r="G56" s="45"/>
      <c r="H56" s="45"/>
      <c r="I56" s="45"/>
    </row>
    <row r="57" spans="1:9" ht="12.75">
      <c r="A57" s="22"/>
      <c r="B57" s="22"/>
      <c r="C57" s="19"/>
      <c r="D57" s="19"/>
      <c r="E57" s="19"/>
      <c r="F57" s="19"/>
      <c r="G57" s="45"/>
      <c r="H57" s="45"/>
      <c r="I57" s="45"/>
    </row>
    <row r="58" spans="1:9" ht="12.75">
      <c r="A58" s="22"/>
      <c r="B58" s="22"/>
      <c r="C58" s="19"/>
      <c r="D58" s="19"/>
      <c r="E58" s="19"/>
      <c r="F58" s="19"/>
      <c r="G58" s="45"/>
      <c r="H58" s="45"/>
      <c r="I58" s="45"/>
    </row>
    <row r="59" ht="12.75">
      <c r="E59" s="19"/>
    </row>
  </sheetData>
  <printOptions/>
  <pageMargins left="0.7874015748031497" right="0.7874015748031497" top="0.984251968503937" bottom="0.984251968503937" header="0.5118110236220472" footer="0.5118110236220472"/>
  <pageSetup fitToHeight="1" fitToWidth="1" horizontalDpi="600" verticalDpi="600" orientation="landscape" paperSize="9" scale="62" r:id="rId1"/>
  <headerFooter alignWithMargins="0">
    <oddHeader>&amp;L&amp;F, &amp;A&amp;R&amp;T, &amp;D</oddHead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E59"/>
  <sheetViews>
    <sheetView zoomScale="75" zoomScaleNormal="75" workbookViewId="0" topLeftCell="A24">
      <selection activeCell="G83" sqref="G83"/>
    </sheetView>
  </sheetViews>
  <sheetFormatPr defaultColWidth="12" defaultRowHeight="12.75"/>
  <cols>
    <col min="1" max="2" width="12" style="1" customWidth="1"/>
    <col min="3" max="3" width="20.16015625" style="1" customWidth="1"/>
    <col min="4" max="5" width="12" style="1" customWidth="1"/>
    <col min="6" max="7" width="12" style="8" customWidth="1"/>
    <col min="8" max="8" width="12" style="1" customWidth="1"/>
    <col min="9" max="9" width="17" style="86" customWidth="1"/>
    <col min="10" max="23" width="14.16015625" style="86" customWidth="1"/>
    <col min="24" max="24" width="11.33203125" style="8" customWidth="1"/>
    <col min="25" max="25" width="12" style="1" customWidth="1"/>
    <col min="26" max="31" width="9.33203125" style="20" customWidth="1"/>
    <col min="32" max="16384" width="12" style="1" customWidth="1"/>
  </cols>
  <sheetData>
    <row r="1" spans="1:31" s="5" customFormat="1" ht="12.75">
      <c r="A1" s="1" t="s">
        <v>555</v>
      </c>
      <c r="C1" s="25" t="s">
        <v>116</v>
      </c>
      <c r="D1" s="25" t="s">
        <v>2</v>
      </c>
      <c r="E1" s="5" t="s">
        <v>431</v>
      </c>
      <c r="F1" s="6" t="s">
        <v>473</v>
      </c>
      <c r="G1" s="6" t="s">
        <v>397</v>
      </c>
      <c r="H1" s="5" t="s">
        <v>145</v>
      </c>
      <c r="I1" s="79" t="s">
        <v>15</v>
      </c>
      <c r="J1" s="80" t="s">
        <v>16</v>
      </c>
      <c r="K1" s="81" t="s">
        <v>17</v>
      </c>
      <c r="L1" s="82" t="s">
        <v>11</v>
      </c>
      <c r="M1" s="82" t="s">
        <v>12</v>
      </c>
      <c r="N1" s="82" t="s">
        <v>13</v>
      </c>
      <c r="O1" s="79" t="s">
        <v>8</v>
      </c>
      <c r="P1" s="80" t="s">
        <v>9</v>
      </c>
      <c r="Q1" s="81" t="s">
        <v>10</v>
      </c>
      <c r="R1" s="82" t="s">
        <v>18</v>
      </c>
      <c r="S1" s="82" t="s">
        <v>19</v>
      </c>
      <c r="T1" s="82" t="s">
        <v>20</v>
      </c>
      <c r="U1" s="79" t="s">
        <v>21</v>
      </c>
      <c r="V1" s="80" t="s">
        <v>22</v>
      </c>
      <c r="W1" s="81" t="s">
        <v>23</v>
      </c>
      <c r="X1" s="6" t="s">
        <v>337</v>
      </c>
      <c r="Y1" s="106" t="s">
        <v>2</v>
      </c>
      <c r="Z1" s="26"/>
      <c r="AA1" s="26"/>
      <c r="AB1" s="26"/>
      <c r="AC1" s="26"/>
      <c r="AD1" s="26"/>
      <c r="AE1" s="26"/>
    </row>
    <row r="2" spans="3:25" ht="13.5" thickBot="1">
      <c r="C2" s="19">
        <f aca="true" ca="1" t="shared" si="0" ref="C2:E21">IF(INDIRECT("SurfaceList!"&amp;ThisCol)="","",INDIRECT("SurfaceList!"&amp;ThisCol))</f>
      </c>
      <c r="D2" s="19" t="str">
        <f ca="1" t="shared" si="0"/>
        <v>Dummy</v>
      </c>
      <c r="E2" s="19" t="str">
        <f ca="1" t="shared" si="0"/>
        <v>Phot</v>
      </c>
      <c r="H2" s="1" t="str">
        <f>IF(OR(CompName="CM3",CompName="CM5"),CompName&amp;"Cent",IF(SurfaceList!Flag="Mirror","Vertex",SurfaceList!Flag))</f>
        <v>Ignore</v>
      </c>
      <c r="I2" s="83">
        <f aca="true" ca="1" t="shared" si="1" ref="I2:K21">IF(Flag="Ignore","",IF(OR(Flag="Det",Flag="Hole"),INDIRECT("VertexCalc!"&amp;Axe&amp;"Vertex"),INDIRECT(Flag&amp;"Calc!"&amp;Axe&amp;Flag)))</f>
      </c>
      <c r="J2" s="84">
        <f ca="1" t="shared" si="1"/>
      </c>
      <c r="K2" s="85">
        <f ca="1" t="shared" si="1"/>
      </c>
      <c r="L2" s="86">
        <f aca="true" ca="1" t="shared" si="2" ref="L2:N21">IF(Flag="Ignore","",IF(OR(Flag="Det",Flag="Hole"),INDIRECT("VertexCalc!"&amp;Axe&amp;"Norm"),INDIRECT(Flag&amp;"Calc!"&amp;Axe&amp;"Norm")))</f>
      </c>
      <c r="M2" s="86">
        <f ca="1" t="shared" si="2"/>
      </c>
      <c r="N2" s="86">
        <f ca="1" t="shared" si="2"/>
      </c>
      <c r="O2" s="83">
        <f aca="true" ca="1" t="shared" si="3" ref="O2:Q21">IF(OR(Flag="Ignore",Flag="Det",Flag="Hole"),"",INDIRECT(Axe&amp;"mirr")+IF(ThMirr="Thick",Thick,Thin)*INDIRECT(Axe&amp;"norm"))</f>
      </c>
      <c r="P2" s="84">
        <f ca="1" t="shared" si="3"/>
      </c>
      <c r="Q2" s="85">
        <f ca="1" t="shared" si="3"/>
      </c>
      <c r="R2" s="86">
        <f aca="true" ca="1" t="shared" si="4" ref="R2:T21">IF(Flag="Ignore","",IF(OR(Flag="Det",Flag="Hole"),INDIRECT("VertexCalc!"&amp;Axe&amp;"sag"),INDIRECT(Flag&amp;"Calc!"&amp;Axe&amp;"sag")))</f>
      </c>
      <c r="S2" s="86">
        <f ca="1" t="shared" si="4"/>
      </c>
      <c r="T2" s="86">
        <f ca="1" t="shared" si="4"/>
      </c>
      <c r="U2" s="83">
        <f aca="true" ca="1" t="shared" si="5" ref="U2:W21">IF(OR(Flag="Ignore",Flag="Det",Flag="Hole"),"",INDIRECT(Axe&amp;"spig")+DowlSep*DowlDir*INDIRECT(Axe&amp;"sag"))</f>
      </c>
      <c r="V2" s="84">
        <f ca="1" t="shared" si="5"/>
      </c>
      <c r="W2" s="85">
        <f ca="1" t="shared" si="5"/>
      </c>
      <c r="X2" s="8">
        <f aca="true" t="shared" si="6" ref="X2:X49">IF(OR(Flag="Ignore"),"",ACOS(Xsag*Xnorm+Ysag*Ynorm+Zsag*Znorm)*180/PI())</f>
      </c>
      <c r="Y2" s="107" t="str">
        <f aca="true" ca="1" t="shared" si="7" ref="Y2:Y49">IF(INDIRECT("SurfaceList!"&amp;ThisCol)="","",INDIRECT("SurfaceList!"&amp;ThisCol))</f>
        <v>Dummy</v>
      </c>
    </row>
    <row r="3" spans="3:25" ht="12.75">
      <c r="C3" s="10" t="str">
        <f ca="1" t="shared" si="0"/>
        <v>Telescope</v>
      </c>
      <c r="D3" s="11" t="str">
        <f ca="1" t="shared" si="0"/>
        <v>M1</v>
      </c>
      <c r="E3" s="11" t="str">
        <f ca="1" t="shared" si="0"/>
        <v>Phot</v>
      </c>
      <c r="F3" s="12"/>
      <c r="G3" s="12"/>
      <c r="H3" s="11" t="str">
        <f>IF(OR(CompName="CM3",CompName="CM5"),CompName&amp;"Cent",IF(SurfaceList!Flag="Mirror","Vertex",SurfaceList!Flag))</f>
        <v>Vertex</v>
      </c>
      <c r="I3" s="87">
        <f ca="1" t="shared" si="1"/>
        <v>1252</v>
      </c>
      <c r="J3" s="88">
        <f ca="1" t="shared" si="1"/>
        <v>0</v>
      </c>
      <c r="K3" s="89">
        <f ca="1" t="shared" si="1"/>
        <v>0</v>
      </c>
      <c r="L3" s="88">
        <f ca="1" t="shared" si="2"/>
        <v>1</v>
      </c>
      <c r="M3" s="88">
        <f ca="1" t="shared" si="2"/>
        <v>0</v>
      </c>
      <c r="N3" s="88">
        <f ca="1" t="shared" si="2"/>
        <v>0</v>
      </c>
      <c r="O3" s="87">
        <f ca="1" t="shared" si="3"/>
        <v>1245.028929940746</v>
      </c>
      <c r="P3" s="88">
        <f ca="1" t="shared" si="3"/>
        <v>0</v>
      </c>
      <c r="Q3" s="89">
        <f ca="1" t="shared" si="3"/>
        <v>0</v>
      </c>
      <c r="R3" s="88">
        <f ca="1" t="shared" si="4"/>
        <v>0</v>
      </c>
      <c r="S3" s="88">
        <f ca="1" t="shared" si="4"/>
        <v>1</v>
      </c>
      <c r="T3" s="88">
        <f ca="1" t="shared" si="4"/>
        <v>0</v>
      </c>
      <c r="U3" s="87">
        <f ca="1" t="shared" si="5"/>
        <v>1245.028929940746</v>
      </c>
      <c r="V3" s="88">
        <f ca="1" t="shared" si="5"/>
        <v>0</v>
      </c>
      <c r="W3" s="89">
        <f ca="1" t="shared" si="5"/>
        <v>0</v>
      </c>
      <c r="X3" s="12">
        <f t="shared" si="6"/>
        <v>90</v>
      </c>
      <c r="Y3" s="108" t="str">
        <f ca="1" t="shared" si="7"/>
        <v>M1</v>
      </c>
    </row>
    <row r="4" spans="3:25" ht="13.5" thickBot="1">
      <c r="C4" s="14">
        <f ca="1" t="shared" si="0"/>
      </c>
      <c r="D4" s="15" t="str">
        <f ca="1" t="shared" si="0"/>
        <v>M2</v>
      </c>
      <c r="E4" s="15" t="str">
        <f ca="1" t="shared" si="0"/>
        <v>Phot</v>
      </c>
      <c r="F4" s="16"/>
      <c r="G4" s="16"/>
      <c r="H4" s="15" t="str">
        <f>IF(OR(CompName="CM3",CompName="CM5"),CompName&amp;"Cent",IF(SurfaceList!Flag="Mirror","Vertex",SurfaceList!Flag))</f>
        <v>Vertex</v>
      </c>
      <c r="I4" s="90">
        <f ca="1" t="shared" si="1"/>
        <v>2839.998</v>
      </c>
      <c r="J4" s="91">
        <f ca="1" t="shared" si="1"/>
        <v>0</v>
      </c>
      <c r="K4" s="92">
        <f ca="1" t="shared" si="1"/>
        <v>0</v>
      </c>
      <c r="L4" s="91" t="e">
        <f ca="1" t="shared" si="2"/>
        <v>#VALUE!</v>
      </c>
      <c r="M4" s="91" t="e">
        <f ca="1" t="shared" si="2"/>
        <v>#VALUE!</v>
      </c>
      <c r="N4" s="91" t="e">
        <f ca="1" t="shared" si="2"/>
        <v>#VALUE!</v>
      </c>
      <c r="O4" s="90" t="e">
        <f ca="1" t="shared" si="3"/>
        <v>#VALUE!</v>
      </c>
      <c r="P4" s="91" t="e">
        <f ca="1" t="shared" si="3"/>
        <v>#VALUE!</v>
      </c>
      <c r="Q4" s="92" t="e">
        <f ca="1" t="shared" si="3"/>
        <v>#VALUE!</v>
      </c>
      <c r="R4" s="91">
        <f ca="1" t="shared" si="4"/>
        <v>0</v>
      </c>
      <c r="S4" s="91">
        <f ca="1" t="shared" si="4"/>
        <v>1</v>
      </c>
      <c r="T4" s="91">
        <f ca="1" t="shared" si="4"/>
        <v>0</v>
      </c>
      <c r="U4" s="90" t="e">
        <f ca="1" t="shared" si="5"/>
        <v>#VALUE!</v>
      </c>
      <c r="V4" s="91" t="e">
        <f ca="1" t="shared" si="5"/>
        <v>#VALUE!</v>
      </c>
      <c r="W4" s="92" t="e">
        <f ca="1" t="shared" si="5"/>
        <v>#VALUE!</v>
      </c>
      <c r="X4" s="16" t="e">
        <f t="shared" si="6"/>
        <v>#VALUE!</v>
      </c>
      <c r="Y4" s="109" t="str">
        <f ca="1" t="shared" si="7"/>
        <v>M2</v>
      </c>
    </row>
    <row r="5" spans="1:25" ht="12.75">
      <c r="A5" s="19"/>
      <c r="B5" s="19"/>
      <c r="C5" s="10" t="str">
        <f ca="1" t="shared" si="0"/>
        <v>Common optics</v>
      </c>
      <c r="D5" s="11" t="str">
        <f ca="1" t="shared" si="0"/>
        <v>CFP</v>
      </c>
      <c r="E5" s="11" t="str">
        <f ca="1" t="shared" si="0"/>
        <v>Phot</v>
      </c>
      <c r="F5" s="20"/>
      <c r="G5" s="20"/>
      <c r="H5" s="19" t="str">
        <f>IF(OR(CompName="CM3",CompName="CM5"),CompName&amp;"Cent",IF(SurfaceList!Flag="Mirror","Vertex",SurfaceList!Flag))</f>
        <v>Ignore</v>
      </c>
      <c r="I5" s="83">
        <f ca="1" t="shared" si="1"/>
      </c>
      <c r="J5" s="84">
        <f ca="1" t="shared" si="1"/>
      </c>
      <c r="K5" s="85">
        <f ca="1" t="shared" si="1"/>
      </c>
      <c r="L5" s="86">
        <f ca="1" t="shared" si="2"/>
      </c>
      <c r="M5" s="86">
        <f ca="1" t="shared" si="2"/>
      </c>
      <c r="N5" s="86">
        <f ca="1" t="shared" si="2"/>
      </c>
      <c r="O5" s="83">
        <f ca="1" t="shared" si="3"/>
      </c>
      <c r="P5" s="84">
        <f ca="1" t="shared" si="3"/>
      </c>
      <c r="Q5" s="85">
        <f ca="1" t="shared" si="3"/>
      </c>
      <c r="R5" s="86">
        <f ca="1" t="shared" si="4"/>
      </c>
      <c r="S5" s="86">
        <f ca="1" t="shared" si="4"/>
      </c>
      <c r="T5" s="86">
        <f ca="1" t="shared" si="4"/>
      </c>
      <c r="U5" s="83">
        <f ca="1" t="shared" si="5"/>
      </c>
      <c r="V5" s="84">
        <f ca="1" t="shared" si="5"/>
      </c>
      <c r="W5" s="85">
        <f ca="1" t="shared" si="5"/>
      </c>
      <c r="X5" s="8">
        <f t="shared" si="6"/>
      </c>
      <c r="Y5" s="107" t="str">
        <f ca="1" t="shared" si="7"/>
        <v>CFP</v>
      </c>
    </row>
    <row r="6" spans="3:25" ht="12.75">
      <c r="C6" s="18">
        <f ca="1" t="shared" si="0"/>
      </c>
      <c r="D6" s="19" t="str">
        <f ca="1" t="shared" si="0"/>
        <v>CM3</v>
      </c>
      <c r="E6" s="19" t="str">
        <f ca="1" t="shared" si="0"/>
        <v>Phot</v>
      </c>
      <c r="F6" s="20" t="s">
        <v>475</v>
      </c>
      <c r="G6" s="20">
        <v>1</v>
      </c>
      <c r="H6" s="19" t="str">
        <f>IF(OR(CompName="CM3",CompName="CM5"),CompName&amp;"Cent",IF(SurfaceList!Flag="Mirror","Vertex",SurfaceList!Flag))</f>
        <v>CM3Cent</v>
      </c>
      <c r="I6" s="83">
        <f ca="1" t="shared" si="1"/>
        <v>131.229806</v>
      </c>
      <c r="J6" s="84">
        <f ca="1" t="shared" si="1"/>
        <v>-19.500476</v>
      </c>
      <c r="K6" s="85">
        <f ca="1" t="shared" si="1"/>
        <v>-95.222336</v>
      </c>
      <c r="L6" s="86">
        <f ca="1" t="shared" si="2"/>
        <v>0.9700914403662718</v>
      </c>
      <c r="M6" s="86">
        <f ca="1" t="shared" si="2"/>
        <v>0.05123993058213288</v>
      </c>
      <c r="N6" s="86">
        <f ca="1" t="shared" si="2"/>
        <v>-0.23727002938009295</v>
      </c>
      <c r="O6" s="83">
        <f ca="1" t="shared" si="3"/>
        <v>116.73857301140858</v>
      </c>
      <c r="P6" s="84">
        <f ca="1" t="shared" si="3"/>
        <v>-20.265898455541496</v>
      </c>
      <c r="Q6" s="85">
        <f ca="1" t="shared" si="3"/>
        <v>-91.67799457620734</v>
      </c>
      <c r="R6" s="86">
        <f ca="1" t="shared" si="4"/>
        <v>-0.05274616393892295</v>
      </c>
      <c r="S6" s="86">
        <f ca="1" t="shared" si="4"/>
        <v>0.9986079521963203</v>
      </c>
      <c r="T6" s="86">
        <f ca="1" t="shared" si="4"/>
        <v>0</v>
      </c>
      <c r="U6" s="83">
        <f ca="1" t="shared" si="5"/>
        <v>116.10823494710834</v>
      </c>
      <c r="V6" s="84">
        <f ca="1" t="shared" si="5"/>
        <v>-8.332128175846389</v>
      </c>
      <c r="W6" s="85">
        <f ca="1" t="shared" si="5"/>
        <v>-91.67799457620734</v>
      </c>
      <c r="X6" s="8">
        <f t="shared" si="6"/>
        <v>90</v>
      </c>
      <c r="Y6" s="107" t="str">
        <f ca="1" t="shared" si="7"/>
        <v>CM3</v>
      </c>
    </row>
    <row r="7" spans="3:25" ht="12.75">
      <c r="C7" s="18">
        <f ca="1" t="shared" si="0"/>
      </c>
      <c r="D7" s="19" t="str">
        <f ca="1" t="shared" si="0"/>
        <v>CM4</v>
      </c>
      <c r="E7" s="19" t="str">
        <f ca="1" t="shared" si="0"/>
        <v>Phot</v>
      </c>
      <c r="F7" s="20"/>
      <c r="G7" s="20"/>
      <c r="H7" s="19" t="str">
        <f>IF(OR(CompName="CM3",CompName="CM5"),CompName&amp;"Cent",IF(SurfaceList!Flag="Mirror","Vertex",SurfaceList!Flag))</f>
        <v>Vertex</v>
      </c>
      <c r="I7" s="83">
        <f ca="1" t="shared" si="1"/>
        <v>316.125371</v>
      </c>
      <c r="J7" s="84">
        <f ca="1" t="shared" si="1"/>
        <v>0</v>
      </c>
      <c r="K7" s="85">
        <f ca="1" t="shared" si="1"/>
        <v>-200.09302</v>
      </c>
      <c r="L7" s="86">
        <f ca="1" t="shared" si="2"/>
        <v>-0.9513613165986495</v>
      </c>
      <c r="M7" s="86">
        <f ca="1" t="shared" si="2"/>
        <v>0</v>
      </c>
      <c r="N7" s="86">
        <f ca="1" t="shared" si="2"/>
        <v>0.3080773365239388</v>
      </c>
      <c r="O7" s="83">
        <f ca="1" t="shared" si="3"/>
        <v>322.75737738967337</v>
      </c>
      <c r="P7" s="84">
        <f ca="1" t="shared" si="3"/>
        <v>0</v>
      </c>
      <c r="Q7" s="85">
        <f ca="1" t="shared" si="3"/>
        <v>-202.24064869657678</v>
      </c>
      <c r="R7" s="86">
        <f ca="1" t="shared" si="4"/>
        <v>0</v>
      </c>
      <c r="S7" s="86">
        <f ca="1" t="shared" si="4"/>
        <v>1</v>
      </c>
      <c r="T7" s="86">
        <f ca="1" t="shared" si="4"/>
        <v>0</v>
      </c>
      <c r="U7" s="83">
        <f ca="1" t="shared" si="5"/>
        <v>322.75737738967337</v>
      </c>
      <c r="V7" s="84">
        <f ca="1" t="shared" si="5"/>
        <v>0</v>
      </c>
      <c r="W7" s="85">
        <f ca="1" t="shared" si="5"/>
        <v>-202.24064869657678</v>
      </c>
      <c r="X7" s="8">
        <f t="shared" si="6"/>
        <v>90</v>
      </c>
      <c r="Y7" s="107" t="str">
        <f ca="1" t="shared" si="7"/>
        <v>CM4</v>
      </c>
    </row>
    <row r="8" spans="3:25" ht="13.5" thickBot="1">
      <c r="C8" s="14">
        <f ca="1" t="shared" si="0"/>
      </c>
      <c r="D8" s="15" t="str">
        <f ca="1" t="shared" si="0"/>
        <v>CM5</v>
      </c>
      <c r="E8" s="15" t="str">
        <f ca="1" t="shared" si="0"/>
        <v>Phot</v>
      </c>
      <c r="F8" s="20" t="s">
        <v>475</v>
      </c>
      <c r="G8" s="20">
        <v>1</v>
      </c>
      <c r="H8" s="19" t="str">
        <f>IF(OR(CompName="CM3",CompName="CM5"),CompName&amp;"Cent",IF(SurfaceList!Flag="Mirror","Vertex",SurfaceList!Flag))</f>
        <v>CM5Cent</v>
      </c>
      <c r="I8" s="83">
        <f ca="1" t="shared" si="1"/>
        <v>120.054658</v>
      </c>
      <c r="J8" s="84">
        <f ca="1" t="shared" si="1"/>
        <v>19.499867</v>
      </c>
      <c r="K8" s="85">
        <f ca="1" t="shared" si="1"/>
        <v>-181.314796</v>
      </c>
      <c r="L8" s="86">
        <f ca="1" t="shared" si="2"/>
        <v>0.9642130562993577</v>
      </c>
      <c r="M8" s="86">
        <f ca="1" t="shared" si="2"/>
        <v>-0.07003815177270171</v>
      </c>
      <c r="N8" s="86">
        <f ca="1" t="shared" si="2"/>
        <v>-0.25571046000919795</v>
      </c>
      <c r="O8" s="83">
        <f ca="1" t="shared" si="3"/>
        <v>105.651236355335</v>
      </c>
      <c r="P8" s="84">
        <f ca="1" t="shared" si="3"/>
        <v>20.546097420346086</v>
      </c>
      <c r="Q8" s="85">
        <f ca="1" t="shared" si="3"/>
        <v>-177.494991289411</v>
      </c>
      <c r="R8" s="86">
        <f ca="1" t="shared" si="4"/>
        <v>0.07244675929230021</v>
      </c>
      <c r="S8" s="86">
        <f ca="1" t="shared" si="4"/>
        <v>0.9973722810806622</v>
      </c>
      <c r="T8" s="86">
        <f ca="1" t="shared" si="4"/>
        <v>0</v>
      </c>
      <c r="U8" s="83">
        <f ca="1" t="shared" si="5"/>
        <v>106.51700452892221</v>
      </c>
      <c r="V8" s="84">
        <f ca="1" t="shared" si="5"/>
        <v>32.46510092875414</v>
      </c>
      <c r="W8" s="85">
        <f ca="1" t="shared" si="5"/>
        <v>-177.494991289411</v>
      </c>
      <c r="X8" s="8">
        <f t="shared" si="6"/>
        <v>90.00000000000001</v>
      </c>
      <c r="Y8" s="107" t="str">
        <f ca="1" t="shared" si="7"/>
        <v>CM5</v>
      </c>
    </row>
    <row r="9" spans="1:25" ht="12.75">
      <c r="A9" s="23" t="s">
        <v>474</v>
      </c>
      <c r="C9" s="10" t="str">
        <f ca="1" t="shared" si="0"/>
        <v>Photometer optics</v>
      </c>
      <c r="D9" s="11" t="str">
        <f ca="1" t="shared" si="0"/>
        <v>PM6</v>
      </c>
      <c r="E9" s="11" t="str">
        <f ca="1" t="shared" si="0"/>
        <v>Phot</v>
      </c>
      <c r="F9" s="12"/>
      <c r="G9" s="12">
        <v>1</v>
      </c>
      <c r="H9" s="11" t="str">
        <f>IF(OR(CompName="CM3",CompName="CM5"),CompName&amp;"Cent",IF(SurfaceList!Flag="Mirror","Vertex",SurfaceList!Flag))</f>
        <v>Vertex</v>
      </c>
      <c r="I9" s="87">
        <f ca="1" t="shared" si="1"/>
        <v>296.150668</v>
      </c>
      <c r="J9" s="88">
        <f ca="1" t="shared" si="1"/>
        <v>0</v>
      </c>
      <c r="K9" s="89">
        <f ca="1" t="shared" si="1"/>
        <v>-259.533222</v>
      </c>
      <c r="L9" s="88">
        <f ca="1" t="shared" si="2"/>
        <v>-0.9866933234324157</v>
      </c>
      <c r="M9" s="88">
        <f ca="1" t="shared" si="2"/>
        <v>0</v>
      </c>
      <c r="N9" s="88">
        <f ca="1" t="shared" si="2"/>
        <v>0.16259239063958172</v>
      </c>
      <c r="O9" s="87">
        <f ca="1" t="shared" si="3"/>
        <v>303.02897628464564</v>
      </c>
      <c r="P9" s="88">
        <f ca="1" t="shared" si="3"/>
        <v>0</v>
      </c>
      <c r="Q9" s="89">
        <f ca="1" t="shared" si="3"/>
        <v>-260.66666494625014</v>
      </c>
      <c r="R9" s="88">
        <f ca="1" t="shared" si="4"/>
        <v>0</v>
      </c>
      <c r="S9" s="88">
        <f ca="1" t="shared" si="4"/>
        <v>1</v>
      </c>
      <c r="T9" s="88">
        <f ca="1" t="shared" si="4"/>
        <v>0</v>
      </c>
      <c r="U9" s="87">
        <f ca="1" t="shared" si="5"/>
        <v>303.02897628464564</v>
      </c>
      <c r="V9" s="88">
        <f ca="1" t="shared" si="5"/>
        <v>11.950405815864162</v>
      </c>
      <c r="W9" s="89">
        <f ca="1" t="shared" si="5"/>
        <v>-260.66666494625014</v>
      </c>
      <c r="X9" s="12">
        <f t="shared" si="6"/>
        <v>90</v>
      </c>
      <c r="Y9" s="108" t="str">
        <f ca="1" t="shared" si="7"/>
        <v>PM6</v>
      </c>
    </row>
    <row r="10" spans="1:25" ht="12.75">
      <c r="A10" s="1" t="s">
        <v>475</v>
      </c>
      <c r="B10" s="1">
        <f>-15/1.00415</f>
        <v>-14.938007269830203</v>
      </c>
      <c r="C10" s="18">
        <f ca="1" t="shared" si="0"/>
      </c>
      <c r="D10" s="19" t="str">
        <f ca="1" t="shared" si="0"/>
        <v>PM7</v>
      </c>
      <c r="E10" s="19" t="str">
        <f ca="1" t="shared" si="0"/>
        <v>Phot</v>
      </c>
      <c r="F10" s="20" t="s">
        <v>475</v>
      </c>
      <c r="G10" s="20">
        <v>1</v>
      </c>
      <c r="H10" s="19" t="str">
        <f>IF(OR(CompName="CM3",CompName="CM5"),CompName&amp;"Cent",IF(SurfaceList!Flag="Mirror","Vertex",SurfaceList!Flag))</f>
        <v>Vertex</v>
      </c>
      <c r="I10" s="83">
        <f ca="1" t="shared" si="1"/>
        <v>94.233806</v>
      </c>
      <c r="J10" s="84">
        <f ca="1" t="shared" si="1"/>
        <v>0</v>
      </c>
      <c r="K10" s="85">
        <f ca="1" t="shared" si="1"/>
        <v>-279.482925</v>
      </c>
      <c r="L10" s="84">
        <f ca="1" t="shared" si="2"/>
        <v>0.9580859005476418</v>
      </c>
      <c r="M10" s="84">
        <f ca="1" t="shared" si="2"/>
        <v>0</v>
      </c>
      <c r="N10" s="84">
        <f ca="1" t="shared" si="2"/>
        <v>-0.2864810764637242</v>
      </c>
      <c r="O10" s="83">
        <f ca="1" t="shared" si="3"/>
        <v>79.92191185249752</v>
      </c>
      <c r="P10" s="84">
        <f ca="1" t="shared" si="3"/>
        <v>0</v>
      </c>
      <c r="Q10" s="85">
        <f ca="1" t="shared" si="3"/>
        <v>-275.2034685971161</v>
      </c>
      <c r="R10" s="84">
        <f ca="1" t="shared" si="4"/>
        <v>0</v>
      </c>
      <c r="S10" s="84">
        <f ca="1" t="shared" si="4"/>
        <v>1</v>
      </c>
      <c r="T10" s="84">
        <f ca="1" t="shared" si="4"/>
        <v>0</v>
      </c>
      <c r="U10" s="83">
        <f ca="1" t="shared" si="5"/>
        <v>79.92191185249752</v>
      </c>
      <c r="V10" s="84">
        <f ca="1" t="shared" si="5"/>
        <v>11.950405815864162</v>
      </c>
      <c r="W10" s="85">
        <f ca="1" t="shared" si="5"/>
        <v>-275.2034685971161</v>
      </c>
      <c r="X10" s="20">
        <f t="shared" si="6"/>
        <v>90</v>
      </c>
      <c r="Y10" s="107" t="str">
        <f ca="1" t="shared" si="7"/>
        <v>PM7</v>
      </c>
    </row>
    <row r="11" spans="1:25" ht="12.75">
      <c r="A11" s="1" t="s">
        <v>476</v>
      </c>
      <c r="B11" s="1">
        <f>-7/1.00415</f>
        <v>-6.971070059254095</v>
      </c>
      <c r="C11" s="18">
        <f ca="1" t="shared" si="0"/>
      </c>
      <c r="D11" s="19" t="str">
        <f ca="1" t="shared" si="0"/>
        <v>PM8</v>
      </c>
      <c r="E11" s="19" t="str">
        <f ca="1" t="shared" si="0"/>
        <v>Phot</v>
      </c>
      <c r="F11" s="20"/>
      <c r="G11" s="20">
        <v>1</v>
      </c>
      <c r="H11" s="19" t="str">
        <f>IF(OR(CompName="CM3",CompName="CM5"),CompName&amp;"Cent",IF(SurfaceList!Flag="Mirror","Vertex",SurfaceList!Flag))</f>
        <v>Vertex</v>
      </c>
      <c r="I11" s="83">
        <f ca="1" t="shared" si="1"/>
        <v>240.46642400000002</v>
      </c>
      <c r="J11" s="84">
        <f ca="1" t="shared" si="1"/>
        <v>0</v>
      </c>
      <c r="K11" s="85">
        <f ca="1" t="shared" si="1"/>
        <v>-397.635459</v>
      </c>
      <c r="L11" s="84">
        <f ca="1" t="shared" si="2"/>
        <v>-0.9974275384838198</v>
      </c>
      <c r="M11" s="84">
        <f ca="1" t="shared" si="2"/>
        <v>0</v>
      </c>
      <c r="N11" s="84">
        <f ca="1" t="shared" si="2"/>
        <v>-0.07168197454108007</v>
      </c>
      <c r="O11" s="83">
        <f ca="1" t="shared" si="3"/>
        <v>247.4195612498001</v>
      </c>
      <c r="P11" s="84">
        <f ca="1" t="shared" si="3"/>
        <v>0</v>
      </c>
      <c r="Q11" s="85">
        <f ca="1" t="shared" si="3"/>
        <v>-397.1357589334885</v>
      </c>
      <c r="R11" s="84">
        <f ca="1" t="shared" si="4"/>
        <v>0</v>
      </c>
      <c r="S11" s="84">
        <f ca="1" t="shared" si="4"/>
        <v>1</v>
      </c>
      <c r="T11" s="84">
        <f ca="1" t="shared" si="4"/>
        <v>0</v>
      </c>
      <c r="U11" s="83">
        <f ca="1" t="shared" si="5"/>
        <v>247.4195612498001</v>
      </c>
      <c r="V11" s="84">
        <f ca="1" t="shared" si="5"/>
        <v>11.950405815864162</v>
      </c>
      <c r="W11" s="85">
        <f ca="1" t="shared" si="5"/>
        <v>-397.1357589334885</v>
      </c>
      <c r="X11" s="20">
        <f t="shared" si="6"/>
        <v>90</v>
      </c>
      <c r="Y11" s="107" t="str">
        <f ca="1" t="shared" si="7"/>
        <v>PM8</v>
      </c>
    </row>
    <row r="12" spans="3:25" ht="12.75">
      <c r="C12" s="18">
        <f ca="1" t="shared" si="0"/>
      </c>
      <c r="D12" s="19" t="str">
        <f ca="1" t="shared" si="0"/>
        <v>PCS</v>
      </c>
      <c r="E12" s="19" t="str">
        <f ca="1" t="shared" si="0"/>
        <v>Phot</v>
      </c>
      <c r="F12" s="20"/>
      <c r="G12" s="20"/>
      <c r="H12" s="19" t="str">
        <f>IF(OR(CompName="CM3",CompName="CM5"),CompName&amp;"Cent",IF(SurfaceList!Flag="Mirror","Vertex",SurfaceList!Flag))</f>
        <v>Hole</v>
      </c>
      <c r="I12" s="83">
        <f ca="1" t="shared" si="1"/>
        <v>192.868434</v>
      </c>
      <c r="J12" s="84">
        <f ca="1" t="shared" si="1"/>
        <v>0</v>
      </c>
      <c r="K12" s="85">
        <f ca="1" t="shared" si="1"/>
        <v>-448.96217</v>
      </c>
      <c r="L12" s="84">
        <f ca="1" t="shared" si="2"/>
        <v>0.6799712953275036</v>
      </c>
      <c r="M12" s="84">
        <f ca="1" t="shared" si="2"/>
        <v>0</v>
      </c>
      <c r="N12" s="84">
        <f ca="1" t="shared" si="2"/>
        <v>0.7332387316083603</v>
      </c>
      <c r="O12" s="83">
        <f ca="1" t="shared" si="3"/>
      </c>
      <c r="P12" s="84">
        <f ca="1" t="shared" si="3"/>
      </c>
      <c r="Q12" s="85">
        <f ca="1" t="shared" si="3"/>
      </c>
      <c r="R12" s="84">
        <f ca="1" t="shared" si="4"/>
        <v>0</v>
      </c>
      <c r="S12" s="84">
        <f ca="1" t="shared" si="4"/>
        <v>1</v>
      </c>
      <c r="T12" s="84">
        <f ca="1" t="shared" si="4"/>
        <v>0</v>
      </c>
      <c r="U12" s="83">
        <f ca="1" t="shared" si="5"/>
      </c>
      <c r="V12" s="84">
        <f ca="1" t="shared" si="5"/>
      </c>
      <c r="W12" s="85">
        <f ca="1" t="shared" si="5"/>
      </c>
      <c r="X12" s="20">
        <f t="shared" si="6"/>
        <v>90</v>
      </c>
      <c r="Y12" s="107" t="str">
        <f ca="1" t="shared" si="7"/>
        <v>PCS</v>
      </c>
    </row>
    <row r="13" spans="1:25" ht="13.5" thickBot="1">
      <c r="A13" s="23" t="s">
        <v>479</v>
      </c>
      <c r="C13" s="14">
        <f ca="1" t="shared" si="0"/>
      </c>
      <c r="D13" s="15" t="str">
        <f ca="1" t="shared" si="0"/>
        <v>PM9</v>
      </c>
      <c r="E13" s="15" t="str">
        <f ca="1" t="shared" si="0"/>
        <v>Phot</v>
      </c>
      <c r="F13" s="16" t="s">
        <v>475</v>
      </c>
      <c r="G13" s="16">
        <v>1</v>
      </c>
      <c r="H13" s="15" t="str">
        <f>IF(OR(CompName="CM3",CompName="CM5"),CompName&amp;"Cent",IF(SurfaceList!Flag="Mirror","Vertex",SurfaceList!Flag))</f>
        <v>Vertex</v>
      </c>
      <c r="I13" s="90">
        <f ca="1" t="shared" si="1"/>
        <v>104.472165</v>
      </c>
      <c r="J13" s="91">
        <f ca="1" t="shared" si="1"/>
        <v>0</v>
      </c>
      <c r="K13" s="92">
        <f ca="1" t="shared" si="1"/>
        <v>-544.283205</v>
      </c>
      <c r="L13" s="91">
        <f ca="1" t="shared" si="2"/>
        <v>0.8897464246421136</v>
      </c>
      <c r="M13" s="91">
        <f ca="1" t="shared" si="2"/>
        <v>0</v>
      </c>
      <c r="N13" s="91">
        <f ca="1" t="shared" si="2"/>
        <v>0.4564551454815419</v>
      </c>
      <c r="O13" s="90">
        <f ca="1" t="shared" si="3"/>
        <v>91.18112644039068</v>
      </c>
      <c r="P13" s="91">
        <f ca="1" t="shared" si="3"/>
        <v>0</v>
      </c>
      <c r="Q13" s="92">
        <f ca="1" t="shared" si="3"/>
        <v>-551.1017352815546</v>
      </c>
      <c r="R13" s="91">
        <f ca="1" t="shared" si="4"/>
        <v>0</v>
      </c>
      <c r="S13" s="91">
        <f ca="1" t="shared" si="4"/>
        <v>1</v>
      </c>
      <c r="T13" s="91">
        <f ca="1" t="shared" si="4"/>
        <v>0</v>
      </c>
      <c r="U13" s="90">
        <f ca="1" t="shared" si="5"/>
        <v>91.18112644039068</v>
      </c>
      <c r="V13" s="91">
        <f ca="1" t="shared" si="5"/>
        <v>11.950405815864162</v>
      </c>
      <c r="W13" s="92">
        <f ca="1" t="shared" si="5"/>
        <v>-551.1017352815546</v>
      </c>
      <c r="X13" s="16">
        <f t="shared" si="6"/>
        <v>90</v>
      </c>
      <c r="Y13" s="109" t="str">
        <f ca="1" t="shared" si="7"/>
        <v>PM9</v>
      </c>
    </row>
    <row r="14" spans="1:25" ht="12.75">
      <c r="A14" s="1" t="s">
        <v>324</v>
      </c>
      <c r="B14" s="1">
        <f>12/1.00415</f>
        <v>11.950405815864162</v>
      </c>
      <c r="C14" s="10" t="str">
        <f ca="1" t="shared" si="0"/>
        <v>Short wave</v>
      </c>
      <c r="D14" s="11" t="str">
        <f ca="1" t="shared" si="0"/>
        <v>PDIC1</v>
      </c>
      <c r="E14" s="11" t="str">
        <f ca="1" t="shared" si="0"/>
        <v>Phot</v>
      </c>
      <c r="F14" s="12"/>
      <c r="G14" s="12"/>
      <c r="H14" s="11" t="str">
        <f>IF(OR(CompName="CM3",CompName="CM5"),CompName&amp;"Cent",IF(SurfaceList!Flag="Mirror","Vertex",SurfaceList!Flag))</f>
        <v>Hole</v>
      </c>
      <c r="I14" s="87">
        <f ca="1" t="shared" si="1"/>
        <v>238.419841</v>
      </c>
      <c r="J14" s="88">
        <f ca="1" t="shared" si="1"/>
        <v>0</v>
      </c>
      <c r="K14" s="89">
        <f ca="1" t="shared" si="1"/>
        <v>-527.460001</v>
      </c>
      <c r="L14" s="88">
        <f ca="1" t="shared" si="2"/>
        <v>-0.9051344700049381</v>
      </c>
      <c r="M14" s="88">
        <f ca="1" t="shared" si="2"/>
        <v>0</v>
      </c>
      <c r="N14" s="88">
        <f ca="1" t="shared" si="2"/>
        <v>-0.4251253829270604</v>
      </c>
      <c r="O14" s="87">
        <f ca="1" t="shared" si="3"/>
      </c>
      <c r="P14" s="88">
        <f ca="1" t="shared" si="3"/>
      </c>
      <c r="Q14" s="89">
        <f ca="1" t="shared" si="3"/>
      </c>
      <c r="R14" s="88">
        <f ca="1" t="shared" si="4"/>
        <v>0</v>
      </c>
      <c r="S14" s="88">
        <f ca="1" t="shared" si="4"/>
        <v>1</v>
      </c>
      <c r="T14" s="88">
        <f ca="1" t="shared" si="4"/>
        <v>0</v>
      </c>
      <c r="U14" s="87">
        <f ca="1" t="shared" si="5"/>
      </c>
      <c r="V14" s="88">
        <f ca="1" t="shared" si="5"/>
      </c>
      <c r="W14" s="89">
        <f ca="1" t="shared" si="5"/>
      </c>
      <c r="X14" s="12">
        <f t="shared" si="6"/>
        <v>90</v>
      </c>
      <c r="Y14" s="108" t="str">
        <f ca="1" t="shared" si="7"/>
        <v>PDIC1</v>
      </c>
    </row>
    <row r="15" spans="3:25" ht="12.75">
      <c r="C15" s="18">
        <f ca="1" t="shared" si="0"/>
      </c>
      <c r="D15" s="19" t="str">
        <f ca="1" t="shared" si="0"/>
        <v>PM10</v>
      </c>
      <c r="E15" s="19" t="str">
        <f ca="1" t="shared" si="0"/>
        <v>Phot</v>
      </c>
      <c r="F15" s="20"/>
      <c r="G15" s="20">
        <v>-1</v>
      </c>
      <c r="H15" s="19" t="str">
        <f>IF(OR(CompName="CM3",CompName="CM5"),CompName&amp;"Cent",IF(SurfaceList!Flag="Mirror","Vertex",SurfaceList!Flag))</f>
        <v>Vertex</v>
      </c>
      <c r="I15" s="83">
        <f ca="1" t="shared" si="1"/>
        <v>139.942327</v>
      </c>
      <c r="J15" s="84">
        <f ca="1" t="shared" si="1"/>
        <v>1.82E-14</v>
      </c>
      <c r="K15" s="85">
        <f ca="1" t="shared" si="1"/>
        <v>-619.802728</v>
      </c>
      <c r="L15" s="84">
        <f ca="1" t="shared" si="2"/>
        <v>0.5158082818360727</v>
      </c>
      <c r="M15" s="84">
        <f ca="1" t="shared" si="2"/>
        <v>-0.7071067811865475</v>
      </c>
      <c r="N15" s="84">
        <f ca="1" t="shared" si="2"/>
        <v>0.4836753212531301</v>
      </c>
      <c r="O15" s="83">
        <f ca="1" t="shared" si="3"/>
        <v>136.34659133017726</v>
      </c>
      <c r="P15" s="84">
        <f ca="1" t="shared" si="3"/>
        <v>4.929290911025095</v>
      </c>
      <c r="Q15" s="85">
        <f ca="1" t="shared" si="3"/>
        <v>-623.1744625503878</v>
      </c>
      <c r="R15" s="84">
        <f ca="1" t="shared" si="4"/>
        <v>0.5158082818360726</v>
      </c>
      <c r="S15" s="84">
        <f ca="1" t="shared" si="4"/>
        <v>0.7071067811865476</v>
      </c>
      <c r="T15" s="84">
        <f ca="1" t="shared" si="4"/>
        <v>0.48367532125313006</v>
      </c>
      <c r="U15" s="83">
        <f ca="1" t="shared" si="5"/>
        <v>130.18247303905255</v>
      </c>
      <c r="V15" s="84">
        <f ca="1" t="shared" si="5"/>
        <v>-3.5209220793036096</v>
      </c>
      <c r="W15" s="85">
        <f ca="1" t="shared" si="5"/>
        <v>-628.9545789224812</v>
      </c>
      <c r="X15" s="20">
        <f t="shared" si="6"/>
        <v>90</v>
      </c>
      <c r="Y15" s="107" t="str">
        <f ca="1" t="shared" si="7"/>
        <v>PM10</v>
      </c>
    </row>
    <row r="16" spans="3:25" ht="13.5" thickBot="1">
      <c r="C16" s="14">
        <f ca="1" t="shared" si="0"/>
      </c>
      <c r="D16" s="15" t="str">
        <f ca="1" t="shared" si="0"/>
        <v>PSW</v>
      </c>
      <c r="E16" s="15" t="str">
        <f ca="1" t="shared" si="0"/>
        <v>Phot</v>
      </c>
      <c r="F16" s="16"/>
      <c r="G16" s="16"/>
      <c r="H16" s="15" t="str">
        <f>IF(OR(CompName="CM3",CompName="CM5"),CompName&amp;"Cent",IF(SurfaceList!Flag="Mirror","Vertex",SurfaceList!Flag))</f>
        <v>Det</v>
      </c>
      <c r="I16" s="90">
        <f ca="1" t="shared" si="1"/>
        <v>139.942327</v>
      </c>
      <c r="J16" s="91">
        <f ca="1" t="shared" si="1"/>
        <v>-50</v>
      </c>
      <c r="K16" s="92">
        <f ca="1" t="shared" si="1"/>
        <v>-619.802728</v>
      </c>
      <c r="L16" s="91">
        <f ca="1" t="shared" si="2"/>
        <v>-4.468502751876572E-17</v>
      </c>
      <c r="M16" s="91">
        <f ca="1" t="shared" si="2"/>
        <v>1</v>
      </c>
      <c r="N16" s="91">
        <f ca="1" t="shared" si="2"/>
        <v>-4.190131450276468E-17</v>
      </c>
      <c r="O16" s="90">
        <f ca="1" t="shared" si="3"/>
      </c>
      <c r="P16" s="91">
        <f ca="1" t="shared" si="3"/>
      </c>
      <c r="Q16" s="92">
        <f ca="1" t="shared" si="3"/>
      </c>
      <c r="R16" s="91">
        <f ca="1" t="shared" si="4"/>
        <v>0.7294630677569378</v>
      </c>
      <c r="S16" s="91">
        <f ca="1" t="shared" si="4"/>
        <v>6.1257422745431E-17</v>
      </c>
      <c r="T16" s="91">
        <f ca="1" t="shared" si="4"/>
        <v>0.6840201991013403</v>
      </c>
      <c r="U16" s="90">
        <f ca="1" t="shared" si="5"/>
      </c>
      <c r="V16" s="91">
        <f ca="1" t="shared" si="5"/>
      </c>
      <c r="W16" s="92">
        <f ca="1" t="shared" si="5"/>
      </c>
      <c r="X16" s="16">
        <f t="shared" si="6"/>
        <v>90</v>
      </c>
      <c r="Y16" s="109" t="str">
        <f ca="1" t="shared" si="7"/>
        <v>PSW</v>
      </c>
    </row>
    <row r="17" spans="3:25" ht="13.5" thickBot="1">
      <c r="C17" s="19">
        <f ca="1" t="shared" si="0"/>
      </c>
      <c r="D17" s="19" t="str">
        <f ca="1" t="shared" si="0"/>
        <v>PDIC1</v>
      </c>
      <c r="E17" s="1" t="str">
        <f ca="1" t="shared" si="0"/>
        <v>Phot</v>
      </c>
      <c r="H17" s="1" t="str">
        <f>IF(OR(CompName="CM3",CompName="CM5"),CompName&amp;"Cent",IF(SurfaceList!Flag="Mirror","Vertex",SurfaceList!Flag))</f>
        <v>Ignore</v>
      </c>
      <c r="I17" s="83">
        <f ca="1" t="shared" si="1"/>
      </c>
      <c r="J17" s="84">
        <f ca="1" t="shared" si="1"/>
      </c>
      <c r="K17" s="85">
        <f ca="1" t="shared" si="1"/>
      </c>
      <c r="L17" s="86">
        <f ca="1" t="shared" si="2"/>
      </c>
      <c r="M17" s="86">
        <f ca="1" t="shared" si="2"/>
      </c>
      <c r="N17" s="86">
        <f ca="1" t="shared" si="2"/>
      </c>
      <c r="O17" s="83">
        <f ca="1" t="shared" si="3"/>
      </c>
      <c r="P17" s="84">
        <f ca="1" t="shared" si="3"/>
      </c>
      <c r="Q17" s="85">
        <f ca="1" t="shared" si="3"/>
      </c>
      <c r="R17" s="86">
        <f ca="1" t="shared" si="4"/>
      </c>
      <c r="S17" s="86">
        <f ca="1" t="shared" si="4"/>
      </c>
      <c r="T17" s="86">
        <f ca="1" t="shared" si="4"/>
      </c>
      <c r="U17" s="83">
        <f ca="1" t="shared" si="5"/>
      </c>
      <c r="V17" s="84">
        <f ca="1" t="shared" si="5"/>
      </c>
      <c r="W17" s="85">
        <f ca="1" t="shared" si="5"/>
      </c>
      <c r="X17" s="8">
        <f t="shared" si="6"/>
      </c>
      <c r="Y17" s="107" t="str">
        <f ca="1" t="shared" si="7"/>
        <v>PDIC1</v>
      </c>
    </row>
    <row r="18" spans="3:25" ht="12.75">
      <c r="C18" s="10" t="str">
        <f ca="1" t="shared" si="0"/>
        <v>Medium wave</v>
      </c>
      <c r="D18" s="11" t="str">
        <f ca="1" t="shared" si="0"/>
        <v>PDIC2</v>
      </c>
      <c r="E18" s="11" t="str">
        <f ca="1" t="shared" si="0"/>
        <v>Phot</v>
      </c>
      <c r="F18" s="12"/>
      <c r="G18" s="12"/>
      <c r="H18" s="11" t="str">
        <f>IF(OR(CompName="CM3",CompName="CM5"),CompName&amp;"Cent",IF(SurfaceList!Flag="Mirror","Vertex",SurfaceList!Flag))</f>
        <v>Hole</v>
      </c>
      <c r="I18" s="87">
        <f ca="1" t="shared" si="1"/>
        <v>337.64034100000003</v>
      </c>
      <c r="J18" s="88">
        <f ca="1" t="shared" si="1"/>
        <v>7.15E-15</v>
      </c>
      <c r="K18" s="89">
        <f ca="1" t="shared" si="1"/>
        <v>-514.998367</v>
      </c>
      <c r="L18" s="88">
        <f ca="1" t="shared" si="2"/>
        <v>-0.8992431213587703</v>
      </c>
      <c r="M18" s="88">
        <f ca="1" t="shared" si="2"/>
        <v>-0.42261826174069944</v>
      </c>
      <c r="N18" s="88">
        <f ca="1" t="shared" si="2"/>
        <v>-0.1129407523093658</v>
      </c>
      <c r="O18" s="87">
        <f ca="1" t="shared" si="3"/>
      </c>
      <c r="P18" s="88">
        <f ca="1" t="shared" si="3"/>
      </c>
      <c r="Q18" s="89">
        <f ca="1" t="shared" si="3"/>
      </c>
      <c r="R18" s="88">
        <f ca="1" t="shared" si="4"/>
        <v>-0.4193239540327994</v>
      </c>
      <c r="S18" s="88">
        <f ca="1" t="shared" si="4"/>
        <v>0.9063077870366499</v>
      </c>
      <c r="T18" s="88">
        <f ca="1" t="shared" si="4"/>
        <v>-0.05266513771964412</v>
      </c>
      <c r="U18" s="87">
        <f ca="1" t="shared" si="5"/>
      </c>
      <c r="V18" s="88">
        <f ca="1" t="shared" si="5"/>
      </c>
      <c r="W18" s="89">
        <f ca="1" t="shared" si="5"/>
      </c>
      <c r="X18" s="12">
        <f t="shared" si="6"/>
        <v>90</v>
      </c>
      <c r="Y18" s="108" t="str">
        <f ca="1" t="shared" si="7"/>
        <v>PDIC2</v>
      </c>
    </row>
    <row r="19" spans="3:25" ht="13.5" thickBot="1">
      <c r="C19" s="14">
        <f ca="1" t="shared" si="0"/>
      </c>
      <c r="D19" s="15" t="str">
        <f ca="1" t="shared" si="0"/>
        <v>PMW</v>
      </c>
      <c r="E19" s="15" t="str">
        <f ca="1" t="shared" si="0"/>
        <v>Phot</v>
      </c>
      <c r="F19" s="16"/>
      <c r="G19" s="16"/>
      <c r="H19" s="15" t="str">
        <f>IF(OR(CompName="CM3",CompName="CM5"),CompName&amp;"Cent",IF(SurfaceList!Flag="Mirror","Vertex",SurfaceList!Flag))</f>
        <v>Det</v>
      </c>
      <c r="I19" s="90">
        <f ca="1" t="shared" si="1"/>
        <v>283.429289</v>
      </c>
      <c r="J19" s="91">
        <f ca="1" t="shared" si="1"/>
        <v>-65.113778</v>
      </c>
      <c r="K19" s="92">
        <f ca="1" t="shared" si="1"/>
        <v>-521.807023</v>
      </c>
      <c r="L19" s="91">
        <f ca="1" t="shared" si="2"/>
        <v>0.6377770827670182</v>
      </c>
      <c r="M19" s="91">
        <f ca="1" t="shared" si="2"/>
        <v>0.766044443118978</v>
      </c>
      <c r="N19" s="91">
        <f ca="1" t="shared" si="2"/>
        <v>0.0801018343343452</v>
      </c>
      <c r="O19" s="90">
        <f ca="1" t="shared" si="3"/>
      </c>
      <c r="P19" s="91">
        <f ca="1" t="shared" si="3"/>
      </c>
      <c r="Q19" s="92">
        <f ca="1" t="shared" si="3"/>
      </c>
      <c r="R19" s="91">
        <f ca="1" t="shared" si="4"/>
        <v>-0.7600731296618486</v>
      </c>
      <c r="S19" s="91">
        <f ca="1" t="shared" si="4"/>
        <v>0.6427876096865394</v>
      </c>
      <c r="T19" s="91">
        <f ca="1" t="shared" si="4"/>
        <v>-0.09546164884134213</v>
      </c>
      <c r="U19" s="90">
        <f ca="1" t="shared" si="5"/>
      </c>
      <c r="V19" s="91">
        <f ca="1" t="shared" si="5"/>
      </c>
      <c r="W19" s="92">
        <f ca="1" t="shared" si="5"/>
      </c>
      <c r="X19" s="16">
        <f t="shared" si="6"/>
        <v>90</v>
      </c>
      <c r="Y19" s="109" t="str">
        <f ca="1" t="shared" si="7"/>
        <v>PMW</v>
      </c>
    </row>
    <row r="20" spans="3:25" ht="13.5" thickBot="1">
      <c r="C20" s="19">
        <f ca="1" t="shared" si="0"/>
      </c>
      <c r="D20" s="19" t="str">
        <f ca="1" t="shared" si="0"/>
        <v>PDIC2</v>
      </c>
      <c r="E20" s="1" t="str">
        <f ca="1" t="shared" si="0"/>
        <v>Phot</v>
      </c>
      <c r="H20" s="1" t="str">
        <f>IF(OR(CompName="CM3",CompName="CM5"),CompName&amp;"Cent",IF(SurfaceList!Flag="Mirror","Vertex",SurfaceList!Flag))</f>
        <v>Ignore</v>
      </c>
      <c r="I20" s="83">
        <f ca="1" t="shared" si="1"/>
      </c>
      <c r="J20" s="84">
        <f ca="1" t="shared" si="1"/>
      </c>
      <c r="K20" s="85">
        <f ca="1" t="shared" si="1"/>
      </c>
      <c r="L20" s="86">
        <f ca="1" t="shared" si="2"/>
      </c>
      <c r="M20" s="86">
        <f ca="1" t="shared" si="2"/>
      </c>
      <c r="N20" s="86">
        <f ca="1" t="shared" si="2"/>
      </c>
      <c r="O20" s="83">
        <f ca="1" t="shared" si="3"/>
      </c>
      <c r="P20" s="84">
        <f ca="1" t="shared" si="3"/>
      </c>
      <c r="Q20" s="85">
        <f ca="1" t="shared" si="3"/>
      </c>
      <c r="R20" s="86">
        <f ca="1" t="shared" si="4"/>
      </c>
      <c r="S20" s="86">
        <f ca="1" t="shared" si="4"/>
      </c>
      <c r="T20" s="86">
        <f ca="1" t="shared" si="4"/>
      </c>
      <c r="U20" s="83">
        <f ca="1" t="shared" si="5"/>
      </c>
      <c r="V20" s="84">
        <f ca="1" t="shared" si="5"/>
      </c>
      <c r="W20" s="85">
        <f ca="1" t="shared" si="5"/>
      </c>
      <c r="X20" s="8">
        <f t="shared" si="6"/>
      </c>
      <c r="Y20" s="107" t="str">
        <f ca="1" t="shared" si="7"/>
        <v>PDIC2</v>
      </c>
    </row>
    <row r="21" spans="3:25" ht="12.75">
      <c r="C21" s="10" t="str">
        <f ca="1" t="shared" si="0"/>
        <v>Long wave</v>
      </c>
      <c r="D21" s="11" t="str">
        <f ca="1" t="shared" si="0"/>
        <v>PM11</v>
      </c>
      <c r="E21" s="11" t="str">
        <f ca="1" t="shared" si="0"/>
        <v>Phot</v>
      </c>
      <c r="F21" s="12"/>
      <c r="G21" s="12">
        <v>1</v>
      </c>
      <c r="H21" s="11" t="str">
        <f>IF(OR(CompName="CM3",CompName="CM5"),CompName&amp;"Cent",IF(SurfaceList!Flag="Mirror","Vertex",SurfaceList!Flag))</f>
        <v>Vertex</v>
      </c>
      <c r="I21" s="87">
        <f ca="1" t="shared" si="1"/>
        <v>381.297361</v>
      </c>
      <c r="J21" s="88">
        <f ca="1" t="shared" si="1"/>
        <v>-1.28E-14</v>
      </c>
      <c r="K21" s="89">
        <f ca="1" t="shared" si="1"/>
        <v>-509.515249</v>
      </c>
      <c r="L21" s="88">
        <f ca="1" t="shared" si="2"/>
        <v>-0.7498640170291299</v>
      </c>
      <c r="M21" s="88">
        <f ca="1" t="shared" si="2"/>
        <v>0</v>
      </c>
      <c r="N21" s="88">
        <f ca="1" t="shared" si="2"/>
        <v>0.6615919860192813</v>
      </c>
      <c r="O21" s="87">
        <f ca="1" t="shared" si="3"/>
        <v>386.5247155976238</v>
      </c>
      <c r="P21" s="88">
        <f ca="1" t="shared" si="3"/>
        <v>-1.28E-14</v>
      </c>
      <c r="Q21" s="89">
        <f ca="1" t="shared" si="3"/>
        <v>-514.1272530851815</v>
      </c>
      <c r="R21" s="88">
        <f ca="1" t="shared" si="4"/>
        <v>0</v>
      </c>
      <c r="S21" s="88">
        <f ca="1" t="shared" si="4"/>
        <v>1</v>
      </c>
      <c r="T21" s="88">
        <f ca="1" t="shared" si="4"/>
        <v>0</v>
      </c>
      <c r="U21" s="87">
        <f ca="1" t="shared" si="5"/>
        <v>386.5247155976238</v>
      </c>
      <c r="V21" s="88">
        <f ca="1" t="shared" si="5"/>
        <v>11.95040581586415</v>
      </c>
      <c r="W21" s="89">
        <f ca="1" t="shared" si="5"/>
        <v>-514.1272530851815</v>
      </c>
      <c r="X21" s="12">
        <f t="shared" si="6"/>
        <v>90</v>
      </c>
      <c r="Y21" s="108" t="str">
        <f ca="1" t="shared" si="7"/>
        <v>PM11</v>
      </c>
    </row>
    <row r="22" spans="3:25" ht="13.5" thickBot="1">
      <c r="C22" s="14">
        <f aca="true" ca="1" t="shared" si="8" ref="C22:E41">IF(INDIRECT("SurfaceList!"&amp;ThisCol)="","",INDIRECT("SurfaceList!"&amp;ThisCol))</f>
      </c>
      <c r="D22" s="15" t="str">
        <f ca="1" t="shared" si="8"/>
        <v>PLW</v>
      </c>
      <c r="E22" s="15" t="str">
        <f ca="1" t="shared" si="8"/>
        <v>Phot</v>
      </c>
      <c r="F22" s="16"/>
      <c r="G22" s="16"/>
      <c r="H22" s="15" t="str">
        <f>IF(OR(CompName="CM3",CompName="CM5"),CompName&amp;"Cent",IF(SurfaceList!Flag="Mirror","Vertex",SurfaceList!Flag))</f>
        <v>Det</v>
      </c>
      <c r="I22" s="90">
        <f aca="true" ca="1" t="shared" si="9" ref="I22:K41">IF(Flag="Ignore","",IF(OR(Flag="Det",Flag="Hole"),INDIRECT("VertexCalc!"&amp;Axe&amp;"Vertex"),INDIRECT(Flag&amp;"Calc!"&amp;Axe&amp;Flag)))</f>
        <v>381.298363</v>
      </c>
      <c r="J22" s="91">
        <f ca="1" t="shared" si="9"/>
        <v>-1.34E-14</v>
      </c>
      <c r="K22" s="92">
        <f ca="1" t="shared" si="9"/>
        <v>-468.515249</v>
      </c>
      <c r="L22" s="91">
        <f aca="true" ca="1" t="shared" si="10" ref="L22:N41">IF(Flag="Ignore","",IF(OR(Flag="Det",Flag="Hole"),INDIRECT("VertexCalc!"&amp;Axe&amp;"Norm"),INDIRECT(Flag&amp;"Calc!"&amp;Axe&amp;"Norm")))</f>
        <v>-2.4434609525453033E-05</v>
      </c>
      <c r="M22" s="91">
        <f ca="1" t="shared" si="10"/>
        <v>0</v>
      </c>
      <c r="N22" s="91">
        <f ca="1" t="shared" si="10"/>
        <v>-0.9999999997014749</v>
      </c>
      <c r="O22" s="90">
        <f aca="true" ca="1" t="shared" si="11" ref="O22:Q41">IF(OR(Flag="Ignore",Flag="Det",Flag="Hole"),"",INDIRECT(Axe&amp;"mirr")+IF(ThMirr="Thick",Thick,Thin)*INDIRECT(Axe&amp;"norm"))</f>
      </c>
      <c r="P22" s="91">
        <f ca="1" t="shared" si="11"/>
      </c>
      <c r="Q22" s="92">
        <f ca="1" t="shared" si="11"/>
      </c>
      <c r="R22" s="91">
        <f aca="true" ca="1" t="shared" si="12" ref="R22:T41">IF(Flag="Ignore","",IF(OR(Flag="Det",Flag="Hole"),INDIRECT("VertexCalc!"&amp;Axe&amp;"sag"),INDIRECT(Flag&amp;"Calc!"&amp;Axe&amp;"sag")))</f>
        <v>0</v>
      </c>
      <c r="S22" s="91">
        <f ca="1" t="shared" si="12"/>
        <v>1</v>
      </c>
      <c r="T22" s="91">
        <f ca="1" t="shared" si="12"/>
        <v>0</v>
      </c>
      <c r="U22" s="90">
        <f aca="true" ca="1" t="shared" si="13" ref="U22:W41">IF(OR(Flag="Ignore",Flag="Det",Flag="Hole"),"",INDIRECT(Axe&amp;"spig")+DowlSep*DowlDir*INDIRECT(Axe&amp;"sag"))</f>
      </c>
      <c r="V22" s="91">
        <f ca="1" t="shared" si="13"/>
      </c>
      <c r="W22" s="92">
        <f ca="1" t="shared" si="13"/>
      </c>
      <c r="X22" s="16">
        <f t="shared" si="6"/>
        <v>90</v>
      </c>
      <c r="Y22" s="109" t="str">
        <f ca="1" t="shared" si="7"/>
        <v>PLW</v>
      </c>
    </row>
    <row r="23" spans="3:25" ht="13.5" thickBot="1">
      <c r="C23" s="19">
        <f ca="1" t="shared" si="8"/>
      </c>
      <c r="D23" s="19" t="str">
        <f ca="1" t="shared" si="8"/>
        <v>CM5</v>
      </c>
      <c r="E23" s="19" t="str">
        <f ca="1" t="shared" si="8"/>
        <v>Spec</v>
      </c>
      <c r="F23" s="20"/>
      <c r="G23" s="20">
        <v>1</v>
      </c>
      <c r="H23" s="19" t="str">
        <f>IF(OR(CompName="CM3",CompName="CM5"),CompName&amp;"Cent",IF(SurfaceList!Flag="Mirror","Vertex",SurfaceList!Flag))</f>
        <v>CM5Cent</v>
      </c>
      <c r="I23" s="83">
        <f ca="1" t="shared" si="9"/>
        <v>0</v>
      </c>
      <c r="J23" s="84">
        <f ca="1" t="shared" si="9"/>
        <v>0</v>
      </c>
      <c r="K23" s="85">
        <f ca="1" t="shared" si="9"/>
        <v>0</v>
      </c>
      <c r="L23" s="86">
        <f ca="1" t="shared" si="10"/>
        <v>0</v>
      </c>
      <c r="M23" s="86">
        <f ca="1" t="shared" si="10"/>
        <v>0</v>
      </c>
      <c r="N23" s="86">
        <f ca="1" t="shared" si="10"/>
        <v>0</v>
      </c>
      <c r="O23" s="83">
        <f ca="1" t="shared" si="11"/>
        <v>0</v>
      </c>
      <c r="P23" s="84">
        <f ca="1" t="shared" si="11"/>
        <v>0</v>
      </c>
      <c r="Q23" s="85">
        <f ca="1" t="shared" si="11"/>
        <v>0</v>
      </c>
      <c r="R23" s="86">
        <f ca="1" t="shared" si="12"/>
        <v>0</v>
      </c>
      <c r="S23" s="86">
        <f ca="1" t="shared" si="12"/>
        <v>0</v>
      </c>
      <c r="T23" s="86">
        <f ca="1" t="shared" si="12"/>
        <v>0</v>
      </c>
      <c r="U23" s="83">
        <f ca="1" t="shared" si="13"/>
        <v>0</v>
      </c>
      <c r="V23" s="84">
        <f ca="1" t="shared" si="13"/>
        <v>0</v>
      </c>
      <c r="W23" s="85">
        <f ca="1" t="shared" si="13"/>
        <v>0</v>
      </c>
      <c r="X23" s="8">
        <f t="shared" si="6"/>
        <v>90</v>
      </c>
      <c r="Y23" s="107" t="str">
        <f ca="1" t="shared" si="7"/>
        <v>CM5</v>
      </c>
    </row>
    <row r="24" spans="3:25" ht="12.75">
      <c r="C24" s="10" t="str">
        <f ca="1" t="shared" si="8"/>
        <v>Spectrometer optics</v>
      </c>
      <c r="D24" s="11" t="str">
        <f ca="1" t="shared" si="8"/>
        <v>SM6</v>
      </c>
      <c r="E24" s="11" t="str">
        <f ca="1" t="shared" si="8"/>
        <v>Spec</v>
      </c>
      <c r="F24" s="12"/>
      <c r="G24" s="12">
        <v>1</v>
      </c>
      <c r="H24" s="11" t="str">
        <f>IF(OR(CompName="CM3",CompName="CM5"),CompName&amp;"Cent",IF(SurfaceList!Flag="Mirror","Vertex",SurfaceList!Flag))</f>
        <v>Vertex</v>
      </c>
      <c r="I24" s="87">
        <f ca="1" t="shared" si="9"/>
        <v>306.150668</v>
      </c>
      <c r="J24" s="88">
        <f ca="1" t="shared" si="9"/>
        <v>33.82</v>
      </c>
      <c r="K24" s="89">
        <f ca="1" t="shared" si="9"/>
        <v>-263.975222</v>
      </c>
      <c r="L24" s="88">
        <f ca="1" t="shared" si="10"/>
        <v>-0.5448036271387428</v>
      </c>
      <c r="M24" s="88">
        <f ca="1" t="shared" si="10"/>
        <v>0.7099523681147767</v>
      </c>
      <c r="N24" s="88">
        <f ca="1" t="shared" si="10"/>
        <v>0.4462696974528858</v>
      </c>
      <c r="O24" s="87">
        <f ca="1" t="shared" si="11"/>
        <v>309.9485322533199</v>
      </c>
      <c r="P24" s="88">
        <f ca="1" t="shared" si="11"/>
        <v>28.87087230313854</v>
      </c>
      <c r="Q24" s="89">
        <f ca="1" t="shared" si="11"/>
        <v>-267.0861993262662</v>
      </c>
      <c r="R24" s="88">
        <f ca="1" t="shared" si="12"/>
        <v>0.6876060018493141</v>
      </c>
      <c r="S24" s="88">
        <f ca="1" t="shared" si="12"/>
        <v>0.6828304098612817</v>
      </c>
      <c r="T24" s="88">
        <f ca="1" t="shared" si="12"/>
        <v>-0.24686153525706456</v>
      </c>
      <c r="U24" s="87">
        <f ca="1" t="shared" si="13"/>
        <v>318.16570301684305</v>
      </c>
      <c r="V24" s="88">
        <f ca="1" t="shared" si="13"/>
        <v>37.03097280439371</v>
      </c>
      <c r="W24" s="89">
        <f ca="1" t="shared" si="13"/>
        <v>-270.0362948529154</v>
      </c>
      <c r="X24" s="12">
        <f t="shared" si="6"/>
        <v>90</v>
      </c>
      <c r="Y24" s="108" t="str">
        <f ca="1" t="shared" si="7"/>
        <v>SM6</v>
      </c>
    </row>
    <row r="25" spans="3:25" ht="12.75">
      <c r="C25" s="18">
        <f ca="1" t="shared" si="8"/>
      </c>
      <c r="D25" s="19" t="str">
        <f ca="1" t="shared" si="8"/>
        <v>SCS</v>
      </c>
      <c r="E25" s="19" t="str">
        <f ca="1" t="shared" si="8"/>
        <v>Spec</v>
      </c>
      <c r="F25" s="20"/>
      <c r="G25" s="20"/>
      <c r="H25" s="19" t="str">
        <f>IF(OR(CompName="CM3",CompName="CM5"),CompName&amp;"Cent",IF(SurfaceList!Flag="Mirror","Vertex",SurfaceList!Flag))</f>
        <v>Hole</v>
      </c>
      <c r="I25" s="83">
        <f ca="1" t="shared" si="9"/>
        <v>314.982809</v>
      </c>
      <c r="J25" s="84">
        <f ca="1" t="shared" si="9"/>
        <v>141.695656</v>
      </c>
      <c r="K25" s="85">
        <f ca="1" t="shared" si="9"/>
        <v>-233.042376</v>
      </c>
      <c r="L25" s="84">
        <f ca="1" t="shared" si="10"/>
        <v>-0.49644749895141155</v>
      </c>
      <c r="M25" s="84">
        <f ca="1" t="shared" si="10"/>
        <v>-0.7528435614080758</v>
      </c>
      <c r="N25" s="84">
        <f ca="1" t="shared" si="10"/>
        <v>-0.4321648445110881</v>
      </c>
      <c r="O25" s="83">
        <f ca="1" t="shared" si="11"/>
      </c>
      <c r="P25" s="84">
        <f ca="1" t="shared" si="11"/>
      </c>
      <c r="Q25" s="85">
        <f ca="1" t="shared" si="11"/>
      </c>
      <c r="R25" s="84">
        <f ca="1" t="shared" si="12"/>
        <v>0.10552311724119295</v>
      </c>
      <c r="S25" s="84">
        <f ca="1" t="shared" si="12"/>
        <v>0.4418171429276573</v>
      </c>
      <c r="T25" s="84">
        <f ca="1" t="shared" si="12"/>
        <v>-0.8908773675107835</v>
      </c>
      <c r="U25" s="83">
        <f ca="1" t="shared" si="13"/>
      </c>
      <c r="V25" s="84">
        <f ca="1" t="shared" si="13"/>
      </c>
      <c r="W25" s="85">
        <f ca="1" t="shared" si="13"/>
      </c>
      <c r="X25" s="20">
        <f t="shared" si="6"/>
        <v>90</v>
      </c>
      <c r="Y25" s="107" t="str">
        <f ca="1" t="shared" si="7"/>
        <v>SCS</v>
      </c>
    </row>
    <row r="26" spans="3:25" ht="12.75">
      <c r="C26" s="18">
        <f ca="1" t="shared" si="8"/>
      </c>
      <c r="D26" s="19" t="str">
        <f ca="1" t="shared" si="8"/>
        <v>SM7</v>
      </c>
      <c r="E26" s="19" t="str">
        <f ca="1" t="shared" si="8"/>
        <v>Spec</v>
      </c>
      <c r="F26" s="20"/>
      <c r="G26" s="20">
        <v>-1</v>
      </c>
      <c r="H26" s="19" t="str">
        <f>IF(OR(CompName="CM3",CompName="CM5"),CompName&amp;"Cent",IF(SurfaceList!Flag="Mirror","Vertex",SurfaceList!Flag))</f>
        <v>Vertex</v>
      </c>
      <c r="I26" s="83">
        <f ca="1" t="shared" si="9"/>
        <v>317.370319</v>
      </c>
      <c r="J26" s="84">
        <f ca="1" t="shared" si="9"/>
        <v>170.856678</v>
      </c>
      <c r="K26" s="85">
        <f ca="1" t="shared" si="9"/>
        <v>-224.680587</v>
      </c>
      <c r="L26" s="84">
        <f ca="1" t="shared" si="10"/>
        <v>0.6505602727317011</v>
      </c>
      <c r="M26" s="84">
        <f ca="1" t="shared" si="10"/>
        <v>-0.6878624431607016</v>
      </c>
      <c r="N26" s="84">
        <f ca="1" t="shared" si="10"/>
        <v>-0.32189531036075236</v>
      </c>
      <c r="O26" s="83">
        <f ca="1" t="shared" si="11"/>
        <v>312.83521776101986</v>
      </c>
      <c r="P26" s="84">
        <f ca="1" t="shared" si="11"/>
        <v>175.65181528240294</v>
      </c>
      <c r="Q26" s="85">
        <f ca="1" t="shared" si="11"/>
        <v>-222.43663223972985</v>
      </c>
      <c r="R26" s="84">
        <f ca="1" t="shared" si="12"/>
        <v>0.7553847183992874</v>
      </c>
      <c r="S26" s="84">
        <f ca="1" t="shared" si="12"/>
        <v>0.6298970733282109</v>
      </c>
      <c r="T26" s="84">
        <f ca="1" t="shared" si="12"/>
        <v>0.18062005487039234</v>
      </c>
      <c r="U26" s="83">
        <f ca="1" t="shared" si="13"/>
        <v>303.8080638290461</v>
      </c>
      <c r="V26" s="84">
        <f ca="1" t="shared" si="13"/>
        <v>168.12428963390568</v>
      </c>
      <c r="W26" s="85">
        <f ca="1" t="shared" si="13"/>
        <v>-224.5951151939147</v>
      </c>
      <c r="X26" s="20">
        <f t="shared" si="6"/>
        <v>90</v>
      </c>
      <c r="Y26" s="107" t="str">
        <f ca="1" t="shared" si="7"/>
        <v>SM7</v>
      </c>
    </row>
    <row r="27" spans="3:25" ht="13.5" thickBot="1">
      <c r="C27" s="14">
        <f ca="1" t="shared" si="8"/>
      </c>
      <c r="D27" s="15" t="str">
        <f ca="1" t="shared" si="8"/>
        <v>SM8A</v>
      </c>
      <c r="E27" s="15" t="str">
        <f ca="1" t="shared" si="8"/>
        <v>Spec</v>
      </c>
      <c r="F27" s="16"/>
      <c r="G27" s="16">
        <v>-1</v>
      </c>
      <c r="H27" s="15" t="str">
        <f>IF(OR(CompName="CM3",CompName="CM5"),CompName&amp;"Cent",IF(SurfaceList!Flag="Mirror","Vertex",SurfaceList!Flag))</f>
        <v>Vertex</v>
      </c>
      <c r="I27" s="90">
        <f ca="1" t="shared" si="9"/>
        <v>373.504361</v>
      </c>
      <c r="J27" s="91">
        <f ca="1" t="shared" si="9"/>
        <v>170.856678</v>
      </c>
      <c r="K27" s="92">
        <f ca="1" t="shared" si="9"/>
        <v>-234.578533</v>
      </c>
      <c r="L27" s="91">
        <f ca="1" t="shared" si="10"/>
        <v>-0.984807753012208</v>
      </c>
      <c r="M27" s="91">
        <f ca="1" t="shared" si="10"/>
        <v>0</v>
      </c>
      <c r="N27" s="91">
        <f ca="1" t="shared" si="10"/>
        <v>-0.17364817766693033</v>
      </c>
      <c r="O27" s="90">
        <f ca="1" t="shared" si="11"/>
        <v>380.3695248411447</v>
      </c>
      <c r="P27" s="91">
        <f ca="1" t="shared" si="11"/>
        <v>170.856678</v>
      </c>
      <c r="Q27" s="92">
        <f ca="1" t="shared" si="11"/>
        <v>-233.36801938782202</v>
      </c>
      <c r="R27" s="91">
        <f ca="1" t="shared" si="12"/>
        <v>-0.018814150275320164</v>
      </c>
      <c r="S27" s="91">
        <f ca="1" t="shared" si="12"/>
        <v>0.9941132045189992</v>
      </c>
      <c r="T27" s="91">
        <f ca="1" t="shared" si="12"/>
        <v>0.10670034840797878</v>
      </c>
      <c r="U27" s="90">
        <f ca="1" t="shared" si="13"/>
        <v>380.59436157201543</v>
      </c>
      <c r="V27" s="91">
        <f ca="1" t="shared" si="13"/>
        <v>158.9766217790888</v>
      </c>
      <c r="W27" s="92">
        <f ca="1" t="shared" si="13"/>
        <v>-234.64313185199146</v>
      </c>
      <c r="X27" s="16">
        <f t="shared" si="6"/>
        <v>90</v>
      </c>
      <c r="Y27" s="109" t="str">
        <f ca="1" t="shared" si="7"/>
        <v>SM8A</v>
      </c>
    </row>
    <row r="28" spans="3:25" ht="12.75">
      <c r="C28" s="10" t="str">
        <f ca="1" t="shared" si="8"/>
        <v>Upper arm</v>
      </c>
      <c r="D28" s="11" t="str">
        <f ca="1" t="shared" si="8"/>
        <v>SBS1</v>
      </c>
      <c r="E28" s="11" t="str">
        <f ca="1" t="shared" si="8"/>
        <v>Spec</v>
      </c>
      <c r="F28" s="12"/>
      <c r="G28" s="12"/>
      <c r="H28" s="11" t="str">
        <f>IF(OR(CompName="CM3",CompName="CM5"),CompName&amp;"Cent",IF(SurfaceList!Flag="Mirror","Vertex",SurfaceList!Flag))</f>
        <v>Hole</v>
      </c>
      <c r="I28" s="87">
        <f ca="1" t="shared" si="9"/>
        <v>223.12771</v>
      </c>
      <c r="J28" s="88">
        <f ca="1" t="shared" si="9"/>
        <v>170.856678</v>
      </c>
      <c r="K28" s="89">
        <f ca="1" t="shared" si="9"/>
        <v>-321.398533</v>
      </c>
      <c r="L28" s="88">
        <f ca="1" t="shared" si="10"/>
        <v>0.9999999999999998</v>
      </c>
      <c r="M28" s="88">
        <f ca="1" t="shared" si="10"/>
        <v>0</v>
      </c>
      <c r="N28" s="88">
        <f ca="1" t="shared" si="10"/>
        <v>-1.8325957145940456E-08</v>
      </c>
      <c r="O28" s="87">
        <f ca="1" t="shared" si="11"/>
      </c>
      <c r="P28" s="88">
        <f ca="1" t="shared" si="11"/>
      </c>
      <c r="Q28" s="89">
        <f ca="1" t="shared" si="11"/>
      </c>
      <c r="R28" s="88">
        <f ca="1" t="shared" si="12"/>
        <v>-3.3584070531484604E-16</v>
      </c>
      <c r="S28" s="88">
        <f ca="1" t="shared" si="12"/>
        <v>0.9999999999999998</v>
      </c>
      <c r="T28" s="88">
        <f ca="1" t="shared" si="12"/>
        <v>-1.8325957145940453E-08</v>
      </c>
      <c r="U28" s="87">
        <f ca="1" t="shared" si="13"/>
      </c>
      <c r="V28" s="88">
        <f ca="1" t="shared" si="13"/>
      </c>
      <c r="W28" s="89">
        <f ca="1" t="shared" si="13"/>
      </c>
      <c r="X28" s="12">
        <f t="shared" si="6"/>
        <v>90</v>
      </c>
      <c r="Y28" s="108" t="str">
        <f ca="1" t="shared" si="7"/>
        <v>SBS1</v>
      </c>
    </row>
    <row r="29" spans="3:25" ht="12.75">
      <c r="C29" s="18">
        <f ca="1" t="shared" si="8"/>
      </c>
      <c r="D29" s="19" t="str">
        <f ca="1" t="shared" si="8"/>
        <v>SM9A</v>
      </c>
      <c r="E29" s="19" t="str">
        <f ca="1" t="shared" si="8"/>
        <v>Spec</v>
      </c>
      <c r="F29" s="20"/>
      <c r="G29" s="20">
        <v>-1</v>
      </c>
      <c r="H29" s="19" t="str">
        <f>IF(OR(CompName="CM3",CompName="CM5"),CompName&amp;"Cent",IF(SurfaceList!Flag="Mirror","Vertex",SurfaceList!Flag))</f>
        <v>Vertex</v>
      </c>
      <c r="I29" s="83">
        <f ca="1" t="shared" si="9"/>
        <v>373.12331</v>
      </c>
      <c r="J29" s="84">
        <f ca="1" t="shared" si="9"/>
        <v>170.856678</v>
      </c>
      <c r="K29" s="85">
        <f ca="1" t="shared" si="9"/>
        <v>-407.998533</v>
      </c>
      <c r="L29" s="84">
        <f ca="1" t="shared" si="10"/>
        <v>-0.9659258262890683</v>
      </c>
      <c r="M29" s="84">
        <f ca="1" t="shared" si="10"/>
        <v>0</v>
      </c>
      <c r="N29" s="84">
        <f ca="1" t="shared" si="10"/>
        <v>0.25881904510252074</v>
      </c>
      <c r="O29" s="83">
        <f ca="1" t="shared" si="11"/>
        <v>379.856846607104</v>
      </c>
      <c r="P29" s="84">
        <f ca="1" t="shared" si="11"/>
        <v>170.856678</v>
      </c>
      <c r="Q29" s="85">
        <f ca="1" t="shared" si="11"/>
        <v>-409.8027786960789</v>
      </c>
      <c r="R29" s="84">
        <f ca="1" t="shared" si="12"/>
        <v>0</v>
      </c>
      <c r="S29" s="84">
        <f ca="1" t="shared" si="12"/>
        <v>1</v>
      </c>
      <c r="T29" s="84">
        <f ca="1" t="shared" si="12"/>
        <v>0</v>
      </c>
      <c r="U29" s="83">
        <f ca="1" t="shared" si="13"/>
        <v>379.856846607104</v>
      </c>
      <c r="V29" s="84">
        <f ca="1" t="shared" si="13"/>
        <v>158.90627218413582</v>
      </c>
      <c r="W29" s="85">
        <f ca="1" t="shared" si="13"/>
        <v>-409.8027786960789</v>
      </c>
      <c r="X29" s="20">
        <f t="shared" si="6"/>
        <v>90</v>
      </c>
      <c r="Y29" s="107" t="str">
        <f ca="1" t="shared" si="7"/>
        <v>SM9A</v>
      </c>
    </row>
    <row r="30" spans="3:25" ht="12.75">
      <c r="C30" s="18">
        <f ca="1" t="shared" si="8"/>
      </c>
      <c r="D30" s="19" t="str">
        <f ca="1" t="shared" si="8"/>
        <v>SRTA1</v>
      </c>
      <c r="E30" s="19" t="str">
        <f ca="1" t="shared" si="8"/>
        <v>Spec</v>
      </c>
      <c r="F30" s="20"/>
      <c r="G30" s="20">
        <v>-1</v>
      </c>
      <c r="H30" s="19" t="str">
        <f>IF(OR(CompName="CM3",CompName="CM5"),CompName&amp;"Cent",IF(SurfaceList!Flag="Mirror","Vertex",SurfaceList!Flag))</f>
        <v>Vertex</v>
      </c>
      <c r="I30" s="83">
        <f ca="1" t="shared" si="9"/>
        <v>248.12331</v>
      </c>
      <c r="J30" s="84">
        <f ca="1" t="shared" si="9"/>
        <v>170.856678</v>
      </c>
      <c r="K30" s="85">
        <f ca="1" t="shared" si="9"/>
        <v>-407.998533</v>
      </c>
      <c r="L30" s="84">
        <f ca="1" t="shared" si="10"/>
        <v>0.7071067811865476</v>
      </c>
      <c r="M30" s="84">
        <f ca="1" t="shared" si="10"/>
        <v>0</v>
      </c>
      <c r="N30" s="84">
        <f ca="1" t="shared" si="10"/>
        <v>-0.7071067811865475</v>
      </c>
      <c r="O30" s="83">
        <f ca="1" t="shared" si="11"/>
        <v>243.19401908897493</v>
      </c>
      <c r="P30" s="84">
        <f ca="1" t="shared" si="11"/>
        <v>170.856678</v>
      </c>
      <c r="Q30" s="85">
        <f ca="1" t="shared" si="11"/>
        <v>-403.06924208897493</v>
      </c>
      <c r="R30" s="84">
        <f ca="1" t="shared" si="12"/>
        <v>0</v>
      </c>
      <c r="S30" s="84">
        <f ca="1" t="shared" si="12"/>
        <v>1</v>
      </c>
      <c r="T30" s="84">
        <f ca="1" t="shared" si="12"/>
        <v>0</v>
      </c>
      <c r="U30" s="83">
        <f ca="1" t="shared" si="13"/>
        <v>243.19401908897493</v>
      </c>
      <c r="V30" s="84">
        <f ca="1" t="shared" si="13"/>
        <v>158.90627218413582</v>
      </c>
      <c r="W30" s="85">
        <f ca="1" t="shared" si="13"/>
        <v>-403.06924208897493</v>
      </c>
      <c r="X30" s="20">
        <f t="shared" si="6"/>
        <v>90</v>
      </c>
      <c r="Y30" s="107" t="str">
        <f ca="1" t="shared" si="7"/>
        <v>SRTA1</v>
      </c>
    </row>
    <row r="31" spans="3:25" ht="12.75">
      <c r="C31" s="18">
        <f ca="1" t="shared" si="8"/>
      </c>
      <c r="D31" s="19" t="str">
        <f ca="1" t="shared" si="8"/>
        <v>SRTA2</v>
      </c>
      <c r="E31" s="19" t="str">
        <f ca="1" t="shared" si="8"/>
        <v>Spec</v>
      </c>
      <c r="F31" s="20"/>
      <c r="G31" s="20">
        <v>-1</v>
      </c>
      <c r="H31" s="19" t="str">
        <f>IF(OR(CompName="CM3",CompName="CM5"),CompName&amp;"Cent",IF(SurfaceList!Flag="Mirror","Vertex",SurfaceList!Flag))</f>
        <v>Vertex</v>
      </c>
      <c r="I31" s="83">
        <f ca="1" t="shared" si="9"/>
        <v>248.12331</v>
      </c>
      <c r="J31" s="84">
        <f ca="1" t="shared" si="9"/>
        <v>170.856678</v>
      </c>
      <c r="K31" s="85">
        <f ca="1" t="shared" si="9"/>
        <v>-457.998533</v>
      </c>
      <c r="L31" s="84">
        <f ca="1" t="shared" si="10"/>
        <v>0.7071067811865475</v>
      </c>
      <c r="M31" s="84">
        <f ca="1" t="shared" si="10"/>
        <v>0</v>
      </c>
      <c r="N31" s="84">
        <f ca="1" t="shared" si="10"/>
        <v>0.7071067811865476</v>
      </c>
      <c r="O31" s="83">
        <f ca="1" t="shared" si="11"/>
        <v>243.19401908897493</v>
      </c>
      <c r="P31" s="84">
        <f ca="1" t="shared" si="11"/>
        <v>170.856678</v>
      </c>
      <c r="Q31" s="85">
        <f ca="1" t="shared" si="11"/>
        <v>-462.9278239110251</v>
      </c>
      <c r="R31" s="84">
        <f ca="1" t="shared" si="12"/>
        <v>0</v>
      </c>
      <c r="S31" s="84">
        <f ca="1" t="shared" si="12"/>
        <v>1</v>
      </c>
      <c r="T31" s="84">
        <f ca="1" t="shared" si="12"/>
        <v>0</v>
      </c>
      <c r="U31" s="83">
        <f ca="1" t="shared" si="13"/>
        <v>243.19401908897493</v>
      </c>
      <c r="V31" s="84">
        <f ca="1" t="shared" si="13"/>
        <v>158.90627218413582</v>
      </c>
      <c r="W31" s="85">
        <f ca="1" t="shared" si="13"/>
        <v>-462.9278239110251</v>
      </c>
      <c r="X31" s="20">
        <f t="shared" si="6"/>
        <v>90</v>
      </c>
      <c r="Y31" s="107" t="str">
        <f ca="1" t="shared" si="7"/>
        <v>SRTA2</v>
      </c>
    </row>
    <row r="32" spans="3:25" ht="12.75">
      <c r="C32" s="18">
        <f ca="1" t="shared" si="8"/>
      </c>
      <c r="D32" s="19" t="str">
        <f ca="1" t="shared" si="8"/>
        <v>SM10A</v>
      </c>
      <c r="E32" s="19" t="str">
        <f ca="1" t="shared" si="8"/>
        <v>Spec</v>
      </c>
      <c r="F32" s="20"/>
      <c r="G32" s="20">
        <v>-1</v>
      </c>
      <c r="H32" s="19" t="str">
        <f>IF(OR(CompName="CM3",CompName="CM5"),CompName&amp;"Cent",IF(SurfaceList!Flag="Mirror","Vertex",SurfaceList!Flag))</f>
        <v>Vertex</v>
      </c>
      <c r="I32" s="83">
        <f ca="1" t="shared" si="9"/>
        <v>373.12331</v>
      </c>
      <c r="J32" s="84">
        <f ca="1" t="shared" si="9"/>
        <v>170.856678</v>
      </c>
      <c r="K32" s="85">
        <f ca="1" t="shared" si="9"/>
        <v>-457.998533</v>
      </c>
      <c r="L32" s="84">
        <f ca="1" t="shared" si="10"/>
        <v>-0.9659258262890682</v>
      </c>
      <c r="M32" s="84">
        <f ca="1" t="shared" si="10"/>
        <v>0</v>
      </c>
      <c r="N32" s="84">
        <f ca="1" t="shared" si="10"/>
        <v>-0.258819045102521</v>
      </c>
      <c r="O32" s="83">
        <f ca="1" t="shared" si="11"/>
        <v>379.856846607104</v>
      </c>
      <c r="P32" s="84">
        <f ca="1" t="shared" si="11"/>
        <v>170.856678</v>
      </c>
      <c r="Q32" s="85">
        <f ca="1" t="shared" si="11"/>
        <v>-456.1942873039211</v>
      </c>
      <c r="R32" s="84">
        <f ca="1" t="shared" si="12"/>
        <v>0</v>
      </c>
      <c r="S32" s="84">
        <f ca="1" t="shared" si="12"/>
        <v>1</v>
      </c>
      <c r="T32" s="84">
        <f ca="1" t="shared" si="12"/>
        <v>0</v>
      </c>
      <c r="U32" s="83">
        <f ca="1" t="shared" si="13"/>
        <v>379.856846607104</v>
      </c>
      <c r="V32" s="84">
        <f ca="1" t="shared" si="13"/>
        <v>158.90627218413582</v>
      </c>
      <c r="W32" s="85">
        <f ca="1" t="shared" si="13"/>
        <v>-456.1942873039211</v>
      </c>
      <c r="X32" s="20">
        <f t="shared" si="6"/>
        <v>90</v>
      </c>
      <c r="Y32" s="107" t="str">
        <f ca="1" t="shared" si="7"/>
        <v>SM10A</v>
      </c>
    </row>
    <row r="33" spans="3:25" ht="12.75">
      <c r="C33" s="18">
        <f ca="1" t="shared" si="8"/>
      </c>
      <c r="D33" s="19" t="str">
        <f ca="1" t="shared" si="8"/>
        <v>SBS2</v>
      </c>
      <c r="E33" s="19" t="str">
        <f ca="1" t="shared" si="8"/>
        <v>Spec</v>
      </c>
      <c r="F33" s="20"/>
      <c r="G33" s="20"/>
      <c r="H33" s="19" t="str">
        <f>IF(OR(CompName="CM3",CompName="CM5"),CompName&amp;"Cent",IF(SurfaceList!Flag="Mirror","Vertex",SurfaceList!Flag))</f>
        <v>Hole</v>
      </c>
      <c r="I33" s="83">
        <f ca="1" t="shared" si="9"/>
        <v>223.12771</v>
      </c>
      <c r="J33" s="84">
        <f ca="1" t="shared" si="9"/>
        <v>170.856678</v>
      </c>
      <c r="K33" s="85">
        <f ca="1" t="shared" si="9"/>
        <v>-544.598533</v>
      </c>
      <c r="L33" s="84">
        <f ca="1" t="shared" si="10"/>
        <v>1</v>
      </c>
      <c r="M33" s="84">
        <f ca="1" t="shared" si="10"/>
        <v>0</v>
      </c>
      <c r="N33" s="84">
        <f ca="1" t="shared" si="10"/>
        <v>1.22514845490862E-16</v>
      </c>
      <c r="O33" s="83">
        <f ca="1" t="shared" si="11"/>
      </c>
      <c r="P33" s="84">
        <f ca="1" t="shared" si="11"/>
      </c>
      <c r="Q33" s="85">
        <f ca="1" t="shared" si="11"/>
      </c>
      <c r="R33" s="84">
        <f ca="1" t="shared" si="12"/>
        <v>-2.587327798029081E-24</v>
      </c>
      <c r="S33" s="84">
        <f ca="1" t="shared" si="12"/>
        <v>0.9999999999999998</v>
      </c>
      <c r="T33" s="84">
        <f ca="1" t="shared" si="12"/>
        <v>2.1118483949131386E-08</v>
      </c>
      <c r="U33" s="83">
        <f ca="1" t="shared" si="13"/>
      </c>
      <c r="V33" s="84">
        <f ca="1" t="shared" si="13"/>
      </c>
      <c r="W33" s="85">
        <f ca="1" t="shared" si="13"/>
      </c>
      <c r="X33" s="20">
        <f t="shared" si="6"/>
        <v>90</v>
      </c>
      <c r="Y33" s="107" t="str">
        <f ca="1" t="shared" si="7"/>
        <v>SBS2</v>
      </c>
    </row>
    <row r="34" spans="3:25" ht="12.75">
      <c r="C34" s="18">
        <f ca="1" t="shared" si="8"/>
      </c>
      <c r="D34" s="19" t="str">
        <f ca="1" t="shared" si="8"/>
        <v>SM11A</v>
      </c>
      <c r="E34" s="19" t="str">
        <f ca="1" t="shared" si="8"/>
        <v>Spec</v>
      </c>
      <c r="F34" s="20"/>
      <c r="G34" s="20">
        <v>-1</v>
      </c>
      <c r="H34" s="19" t="str">
        <f>IF(OR(CompName="CM3",CompName="CM5"),CompName&amp;"Cent",IF(SurfaceList!Flag="Mirror","Vertex",SurfaceList!Flag))</f>
        <v>Vertex</v>
      </c>
      <c r="I34" s="83">
        <f ca="1" t="shared" si="9"/>
        <v>354.74625000000003</v>
      </c>
      <c r="J34" s="84">
        <f ca="1" t="shared" si="9"/>
        <v>170.856678</v>
      </c>
      <c r="K34" s="85">
        <f ca="1" t="shared" si="9"/>
        <v>-620.588533</v>
      </c>
      <c r="L34" s="84">
        <f ca="1" t="shared" si="10"/>
        <v>-0.984807753012208</v>
      </c>
      <c r="M34" s="84">
        <f ca="1" t="shared" si="10"/>
        <v>0</v>
      </c>
      <c r="N34" s="84">
        <f ca="1" t="shared" si="10"/>
        <v>0.17364817766693028</v>
      </c>
      <c r="O34" s="83">
        <f ca="1" t="shared" si="11"/>
        <v>361.6114138411447</v>
      </c>
      <c r="P34" s="84">
        <f ca="1" t="shared" si="11"/>
        <v>170.856678</v>
      </c>
      <c r="Q34" s="85">
        <f ca="1" t="shared" si="11"/>
        <v>-621.7990466121779</v>
      </c>
      <c r="R34" s="84">
        <f ca="1" t="shared" si="12"/>
        <v>0</v>
      </c>
      <c r="S34" s="84">
        <f ca="1" t="shared" si="12"/>
        <v>1</v>
      </c>
      <c r="T34" s="84">
        <f ca="1" t="shared" si="12"/>
        <v>0</v>
      </c>
      <c r="U34" s="83">
        <f ca="1" t="shared" si="13"/>
        <v>361.6114138411447</v>
      </c>
      <c r="V34" s="84">
        <f ca="1" t="shared" si="13"/>
        <v>158.90627218413582</v>
      </c>
      <c r="W34" s="85">
        <f ca="1" t="shared" si="13"/>
        <v>-621.7990466121779</v>
      </c>
      <c r="X34" s="20">
        <f t="shared" si="6"/>
        <v>90</v>
      </c>
      <c r="Y34" s="107" t="str">
        <f ca="1" t="shared" si="7"/>
        <v>SM11A</v>
      </c>
    </row>
    <row r="35" spans="3:25" ht="12.75">
      <c r="C35" s="18">
        <f ca="1" t="shared" si="8"/>
      </c>
      <c r="D35" s="19" t="str">
        <f ca="1" t="shared" si="8"/>
        <v>SM12A</v>
      </c>
      <c r="E35" s="19" t="str">
        <f ca="1" t="shared" si="8"/>
        <v>Spec</v>
      </c>
      <c r="F35" s="20"/>
      <c r="G35" s="20">
        <v>-1</v>
      </c>
      <c r="H35" s="19" t="str">
        <f>IF(OR(CompName="CM3",CompName="CM5"),CompName&amp;"Cent",IF(SurfaceList!Flag="Mirror","Vertex",SurfaceList!Flag))</f>
        <v>Vertex</v>
      </c>
      <c r="I35" s="83">
        <f ca="1" t="shared" si="9"/>
        <v>263.582597</v>
      </c>
      <c r="J35" s="84">
        <f ca="1" t="shared" si="9"/>
        <v>170.856678</v>
      </c>
      <c r="K35" s="85">
        <f ca="1" t="shared" si="9"/>
        <v>-636.663145</v>
      </c>
      <c r="L35" s="84">
        <f ca="1" t="shared" si="10"/>
        <v>0.696364240320019</v>
      </c>
      <c r="M35" s="84">
        <f ca="1" t="shared" si="10"/>
        <v>0.7071067811865475</v>
      </c>
      <c r="N35" s="84">
        <f ca="1" t="shared" si="10"/>
        <v>0.1227878039689728</v>
      </c>
      <c r="O35" s="83">
        <f ca="1" t="shared" si="11"/>
        <v>258.72819309396994</v>
      </c>
      <c r="P35" s="84">
        <f ca="1" t="shared" si="11"/>
        <v>165.9273870889749</v>
      </c>
      <c r="Q35" s="85">
        <f ca="1" t="shared" si="11"/>
        <v>-637.5191073838896</v>
      </c>
      <c r="R35" s="84">
        <f ca="1" t="shared" si="12"/>
        <v>-0.6963642403200189</v>
      </c>
      <c r="S35" s="84">
        <f ca="1" t="shared" si="12"/>
        <v>0.7071067811865476</v>
      </c>
      <c r="T35" s="84">
        <f ca="1" t="shared" si="12"/>
        <v>-0.12278780396897278</v>
      </c>
      <c r="U35" s="83">
        <f ca="1" t="shared" si="13"/>
        <v>267.05002836145013</v>
      </c>
      <c r="V35" s="84">
        <f ca="1" t="shared" si="13"/>
        <v>157.4771740986462</v>
      </c>
      <c r="W35" s="85">
        <f ca="1" t="shared" si="13"/>
        <v>-636.0517432972216</v>
      </c>
      <c r="X35" s="20">
        <f t="shared" si="6"/>
        <v>90</v>
      </c>
      <c r="Y35" s="107" t="str">
        <f ca="1" t="shared" si="7"/>
        <v>SM12A</v>
      </c>
    </row>
    <row r="36" spans="3:25" ht="12.75">
      <c r="C36" s="18">
        <f ca="1" t="shared" si="8"/>
      </c>
      <c r="D36" s="19" t="str">
        <f ca="1" t="shared" si="8"/>
        <v>SFLA</v>
      </c>
      <c r="E36" s="19" t="str">
        <f ca="1" t="shared" si="8"/>
        <v>Spec</v>
      </c>
      <c r="F36" s="20"/>
      <c r="G36" s="20">
        <v>-1</v>
      </c>
      <c r="H36" s="19" t="str">
        <f>IF(OR(CompName="CM3",CompName="CM5"),CompName&amp;"Cent",IF(SurfaceList!Flag="Mirror","Vertex",SurfaceList!Flag))</f>
        <v>Hole</v>
      </c>
      <c r="I36" s="83">
        <f ca="1" t="shared" si="9"/>
        <v>263.582597</v>
      </c>
      <c r="J36" s="84">
        <f ca="1" t="shared" si="9"/>
        <v>236.756678</v>
      </c>
      <c r="K36" s="85">
        <f ca="1" t="shared" si="9"/>
        <v>-636.663145</v>
      </c>
      <c r="L36" s="84">
        <f ca="1" t="shared" si="10"/>
        <v>-6.032678484924683E-17</v>
      </c>
      <c r="M36" s="84">
        <f ca="1" t="shared" si="10"/>
        <v>-1</v>
      </c>
      <c r="N36" s="84">
        <f ca="1" t="shared" si="10"/>
        <v>-1.0637239828316857E-17</v>
      </c>
      <c r="O36" s="83">
        <f ca="1" t="shared" si="11"/>
      </c>
      <c r="P36" s="84">
        <f ca="1" t="shared" si="11"/>
      </c>
      <c r="Q36" s="85">
        <f ca="1" t="shared" si="11"/>
      </c>
      <c r="R36" s="84">
        <f ca="1" t="shared" si="12"/>
        <v>-0.984807753012208</v>
      </c>
      <c r="S36" s="84">
        <f ca="1" t="shared" si="12"/>
        <v>6.1257422745431E-17</v>
      </c>
      <c r="T36" s="84">
        <f ca="1" t="shared" si="12"/>
        <v>-0.17364817766693028</v>
      </c>
      <c r="U36" s="83">
        <f ca="1" t="shared" si="13"/>
      </c>
      <c r="V36" s="84">
        <f ca="1" t="shared" si="13"/>
      </c>
      <c r="W36" s="85">
        <f ca="1" t="shared" si="13"/>
      </c>
      <c r="X36" s="20">
        <f t="shared" si="6"/>
        <v>90</v>
      </c>
      <c r="Y36" s="107" t="str">
        <f ca="1" t="shared" si="7"/>
        <v>SFLA</v>
      </c>
    </row>
    <row r="37" spans="3:25" ht="13.5" thickBot="1">
      <c r="C37" s="14">
        <f ca="1" t="shared" si="8"/>
      </c>
      <c r="D37" s="15" t="str">
        <f ca="1" t="shared" si="8"/>
        <v>SSW</v>
      </c>
      <c r="E37" s="15" t="str">
        <f ca="1" t="shared" si="8"/>
        <v>Spec</v>
      </c>
      <c r="F37" s="16"/>
      <c r="G37" s="16"/>
      <c r="H37" s="15" t="str">
        <f>IF(OR(CompName="CM3",CompName="CM5"),CompName&amp;"Cent",IF(SurfaceList!Flag="Mirror","Vertex",SurfaceList!Flag))</f>
        <v>Det</v>
      </c>
      <c r="I37" s="90">
        <f ca="1" t="shared" si="9"/>
        <v>263.582597</v>
      </c>
      <c r="J37" s="91">
        <f ca="1" t="shared" si="9"/>
        <v>250.856678</v>
      </c>
      <c r="K37" s="92">
        <f ca="1" t="shared" si="9"/>
        <v>-636.663145</v>
      </c>
      <c r="L37" s="91">
        <f ca="1" t="shared" si="10"/>
        <v>-6.1257422745431E-17</v>
      </c>
      <c r="M37" s="91">
        <f ca="1" t="shared" si="10"/>
        <v>-1</v>
      </c>
      <c r="N37" s="91">
        <f ca="1" t="shared" si="10"/>
        <v>7.504943682824895E-33</v>
      </c>
      <c r="O37" s="90">
        <f ca="1" t="shared" si="11"/>
      </c>
      <c r="P37" s="91">
        <f ca="1" t="shared" si="11"/>
      </c>
      <c r="Q37" s="92">
        <f ca="1" t="shared" si="11"/>
      </c>
      <c r="R37" s="91">
        <f ca="1" t="shared" si="12"/>
        <v>-1</v>
      </c>
      <c r="S37" s="91">
        <f ca="1" t="shared" si="12"/>
        <v>6.1257422745431E-17</v>
      </c>
      <c r="T37" s="91">
        <f ca="1" t="shared" si="12"/>
        <v>1.22514845490862E-16</v>
      </c>
      <c r="U37" s="90">
        <f ca="1" t="shared" si="13"/>
      </c>
      <c r="V37" s="91">
        <f ca="1" t="shared" si="13"/>
      </c>
      <c r="W37" s="92">
        <f ca="1" t="shared" si="13"/>
      </c>
      <c r="X37" s="16">
        <f t="shared" si="6"/>
        <v>90</v>
      </c>
      <c r="Y37" s="109" t="str">
        <f ca="1" t="shared" si="7"/>
        <v>SSW</v>
      </c>
    </row>
    <row r="38" spans="1:25" ht="12.75">
      <c r="A38" s="23"/>
      <c r="C38" s="10" t="str">
        <f ca="1" t="shared" si="8"/>
        <v>Lower arm</v>
      </c>
      <c r="D38" s="11" t="str">
        <f ca="1" t="shared" si="8"/>
        <v>SCAL</v>
      </c>
      <c r="E38" s="11" t="str">
        <f ca="1" t="shared" si="8"/>
        <v>Spec</v>
      </c>
      <c r="F38" s="20"/>
      <c r="G38" s="20"/>
      <c r="H38" s="19" t="str">
        <f>IF(OR(CompName="CM3",CompName="CM5"),CompName&amp;"Cent",IF(SurfaceList!Flag="Mirror","Vertex",SurfaceList!Flag))</f>
        <v>Hole</v>
      </c>
      <c r="I38" s="83">
        <f ca="1" t="shared" si="9"/>
        <v>158.8528</v>
      </c>
      <c r="J38" s="84">
        <f ca="1" t="shared" si="9"/>
        <v>170.856678</v>
      </c>
      <c r="K38" s="85">
        <f ca="1" t="shared" si="9"/>
        <v>-219.396473</v>
      </c>
      <c r="L38" s="86">
        <f ca="1" t="shared" si="10"/>
        <v>0.984807753012208</v>
      </c>
      <c r="M38" s="86">
        <f ca="1" t="shared" si="10"/>
        <v>0</v>
      </c>
      <c r="N38" s="86">
        <f ca="1" t="shared" si="10"/>
        <v>0.17364817766693033</v>
      </c>
      <c r="O38" s="83">
        <f ca="1" t="shared" si="11"/>
      </c>
      <c r="P38" s="84">
        <f ca="1" t="shared" si="11"/>
      </c>
      <c r="Q38" s="85">
        <f ca="1" t="shared" si="11"/>
      </c>
      <c r="R38" s="86">
        <f ca="1" t="shared" si="12"/>
        <v>0</v>
      </c>
      <c r="S38" s="86">
        <f ca="1" t="shared" si="12"/>
        <v>1</v>
      </c>
      <c r="T38" s="86">
        <f ca="1" t="shared" si="12"/>
        <v>0</v>
      </c>
      <c r="U38" s="83">
        <f ca="1" t="shared" si="13"/>
      </c>
      <c r="V38" s="84">
        <f ca="1" t="shared" si="13"/>
      </c>
      <c r="W38" s="85">
        <f ca="1" t="shared" si="13"/>
      </c>
      <c r="X38" s="8">
        <f t="shared" si="6"/>
        <v>90</v>
      </c>
      <c r="Y38" s="107" t="str">
        <f ca="1" t="shared" si="7"/>
        <v>SCAL</v>
      </c>
    </row>
    <row r="39" spans="3:25" ht="12.75">
      <c r="C39" s="18">
        <f ca="1" t="shared" si="8"/>
      </c>
      <c r="D39" s="19" t="str">
        <f ca="1" t="shared" si="8"/>
        <v>SM8B</v>
      </c>
      <c r="E39" s="19" t="str">
        <f ca="1" t="shared" si="8"/>
        <v>Spec</v>
      </c>
      <c r="F39" s="20"/>
      <c r="G39" s="20">
        <v>-1</v>
      </c>
      <c r="H39" s="19" t="str">
        <f>IF(OR(CompName="CM3",CompName="CM5"),CompName&amp;"Cent",IF(SurfaceList!Flag="Mirror","Vertex",SurfaceList!Flag))</f>
        <v>Vertex</v>
      </c>
      <c r="I39" s="83">
        <f ca="1" t="shared" si="9"/>
        <v>72.751059</v>
      </c>
      <c r="J39" s="84">
        <f ca="1" t="shared" si="9"/>
        <v>170.856678</v>
      </c>
      <c r="K39" s="85">
        <f ca="1" t="shared" si="9"/>
        <v>-234.578533</v>
      </c>
      <c r="L39" s="84">
        <f ca="1" t="shared" si="10"/>
        <v>0.984807753012208</v>
      </c>
      <c r="M39" s="84">
        <f ca="1" t="shared" si="10"/>
        <v>0</v>
      </c>
      <c r="N39" s="84">
        <f ca="1" t="shared" si="10"/>
        <v>-0.17364817766693033</v>
      </c>
      <c r="O39" s="83">
        <f ca="1" t="shared" si="11"/>
        <v>65.88589515885529</v>
      </c>
      <c r="P39" s="84">
        <f ca="1" t="shared" si="11"/>
        <v>170.856678</v>
      </c>
      <c r="Q39" s="85">
        <f ca="1" t="shared" si="11"/>
        <v>-233.36801938782202</v>
      </c>
      <c r="R39" s="84">
        <f ca="1" t="shared" si="12"/>
        <v>0.018814150275320164</v>
      </c>
      <c r="S39" s="84">
        <f ca="1" t="shared" si="12"/>
        <v>0.9941132045189992</v>
      </c>
      <c r="T39" s="84">
        <f ca="1" t="shared" si="12"/>
        <v>0.10670034840797878</v>
      </c>
      <c r="U39" s="83">
        <f ca="1" t="shared" si="13"/>
        <v>65.66105842798456</v>
      </c>
      <c r="V39" s="84">
        <f ca="1" t="shared" si="13"/>
        <v>158.9766217790888</v>
      </c>
      <c r="W39" s="85">
        <f ca="1" t="shared" si="13"/>
        <v>-234.64313185199146</v>
      </c>
      <c r="X39" s="20">
        <f t="shared" si="6"/>
        <v>90</v>
      </c>
      <c r="Y39" s="107" t="str">
        <f ca="1" t="shared" si="7"/>
        <v>SM8B</v>
      </c>
    </row>
    <row r="40" spans="3:25" ht="12.75">
      <c r="C40" s="18">
        <f ca="1" t="shared" si="8"/>
      </c>
      <c r="D40" s="19" t="str">
        <f ca="1" t="shared" si="8"/>
        <v>SBS1</v>
      </c>
      <c r="E40" s="19" t="str">
        <f ca="1" t="shared" si="8"/>
        <v>Spec</v>
      </c>
      <c r="F40" s="20"/>
      <c r="G40" s="20"/>
      <c r="H40" s="19" t="str">
        <f>IF(OR(CompName="CM3",CompName="CM5"),CompName&amp;"Cent",IF(SurfaceList!Flag="Mirror","Vertex",SurfaceList!Flag))</f>
        <v>Hole</v>
      </c>
      <c r="I40" s="83">
        <f ca="1" t="shared" si="9"/>
        <v>223.12771</v>
      </c>
      <c r="J40" s="84">
        <f ca="1" t="shared" si="9"/>
        <v>170.856678</v>
      </c>
      <c r="K40" s="85">
        <f ca="1" t="shared" si="9"/>
        <v>-321.398533</v>
      </c>
      <c r="L40" s="84">
        <f ca="1" t="shared" si="10"/>
        <v>0.9999999999999998</v>
      </c>
      <c r="M40" s="84">
        <f ca="1" t="shared" si="10"/>
        <v>0</v>
      </c>
      <c r="N40" s="84">
        <f ca="1" t="shared" si="10"/>
        <v>-1.8325957145940456E-08</v>
      </c>
      <c r="O40" s="83">
        <f ca="1" t="shared" si="11"/>
      </c>
      <c r="P40" s="84">
        <f ca="1" t="shared" si="11"/>
      </c>
      <c r="Q40" s="85">
        <f ca="1" t="shared" si="11"/>
      </c>
      <c r="R40" s="84">
        <f ca="1" t="shared" si="12"/>
        <v>-3.3584070531484604E-16</v>
      </c>
      <c r="S40" s="84">
        <f ca="1" t="shared" si="12"/>
        <v>0.9999999999999998</v>
      </c>
      <c r="T40" s="84">
        <f ca="1" t="shared" si="12"/>
        <v>-1.8325957145940453E-08</v>
      </c>
      <c r="U40" s="83">
        <f ca="1" t="shared" si="13"/>
      </c>
      <c r="V40" s="84">
        <f ca="1" t="shared" si="13"/>
      </c>
      <c r="W40" s="85">
        <f ca="1" t="shared" si="13"/>
      </c>
      <c r="X40" s="20">
        <f t="shared" si="6"/>
        <v>90</v>
      </c>
      <c r="Y40" s="107" t="str">
        <f ca="1" t="shared" si="7"/>
        <v>SBS1</v>
      </c>
    </row>
    <row r="41" spans="3:25" ht="12.75">
      <c r="C41" s="18">
        <f ca="1" t="shared" si="8"/>
      </c>
      <c r="D41" s="19" t="str">
        <f ca="1" t="shared" si="8"/>
        <v>SM9B</v>
      </c>
      <c r="E41" s="19" t="str">
        <f ca="1" t="shared" si="8"/>
        <v>Spec</v>
      </c>
      <c r="F41" s="20"/>
      <c r="G41" s="20">
        <v>-1</v>
      </c>
      <c r="H41" s="19" t="str">
        <f>IF(OR(CompName="CM3",CompName="CM5"),CompName&amp;"Cent",IF(SurfaceList!Flag="Mirror","Vertex",SurfaceList!Flag))</f>
        <v>Vertex</v>
      </c>
      <c r="I41" s="83">
        <f ca="1" t="shared" si="9"/>
        <v>73.13211000000001</v>
      </c>
      <c r="J41" s="84">
        <f ca="1" t="shared" si="9"/>
        <v>170.856678</v>
      </c>
      <c r="K41" s="85">
        <f ca="1" t="shared" si="9"/>
        <v>-407.998533</v>
      </c>
      <c r="L41" s="84">
        <f ca="1" t="shared" si="10"/>
        <v>0.9659258262890683</v>
      </c>
      <c r="M41" s="84">
        <f ca="1" t="shared" si="10"/>
        <v>0</v>
      </c>
      <c r="N41" s="84">
        <f ca="1" t="shared" si="10"/>
        <v>0.25881904510252074</v>
      </c>
      <c r="O41" s="83">
        <f ca="1" t="shared" si="11"/>
        <v>66.39857339289601</v>
      </c>
      <c r="P41" s="84">
        <f ca="1" t="shared" si="11"/>
        <v>170.856678</v>
      </c>
      <c r="Q41" s="85">
        <f ca="1" t="shared" si="11"/>
        <v>-409.8027786960789</v>
      </c>
      <c r="R41" s="84">
        <f ca="1" t="shared" si="12"/>
        <v>0</v>
      </c>
      <c r="S41" s="84">
        <f ca="1" t="shared" si="12"/>
        <v>1</v>
      </c>
      <c r="T41" s="84">
        <f ca="1" t="shared" si="12"/>
        <v>0</v>
      </c>
      <c r="U41" s="83">
        <f ca="1" t="shared" si="13"/>
        <v>66.39857339289601</v>
      </c>
      <c r="V41" s="84">
        <f ca="1" t="shared" si="13"/>
        <v>158.90627218413582</v>
      </c>
      <c r="W41" s="85">
        <f ca="1" t="shared" si="13"/>
        <v>-409.8027786960789</v>
      </c>
      <c r="X41" s="20">
        <f t="shared" si="6"/>
        <v>90</v>
      </c>
      <c r="Y41" s="107" t="str">
        <f ca="1" t="shared" si="7"/>
        <v>SM9B</v>
      </c>
    </row>
    <row r="42" spans="3:25" ht="12.75">
      <c r="C42" s="18">
        <f aca="true" ca="1" t="shared" si="14" ref="C42:E49">IF(INDIRECT("SurfaceList!"&amp;ThisCol)="","",INDIRECT("SurfaceList!"&amp;ThisCol))</f>
      </c>
      <c r="D42" s="19" t="str">
        <f ca="1" t="shared" si="14"/>
        <v>SRTB1</v>
      </c>
      <c r="E42" s="19" t="str">
        <f ca="1" t="shared" si="14"/>
        <v>Spec</v>
      </c>
      <c r="F42" s="20"/>
      <c r="G42" s="20">
        <v>-1</v>
      </c>
      <c r="H42" s="19" t="str">
        <f>IF(OR(CompName="CM3",CompName="CM5"),CompName&amp;"Cent",IF(SurfaceList!Flag="Mirror","Vertex",SurfaceList!Flag))</f>
        <v>Vertex</v>
      </c>
      <c r="I42" s="83">
        <f aca="true" ca="1" t="shared" si="15" ref="I42:K49">IF(Flag="Ignore","",IF(OR(Flag="Det",Flag="Hole"),INDIRECT("VertexCalc!"&amp;Axe&amp;"Vertex"),INDIRECT(Flag&amp;"Calc!"&amp;Axe&amp;Flag)))</f>
        <v>198.13211</v>
      </c>
      <c r="J42" s="84">
        <f ca="1" t="shared" si="15"/>
        <v>170.856678</v>
      </c>
      <c r="K42" s="85">
        <f ca="1" t="shared" si="15"/>
        <v>-407.998533</v>
      </c>
      <c r="L42" s="84">
        <f aca="true" ca="1" t="shared" si="16" ref="L42:N49">IF(Flag="Ignore","",IF(OR(Flag="Det",Flag="Hole"),INDIRECT("VertexCalc!"&amp;Axe&amp;"Norm"),INDIRECT(Flag&amp;"Calc!"&amp;Axe&amp;"Norm")))</f>
        <v>-0.7071067811865476</v>
      </c>
      <c r="M42" s="84">
        <f ca="1" t="shared" si="16"/>
        <v>0</v>
      </c>
      <c r="N42" s="84">
        <f ca="1" t="shared" si="16"/>
        <v>-0.7071067811865475</v>
      </c>
      <c r="O42" s="83">
        <f aca="true" ca="1" t="shared" si="17" ref="O42:Q48">IF(OR(Flag="Ignore",Flag="Det",Flag="Hole"),"",INDIRECT(Axe&amp;"mirr")+IF(ThMirr="Thick",Thick,Thin)*INDIRECT(Axe&amp;"norm"))</f>
        <v>203.0614009110251</v>
      </c>
      <c r="P42" s="84">
        <f ca="1" t="shared" si="17"/>
        <v>170.856678</v>
      </c>
      <c r="Q42" s="85">
        <f ca="1" t="shared" si="17"/>
        <v>-403.06924208897493</v>
      </c>
      <c r="R42" s="84">
        <f aca="true" ca="1" t="shared" si="18" ref="R42:T49">IF(Flag="Ignore","",IF(OR(Flag="Det",Flag="Hole"),INDIRECT("VertexCalc!"&amp;Axe&amp;"sag"),INDIRECT(Flag&amp;"Calc!"&amp;Axe&amp;"sag")))</f>
        <v>0</v>
      </c>
      <c r="S42" s="84">
        <f ca="1" t="shared" si="18"/>
        <v>1</v>
      </c>
      <c r="T42" s="84">
        <f ca="1" t="shared" si="18"/>
        <v>0</v>
      </c>
      <c r="U42" s="83">
        <f aca="true" ca="1" t="shared" si="19" ref="U42:W48">IF(OR(Flag="Ignore",Flag="Det",Flag="Hole"),"",INDIRECT(Axe&amp;"spig")+DowlSep*DowlDir*INDIRECT(Axe&amp;"sag"))</f>
        <v>203.0614009110251</v>
      </c>
      <c r="V42" s="84">
        <f ca="1" t="shared" si="19"/>
        <v>158.90627218413582</v>
      </c>
      <c r="W42" s="85">
        <f ca="1" t="shared" si="19"/>
        <v>-403.06924208897493</v>
      </c>
      <c r="X42" s="20">
        <f t="shared" si="6"/>
        <v>90</v>
      </c>
      <c r="Y42" s="107" t="str">
        <f ca="1" t="shared" si="7"/>
        <v>SRTB1</v>
      </c>
    </row>
    <row r="43" spans="3:25" ht="12.75">
      <c r="C43" s="18">
        <f ca="1" t="shared" si="14"/>
      </c>
      <c r="D43" s="19" t="str">
        <f ca="1" t="shared" si="14"/>
        <v>SRTB2</v>
      </c>
      <c r="E43" s="19" t="str">
        <f ca="1" t="shared" si="14"/>
        <v>Spec</v>
      </c>
      <c r="F43" s="20"/>
      <c r="G43" s="20">
        <v>-1</v>
      </c>
      <c r="H43" s="19" t="str">
        <f>IF(OR(CompName="CM3",CompName="CM5"),CompName&amp;"Cent",IF(SurfaceList!Flag="Mirror","Vertex",SurfaceList!Flag))</f>
        <v>Vertex</v>
      </c>
      <c r="I43" s="83">
        <f ca="1" t="shared" si="15"/>
        <v>198.13211</v>
      </c>
      <c r="J43" s="84">
        <f ca="1" t="shared" si="15"/>
        <v>170.856678</v>
      </c>
      <c r="K43" s="85">
        <f ca="1" t="shared" si="15"/>
        <v>-457.998533</v>
      </c>
      <c r="L43" s="84">
        <f ca="1" t="shared" si="16"/>
        <v>-0.7071067811865475</v>
      </c>
      <c r="M43" s="84">
        <f ca="1" t="shared" si="16"/>
        <v>0</v>
      </c>
      <c r="N43" s="84">
        <f ca="1" t="shared" si="16"/>
        <v>0.7071067811865476</v>
      </c>
      <c r="O43" s="83">
        <f ca="1" t="shared" si="17"/>
        <v>203.0614009110251</v>
      </c>
      <c r="P43" s="84">
        <f ca="1" t="shared" si="17"/>
        <v>170.856678</v>
      </c>
      <c r="Q43" s="85">
        <f ca="1" t="shared" si="17"/>
        <v>-462.9278239110251</v>
      </c>
      <c r="R43" s="84">
        <f ca="1" t="shared" si="18"/>
        <v>0</v>
      </c>
      <c r="S43" s="84">
        <f ca="1" t="shared" si="18"/>
        <v>1</v>
      </c>
      <c r="T43" s="84">
        <f ca="1" t="shared" si="18"/>
        <v>0</v>
      </c>
      <c r="U43" s="83">
        <f ca="1" t="shared" si="19"/>
        <v>203.0614009110251</v>
      </c>
      <c r="V43" s="84">
        <f ca="1" t="shared" si="19"/>
        <v>158.90627218413582</v>
      </c>
      <c r="W43" s="85">
        <f ca="1" t="shared" si="19"/>
        <v>-462.9278239110251</v>
      </c>
      <c r="X43" s="20">
        <f t="shared" si="6"/>
        <v>90</v>
      </c>
      <c r="Y43" s="107" t="str">
        <f ca="1" t="shared" si="7"/>
        <v>SRTB2</v>
      </c>
    </row>
    <row r="44" spans="3:25" ht="12.75">
      <c r="C44" s="18">
        <f ca="1" t="shared" si="14"/>
      </c>
      <c r="D44" s="19" t="str">
        <f ca="1" t="shared" si="14"/>
        <v>SM10B</v>
      </c>
      <c r="E44" s="19" t="str">
        <f ca="1" t="shared" si="14"/>
        <v>Spec</v>
      </c>
      <c r="F44" s="20"/>
      <c r="G44" s="20">
        <v>-1</v>
      </c>
      <c r="H44" s="19" t="str">
        <f>IF(OR(CompName="CM3",CompName="CM5"),CompName&amp;"Cent",IF(SurfaceList!Flag="Mirror","Vertex",SurfaceList!Flag))</f>
        <v>Vertex</v>
      </c>
      <c r="I44" s="83">
        <f ca="1" t="shared" si="15"/>
        <v>73.13211000000001</v>
      </c>
      <c r="J44" s="84">
        <f ca="1" t="shared" si="15"/>
        <v>170.856678</v>
      </c>
      <c r="K44" s="85">
        <f ca="1" t="shared" si="15"/>
        <v>-457.998533</v>
      </c>
      <c r="L44" s="84">
        <f ca="1" t="shared" si="16"/>
        <v>0.9659258262890682</v>
      </c>
      <c r="M44" s="84">
        <f ca="1" t="shared" si="16"/>
        <v>0</v>
      </c>
      <c r="N44" s="84">
        <f ca="1" t="shared" si="16"/>
        <v>-0.258819045102521</v>
      </c>
      <c r="O44" s="83">
        <f ca="1" t="shared" si="17"/>
        <v>66.39857339289601</v>
      </c>
      <c r="P44" s="84">
        <f ca="1" t="shared" si="17"/>
        <v>170.856678</v>
      </c>
      <c r="Q44" s="85">
        <f ca="1" t="shared" si="17"/>
        <v>-456.1942873039211</v>
      </c>
      <c r="R44" s="84">
        <f ca="1" t="shared" si="18"/>
        <v>0</v>
      </c>
      <c r="S44" s="84">
        <f ca="1" t="shared" si="18"/>
        <v>1</v>
      </c>
      <c r="T44" s="84">
        <f ca="1" t="shared" si="18"/>
        <v>0</v>
      </c>
      <c r="U44" s="83">
        <f ca="1" t="shared" si="19"/>
        <v>66.39857339289601</v>
      </c>
      <c r="V44" s="84">
        <f ca="1" t="shared" si="19"/>
        <v>158.90627218413582</v>
      </c>
      <c r="W44" s="85">
        <f ca="1" t="shared" si="19"/>
        <v>-456.1942873039211</v>
      </c>
      <c r="X44" s="20">
        <f t="shared" si="6"/>
        <v>90</v>
      </c>
      <c r="Y44" s="107" t="str">
        <f ca="1" t="shared" si="7"/>
        <v>SM10B</v>
      </c>
    </row>
    <row r="45" spans="3:25" ht="12.75">
      <c r="C45" s="18">
        <f ca="1" t="shared" si="14"/>
      </c>
      <c r="D45" s="19" t="str">
        <f ca="1" t="shared" si="14"/>
        <v>SBS2</v>
      </c>
      <c r="E45" s="19" t="str">
        <f ca="1" t="shared" si="14"/>
        <v>Spec</v>
      </c>
      <c r="F45" s="20"/>
      <c r="G45" s="20"/>
      <c r="H45" s="19" t="str">
        <f>IF(OR(CompName="CM3",CompName="CM5"),CompName&amp;"Cent",IF(SurfaceList!Flag="Mirror","Vertex",SurfaceList!Flag))</f>
        <v>Hole</v>
      </c>
      <c r="I45" s="83">
        <f ca="1" t="shared" si="15"/>
        <v>223.12771</v>
      </c>
      <c r="J45" s="84">
        <f ca="1" t="shared" si="15"/>
        <v>170.856678</v>
      </c>
      <c r="K45" s="85">
        <f ca="1" t="shared" si="15"/>
        <v>-544.598533</v>
      </c>
      <c r="L45" s="84">
        <f ca="1" t="shared" si="16"/>
        <v>1</v>
      </c>
      <c r="M45" s="84">
        <f ca="1" t="shared" si="16"/>
        <v>0</v>
      </c>
      <c r="N45" s="84">
        <f ca="1" t="shared" si="16"/>
        <v>1.22514845490862E-16</v>
      </c>
      <c r="O45" s="83">
        <f ca="1" t="shared" si="17"/>
      </c>
      <c r="P45" s="84">
        <f ca="1" t="shared" si="17"/>
      </c>
      <c r="Q45" s="85">
        <f ca="1" t="shared" si="17"/>
      </c>
      <c r="R45" s="84">
        <f ca="1" t="shared" si="18"/>
        <v>-2.587327798029081E-24</v>
      </c>
      <c r="S45" s="84">
        <f ca="1" t="shared" si="18"/>
        <v>0.9999999999999998</v>
      </c>
      <c r="T45" s="84">
        <f ca="1" t="shared" si="18"/>
        <v>2.1118483949131386E-08</v>
      </c>
      <c r="U45" s="83">
        <f ca="1" t="shared" si="19"/>
      </c>
      <c r="V45" s="84">
        <f ca="1" t="shared" si="19"/>
      </c>
      <c r="W45" s="85">
        <f ca="1" t="shared" si="19"/>
      </c>
      <c r="X45" s="20">
        <f t="shared" si="6"/>
        <v>90</v>
      </c>
      <c r="Y45" s="107" t="str">
        <f ca="1" t="shared" si="7"/>
        <v>SBS2</v>
      </c>
    </row>
    <row r="46" spans="3:25" ht="12.75">
      <c r="C46" s="18">
        <f ca="1" t="shared" si="14"/>
      </c>
      <c r="D46" s="19" t="str">
        <f ca="1" t="shared" si="14"/>
        <v>SM11B</v>
      </c>
      <c r="E46" s="19" t="str">
        <f ca="1" t="shared" si="14"/>
        <v>Spec</v>
      </c>
      <c r="F46" s="20"/>
      <c r="G46" s="20">
        <v>-1</v>
      </c>
      <c r="H46" s="19" t="str">
        <f>IF(OR(CompName="CM3",CompName="CM5"),CompName&amp;"Cent",IF(SurfaceList!Flag="Mirror","Vertex",SurfaceList!Flag))</f>
        <v>Vertex</v>
      </c>
      <c r="I46" s="83">
        <f ca="1" t="shared" si="15"/>
        <v>91.509169</v>
      </c>
      <c r="J46" s="84">
        <f ca="1" t="shared" si="15"/>
        <v>170.856678</v>
      </c>
      <c r="K46" s="85">
        <f ca="1" t="shared" si="15"/>
        <v>-620.588533</v>
      </c>
      <c r="L46" s="84">
        <f ca="1" t="shared" si="16"/>
        <v>0.984807753012208</v>
      </c>
      <c r="M46" s="84">
        <f ca="1" t="shared" si="16"/>
        <v>0</v>
      </c>
      <c r="N46" s="84">
        <f ca="1" t="shared" si="16"/>
        <v>0.17364817766693028</v>
      </c>
      <c r="O46" s="83">
        <f ca="1" t="shared" si="17"/>
        <v>84.6440051588553</v>
      </c>
      <c r="P46" s="84">
        <f ca="1" t="shared" si="17"/>
        <v>170.856678</v>
      </c>
      <c r="Q46" s="85">
        <f ca="1" t="shared" si="17"/>
        <v>-621.7990466121779</v>
      </c>
      <c r="R46" s="84">
        <f ca="1" t="shared" si="18"/>
        <v>0</v>
      </c>
      <c r="S46" s="84">
        <f ca="1" t="shared" si="18"/>
        <v>1</v>
      </c>
      <c r="T46" s="84">
        <f ca="1" t="shared" si="18"/>
        <v>0</v>
      </c>
      <c r="U46" s="83">
        <f ca="1" t="shared" si="19"/>
        <v>84.6440051588553</v>
      </c>
      <c r="V46" s="84">
        <f ca="1" t="shared" si="19"/>
        <v>158.90627218413582</v>
      </c>
      <c r="W46" s="85">
        <f ca="1" t="shared" si="19"/>
        <v>-621.7990466121779</v>
      </c>
      <c r="X46" s="20">
        <f t="shared" si="6"/>
        <v>90</v>
      </c>
      <c r="Y46" s="107" t="str">
        <f ca="1" t="shared" si="7"/>
        <v>SM11B</v>
      </c>
    </row>
    <row r="47" spans="3:25" ht="12.75">
      <c r="C47" s="18">
        <f ca="1" t="shared" si="14"/>
      </c>
      <c r="D47" s="19" t="str">
        <f ca="1" t="shared" si="14"/>
        <v>SM12B</v>
      </c>
      <c r="E47" s="19" t="str">
        <f ca="1" t="shared" si="14"/>
        <v>Spec</v>
      </c>
      <c r="F47" s="20"/>
      <c r="G47" s="20">
        <v>-1</v>
      </c>
      <c r="H47" s="19" t="str">
        <f>IF(OR(CompName="CM3",CompName="CM5"),CompName&amp;"Cent",IF(SurfaceList!Flag="Mirror","Vertex",SurfaceList!Flag))</f>
        <v>Vertex</v>
      </c>
      <c r="I47" s="83">
        <f ca="1" t="shared" si="15"/>
        <v>182.672823</v>
      </c>
      <c r="J47" s="84">
        <f ca="1" t="shared" si="15"/>
        <v>170.856678</v>
      </c>
      <c r="K47" s="85">
        <f ca="1" t="shared" si="15"/>
        <v>-636.663145</v>
      </c>
      <c r="L47" s="84">
        <f ca="1" t="shared" si="16"/>
        <v>-0.696364240320019</v>
      </c>
      <c r="M47" s="84">
        <f ca="1" t="shared" si="16"/>
        <v>0.7071067811865475</v>
      </c>
      <c r="N47" s="84">
        <f ca="1" t="shared" si="16"/>
        <v>0.1227878039689728</v>
      </c>
      <c r="O47" s="83">
        <f ca="1" t="shared" si="17"/>
        <v>187.5272269060301</v>
      </c>
      <c r="P47" s="84">
        <f ca="1" t="shared" si="17"/>
        <v>165.9273870889749</v>
      </c>
      <c r="Q47" s="85">
        <f ca="1" t="shared" si="17"/>
        <v>-637.5191073838896</v>
      </c>
      <c r="R47" s="84">
        <f ca="1" t="shared" si="18"/>
        <v>0.6963642403200189</v>
      </c>
      <c r="S47" s="84">
        <f ca="1" t="shared" si="18"/>
        <v>0.7071067811865476</v>
      </c>
      <c r="T47" s="84">
        <f ca="1" t="shared" si="18"/>
        <v>-0.12278780396897278</v>
      </c>
      <c r="U47" s="83">
        <f ca="1" t="shared" si="19"/>
        <v>179.20539163854994</v>
      </c>
      <c r="V47" s="84">
        <f ca="1" t="shared" si="19"/>
        <v>157.4771740986462</v>
      </c>
      <c r="W47" s="85">
        <f ca="1" t="shared" si="19"/>
        <v>-636.0517432972216</v>
      </c>
      <c r="X47" s="20">
        <f t="shared" si="6"/>
        <v>90</v>
      </c>
      <c r="Y47" s="107" t="str">
        <f ca="1" t="shared" si="7"/>
        <v>SM12B</v>
      </c>
    </row>
    <row r="48" spans="3:25" ht="12.75">
      <c r="C48" s="18"/>
      <c r="D48" s="19" t="str">
        <f ca="1" t="shared" si="14"/>
        <v>SFLB</v>
      </c>
      <c r="E48" s="19" t="str">
        <f ca="1" t="shared" si="14"/>
        <v>Spec</v>
      </c>
      <c r="F48" s="20"/>
      <c r="G48" s="20"/>
      <c r="H48" s="19" t="str">
        <f>IF(OR(CompName="CM3",CompName="CM5"),CompName&amp;"Cent",IF(SurfaceList!Flag="Mirror","Vertex",SurfaceList!Flag))</f>
        <v>Hole</v>
      </c>
      <c r="I48" s="83">
        <f ca="1" t="shared" si="15"/>
        <v>182.672823</v>
      </c>
      <c r="J48" s="84">
        <f ca="1" t="shared" si="15"/>
        <v>246.956678</v>
      </c>
      <c r="K48" s="85">
        <f ca="1" t="shared" si="15"/>
        <v>-636.663145</v>
      </c>
      <c r="L48" s="84">
        <f ca="1" t="shared" si="16"/>
        <v>6.032678484924683E-17</v>
      </c>
      <c r="M48" s="84">
        <f ca="1" t="shared" si="16"/>
        <v>-1</v>
      </c>
      <c r="N48" s="84">
        <f ca="1" t="shared" si="16"/>
        <v>-1.0637239828316857E-17</v>
      </c>
      <c r="O48" s="83">
        <f ca="1" t="shared" si="17"/>
      </c>
      <c r="P48" s="84">
        <f ca="1" t="shared" si="17"/>
      </c>
      <c r="Q48" s="85">
        <f ca="1" t="shared" si="17"/>
      </c>
      <c r="R48" s="84">
        <f ca="1" t="shared" si="18"/>
        <v>0.984807753012208</v>
      </c>
      <c r="S48" s="84">
        <f ca="1" t="shared" si="18"/>
        <v>6.1257422745431E-17</v>
      </c>
      <c r="T48" s="84">
        <f ca="1" t="shared" si="18"/>
        <v>-0.17364817766693028</v>
      </c>
      <c r="U48" s="83">
        <f ca="1" t="shared" si="19"/>
      </c>
      <c r="V48" s="84">
        <f ca="1" t="shared" si="19"/>
      </c>
      <c r="W48" s="85">
        <f ca="1" t="shared" si="19"/>
      </c>
      <c r="X48" s="20">
        <f t="shared" si="6"/>
        <v>90</v>
      </c>
      <c r="Y48" s="107" t="str">
        <f ca="1" t="shared" si="7"/>
        <v>SFLB</v>
      </c>
    </row>
    <row r="49" spans="3:25" ht="13.5" thickBot="1">
      <c r="C49" s="14">
        <f ca="1" t="shared" si="14"/>
      </c>
      <c r="D49" s="15" t="str">
        <f ca="1" t="shared" si="14"/>
        <v>SLW</v>
      </c>
      <c r="E49" s="15" t="str">
        <f ca="1" t="shared" si="14"/>
        <v>Spec</v>
      </c>
      <c r="F49" s="16"/>
      <c r="G49" s="16"/>
      <c r="H49" s="15" t="str">
        <f>IF(OR(CompName="CM3",CompName="CM5"),CompName&amp;"Cent",IF(SurfaceList!Flag="Mirror","Vertex",SurfaceList!Flag))</f>
        <v>Det</v>
      </c>
      <c r="I49" s="90">
        <f ca="1" t="shared" si="15"/>
        <v>182.672823</v>
      </c>
      <c r="J49" s="91">
        <f ca="1" t="shared" si="15"/>
        <v>250.856678</v>
      </c>
      <c r="K49" s="92">
        <f ca="1" t="shared" si="15"/>
        <v>-636.663145</v>
      </c>
      <c r="L49" s="91">
        <f ca="1" t="shared" si="16"/>
        <v>6.1257422745431E-17</v>
      </c>
      <c r="M49" s="91">
        <f ca="1" t="shared" si="16"/>
        <v>-1</v>
      </c>
      <c r="N49" s="91">
        <f ca="1" t="shared" si="16"/>
        <v>7.504943682824895E-33</v>
      </c>
      <c r="O49" s="90">
        <f ca="1">IF(OR(Flag="Ignore",Flag="Det",Flag="Hole"),"",INDIRECT(Axe&amp;"mirr")+IF(ThMirr="Thick",Thick,Thin)*INDIRECT(Axe&amp;"norm"))</f>
      </c>
      <c r="P49" s="91">
        <f ca="1">IF(OR(Flag="Ignore",Flag="Det",Flag="Hole"),"",INDIRECT(Axe&amp;"mirr")+IF(ThMirr="Thick",Thick,Thin)*INDIRECT(Axe&amp;"norm"))</f>
      </c>
      <c r="Q49" s="92">
        <f ca="1">IF(OR(Flag="Ignore",Flag="Det",Flag="Hole"),"",INDIRECT(Axe&amp;"mirr")+IF(ThMirr="Thick",Thick,Thin)*INDIRECT(Axe&amp;"norm"))</f>
      </c>
      <c r="R49" s="91">
        <f ca="1" t="shared" si="18"/>
        <v>1</v>
      </c>
      <c r="S49" s="91">
        <f ca="1" t="shared" si="18"/>
        <v>6.1257422745431E-17</v>
      </c>
      <c r="T49" s="91">
        <f ca="1" t="shared" si="18"/>
        <v>1.22514845490862E-16</v>
      </c>
      <c r="U49" s="90">
        <f ca="1">IF(OR(Flag="Ignore",Flag="Det",Flag="Hole"),"",INDIRECT(Axe&amp;"spig")+DowlSep*DowlDir*INDIRECT(Axe&amp;"sag"))</f>
      </c>
      <c r="V49" s="91">
        <f ca="1">IF(OR(Flag="Ignore",Flag="Det",Flag="Hole"),"",INDIRECT(Axe&amp;"spig")+DowlSep*DowlDir*INDIRECT(Axe&amp;"sag"))</f>
      </c>
      <c r="W49" s="92">
        <f ca="1">IF(OR(Flag="Ignore",Flag="Det",Flag="Hole"),"",INDIRECT(Axe&amp;"spig")+DowlSep*DowlDir*INDIRECT(Axe&amp;"sag"))</f>
      </c>
      <c r="X49" s="16">
        <f t="shared" si="6"/>
        <v>90</v>
      </c>
      <c r="Y49" s="109" t="str">
        <f ca="1" t="shared" si="7"/>
        <v>SLW</v>
      </c>
    </row>
    <row r="50" spans="1:25" ht="13.5" thickBot="1">
      <c r="A50" s="5" t="s">
        <v>442</v>
      </c>
      <c r="C50" s="19"/>
      <c r="D50" s="19"/>
      <c r="E50" s="19"/>
      <c r="F50" s="20"/>
      <c r="G50" s="20"/>
      <c r="H50" s="19"/>
      <c r="I50" s="90" t="s">
        <v>439</v>
      </c>
      <c r="J50" s="91" t="s">
        <v>440</v>
      </c>
      <c r="K50" s="92" t="s">
        <v>441</v>
      </c>
      <c r="L50" s="84" t="s">
        <v>439</v>
      </c>
      <c r="M50" s="84" t="s">
        <v>440</v>
      </c>
      <c r="N50" s="84" t="s">
        <v>441</v>
      </c>
      <c r="O50" s="90" t="s">
        <v>439</v>
      </c>
      <c r="P50" s="91" t="s">
        <v>440</v>
      </c>
      <c r="Q50" s="92" t="s">
        <v>441</v>
      </c>
      <c r="R50" s="84" t="s">
        <v>439</v>
      </c>
      <c r="S50" s="84" t="s">
        <v>440</v>
      </c>
      <c r="T50" s="84" t="s">
        <v>441</v>
      </c>
      <c r="U50" s="90" t="s">
        <v>439</v>
      </c>
      <c r="V50" s="91" t="s">
        <v>440</v>
      </c>
      <c r="W50" s="92" t="s">
        <v>441</v>
      </c>
      <c r="X50" s="20"/>
      <c r="Y50" s="19"/>
    </row>
    <row r="51" spans="3:24" ht="12.75">
      <c r="C51" s="23" t="s">
        <v>124</v>
      </c>
      <c r="I51" s="84"/>
      <c r="J51" s="84"/>
      <c r="K51" s="84"/>
      <c r="L51" s="84"/>
      <c r="M51" s="84"/>
      <c r="N51" s="84"/>
      <c r="O51" s="84"/>
      <c r="P51" s="84"/>
      <c r="Q51" s="84"/>
      <c r="R51" s="84"/>
      <c r="S51" s="84"/>
      <c r="T51" s="84"/>
      <c r="U51" s="84"/>
      <c r="V51" s="84"/>
      <c r="W51" s="84"/>
      <c r="X51" s="20"/>
    </row>
    <row r="52" spans="3:25" ht="12.75">
      <c r="C52" s="29" t="s">
        <v>35</v>
      </c>
      <c r="D52" s="29" t="s">
        <v>342</v>
      </c>
      <c r="E52" s="29" t="s">
        <v>236</v>
      </c>
      <c r="F52" s="29" t="s">
        <v>343</v>
      </c>
      <c r="G52" s="100"/>
      <c r="I52" s="84"/>
      <c r="J52" s="84"/>
      <c r="K52" s="84"/>
      <c r="L52" s="84"/>
      <c r="M52" s="84"/>
      <c r="N52" s="84"/>
      <c r="O52" s="84"/>
      <c r="P52" s="84"/>
      <c r="Q52" s="84"/>
      <c r="R52" s="84"/>
      <c r="S52" s="84"/>
      <c r="T52" s="84"/>
      <c r="U52" s="84"/>
      <c r="V52" s="84"/>
      <c r="W52" s="84"/>
      <c r="X52" s="20"/>
      <c r="Y52" s="29"/>
    </row>
    <row r="53" spans="3:25" ht="12.75">
      <c r="C53" s="19" t="s">
        <v>14</v>
      </c>
      <c r="D53" s="19" t="str">
        <f>"-Zsyno"</f>
        <v>-Zsyno</v>
      </c>
      <c r="E53" s="19" t="s">
        <v>339</v>
      </c>
      <c r="F53" s="19" t="s">
        <v>117</v>
      </c>
      <c r="G53" s="20"/>
      <c r="I53" s="84"/>
      <c r="J53" s="84"/>
      <c r="K53" s="84"/>
      <c r="L53" s="84"/>
      <c r="M53" s="84"/>
      <c r="N53" s="84"/>
      <c r="O53" s="84"/>
      <c r="P53" s="84"/>
      <c r="Q53" s="84"/>
      <c r="R53" s="84"/>
      <c r="S53" s="84"/>
      <c r="T53" s="84"/>
      <c r="U53" s="84"/>
      <c r="V53" s="84"/>
      <c r="W53" s="84"/>
      <c r="X53" s="20">
        <f>ACOS(R49*R37+S49*S37+T49*T37)*180/PI()</f>
        <v>180</v>
      </c>
      <c r="Y53" s="19"/>
    </row>
    <row r="54" spans="3:25" ht="12.75">
      <c r="C54" s="19" t="s">
        <v>69</v>
      </c>
      <c r="D54" s="19" t="s">
        <v>120</v>
      </c>
      <c r="E54" s="19" t="s">
        <v>340</v>
      </c>
      <c r="F54" s="19" t="s">
        <v>118</v>
      </c>
      <c r="G54" s="20"/>
      <c r="I54" s="84"/>
      <c r="J54" s="84"/>
      <c r="K54" s="84"/>
      <c r="L54" s="84"/>
      <c r="M54" s="84"/>
      <c r="N54" s="84"/>
      <c r="O54" s="84"/>
      <c r="P54" s="84"/>
      <c r="Q54" s="84"/>
      <c r="R54" s="84"/>
      <c r="S54" s="84"/>
      <c r="T54" s="84"/>
      <c r="U54" s="84"/>
      <c r="V54" s="84"/>
      <c r="W54" s="84"/>
      <c r="X54" s="20"/>
      <c r="Y54" s="19"/>
    </row>
    <row r="55" spans="3:25" ht="12.75">
      <c r="C55" s="19" t="s">
        <v>70</v>
      </c>
      <c r="D55" s="19" t="s">
        <v>121</v>
      </c>
      <c r="E55" s="19" t="s">
        <v>341</v>
      </c>
      <c r="F55" s="19" t="s">
        <v>119</v>
      </c>
      <c r="G55" s="20"/>
      <c r="I55" s="84"/>
      <c r="J55" s="84"/>
      <c r="K55" s="84"/>
      <c r="L55" s="84"/>
      <c r="M55" s="84"/>
      <c r="N55" s="84"/>
      <c r="O55" s="84"/>
      <c r="P55" s="84"/>
      <c r="Q55" s="84"/>
      <c r="R55" s="84"/>
      <c r="S55" s="84"/>
      <c r="T55" s="84"/>
      <c r="U55" s="84"/>
      <c r="V55" s="84"/>
      <c r="W55" s="84"/>
      <c r="X55" s="20"/>
      <c r="Y55" s="19"/>
    </row>
    <row r="56" spans="3:25" ht="12.75">
      <c r="C56" s="19"/>
      <c r="D56" s="19"/>
      <c r="E56" s="19"/>
      <c r="F56" s="20"/>
      <c r="G56" s="20"/>
      <c r="H56" s="19"/>
      <c r="I56" s="84"/>
      <c r="J56" s="84"/>
      <c r="K56" s="84"/>
      <c r="L56" s="84"/>
      <c r="M56" s="84"/>
      <c r="N56" s="84"/>
      <c r="O56" s="84"/>
      <c r="P56" s="84"/>
      <c r="Q56" s="84"/>
      <c r="R56" s="84"/>
      <c r="S56" s="84"/>
      <c r="T56" s="84"/>
      <c r="U56" s="84"/>
      <c r="V56" s="84"/>
      <c r="W56" s="84"/>
      <c r="X56" s="20"/>
      <c r="Y56" s="19"/>
    </row>
    <row r="57" spans="3:25" ht="12.75">
      <c r="C57" s="19"/>
      <c r="D57" s="19"/>
      <c r="E57" s="19"/>
      <c r="F57" s="20"/>
      <c r="G57" s="20"/>
      <c r="H57" s="19"/>
      <c r="I57" s="84"/>
      <c r="J57" s="84"/>
      <c r="K57" s="84"/>
      <c r="L57" s="84"/>
      <c r="M57" s="84"/>
      <c r="N57" s="84"/>
      <c r="O57" s="84"/>
      <c r="P57" s="84"/>
      <c r="Q57" s="84"/>
      <c r="R57" s="84"/>
      <c r="S57" s="84"/>
      <c r="T57" s="84"/>
      <c r="U57" s="84"/>
      <c r="V57" s="84"/>
      <c r="W57" s="84"/>
      <c r="X57" s="20"/>
      <c r="Y57" s="19">
        <v>-1</v>
      </c>
    </row>
    <row r="58" spans="3:25" ht="12.75">
      <c r="C58" s="19"/>
      <c r="D58" s="19"/>
      <c r="E58" s="19"/>
      <c r="F58" s="20"/>
      <c r="G58" s="20"/>
      <c r="H58" s="19"/>
      <c r="I58" s="84"/>
      <c r="J58" s="84"/>
      <c r="K58" s="84"/>
      <c r="L58" s="84"/>
      <c r="M58" s="84"/>
      <c r="N58" s="84"/>
      <c r="O58" s="84"/>
      <c r="P58" s="84"/>
      <c r="Q58" s="84"/>
      <c r="R58" s="84"/>
      <c r="S58" s="84"/>
      <c r="T58" s="84"/>
      <c r="U58" s="84"/>
      <c r="V58" s="84"/>
      <c r="W58" s="84"/>
      <c r="X58" s="20"/>
      <c r="Y58" s="19"/>
    </row>
    <row r="59" spans="3:25" ht="26.25">
      <c r="C59" s="110" t="s">
        <v>480</v>
      </c>
      <c r="D59" s="19"/>
      <c r="G59" s="20"/>
      <c r="H59" s="19"/>
      <c r="I59" s="84"/>
      <c r="J59" s="84"/>
      <c r="K59" s="84"/>
      <c r="L59" s="84"/>
      <c r="M59" s="84"/>
      <c r="N59" s="84"/>
      <c r="O59" s="84"/>
      <c r="P59" s="84"/>
      <c r="Q59" s="84"/>
      <c r="R59" s="84"/>
      <c r="S59" s="84"/>
      <c r="T59" s="84"/>
      <c r="U59" s="84"/>
      <c r="V59" s="84"/>
      <c r="W59" s="84"/>
      <c r="X59" s="20"/>
      <c r="Y59" s="19"/>
    </row>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printOptions/>
  <pageMargins left="0.33" right="0.28" top="0.88" bottom="0.78" header="0.5118110236220472" footer="0.5118110236220472"/>
  <pageSetup fitToHeight="1" fitToWidth="1" horizontalDpi="355" verticalDpi="355" orientation="landscape" paperSize="9" scale="46" r:id="rId3"/>
  <headerFooter alignWithMargins="0">
    <oddHeader>&amp;L&amp;F, &amp;A&amp;R&amp;T, &amp;D</oddHeader>
    <oddFooter>&amp;CPage &amp;P of &amp;N</oddFooter>
  </headerFooter>
  <legacyDrawing r:id="rId2"/>
  <oleObjects>
    <oleObject progId="Word.Picture.8" shapeId="30454569" r:id="rId1"/>
  </oleObjects>
</worksheet>
</file>

<file path=xl/worksheets/sheet9.xml><?xml version="1.0" encoding="utf-8"?>
<worksheet xmlns="http://schemas.openxmlformats.org/spreadsheetml/2006/main" xmlns:r="http://schemas.openxmlformats.org/officeDocument/2006/relationships">
  <sheetPr>
    <pageSetUpPr fitToPage="1"/>
  </sheetPr>
  <dimension ref="A1:AE65"/>
  <sheetViews>
    <sheetView zoomScale="75" zoomScaleNormal="75" workbookViewId="0" topLeftCell="A1">
      <selection activeCell="H2" sqref="H2:H49"/>
    </sheetView>
  </sheetViews>
  <sheetFormatPr defaultColWidth="12" defaultRowHeight="12.75"/>
  <cols>
    <col min="1" max="2" width="12" style="1" customWidth="1"/>
    <col min="3" max="3" width="20.16015625" style="1" customWidth="1"/>
    <col min="4" max="5" width="12" style="1" customWidth="1"/>
    <col min="6" max="7" width="12" style="8" customWidth="1"/>
    <col min="8" max="8" width="12" style="1" customWidth="1"/>
    <col min="9" max="14" width="13.66015625" style="84" customWidth="1"/>
    <col min="15" max="17" width="14.16015625" style="86" customWidth="1"/>
    <col min="18" max="20" width="13.66015625" style="84" customWidth="1"/>
    <col min="21" max="23" width="14.16015625" style="86" customWidth="1"/>
    <col min="24" max="24" width="11" style="20" customWidth="1"/>
    <col min="25" max="25" width="12" style="20" customWidth="1"/>
    <col min="26" max="31" width="9.33203125" style="20" customWidth="1"/>
    <col min="32" max="16384" width="12" style="1" customWidth="1"/>
  </cols>
  <sheetData>
    <row r="1" spans="1:31" s="5" customFormat="1" ht="12.75">
      <c r="A1" s="1" t="s">
        <v>555</v>
      </c>
      <c r="C1" s="25" t="s">
        <v>116</v>
      </c>
      <c r="D1" s="25" t="s">
        <v>2</v>
      </c>
      <c r="E1" s="5" t="s">
        <v>431</v>
      </c>
      <c r="F1" s="6" t="s">
        <v>473</v>
      </c>
      <c r="G1" s="6" t="s">
        <v>397</v>
      </c>
      <c r="H1" s="5" t="s">
        <v>145</v>
      </c>
      <c r="I1" s="79" t="s">
        <v>15</v>
      </c>
      <c r="J1" s="80" t="s">
        <v>16</v>
      </c>
      <c r="K1" s="81" t="s">
        <v>17</v>
      </c>
      <c r="L1" s="93" t="s">
        <v>11</v>
      </c>
      <c r="M1" s="93" t="s">
        <v>12</v>
      </c>
      <c r="N1" s="93" t="s">
        <v>13</v>
      </c>
      <c r="O1" s="79" t="s">
        <v>8</v>
      </c>
      <c r="P1" s="80" t="s">
        <v>9</v>
      </c>
      <c r="Q1" s="81" t="s">
        <v>10</v>
      </c>
      <c r="R1" s="93" t="s">
        <v>18</v>
      </c>
      <c r="S1" s="93" t="s">
        <v>19</v>
      </c>
      <c r="T1" s="93" t="s">
        <v>20</v>
      </c>
      <c r="U1" s="79" t="s">
        <v>21</v>
      </c>
      <c r="V1" s="80" t="s">
        <v>22</v>
      </c>
      <c r="W1" s="81" t="s">
        <v>23</v>
      </c>
      <c r="X1" s="26" t="s">
        <v>337</v>
      </c>
      <c r="Y1" s="5" t="s">
        <v>2</v>
      </c>
      <c r="Z1" s="26"/>
      <c r="AA1" s="26"/>
      <c r="AB1" s="26"/>
      <c r="AC1" s="26"/>
      <c r="AD1" s="26"/>
      <c r="AE1" s="26"/>
    </row>
    <row r="2" spans="3:25" ht="13.5" thickBot="1">
      <c r="C2" s="19">
        <f aca="true" ca="1" t="shared" si="0" ref="C2:E21">IF(INDIRECT("SurfaceList!"&amp;ThisCol)="","",INDIRECT("SurfaceList!"&amp;ThisCol))</f>
      </c>
      <c r="D2" s="19" t="str">
        <f ca="1" t="shared" si="0"/>
        <v>Dummy</v>
      </c>
      <c r="E2" s="19" t="str">
        <f ca="1" t="shared" si="0"/>
        <v>Phot</v>
      </c>
      <c r="G2" s="8">
        <f>IF(Interfaces!DowlDir="","",Interfaces!DowlDir)</f>
      </c>
      <c r="H2" s="1" t="str">
        <f>IF(AND(System="Phot",OR(CompName="CM3",CompName="CM5")),CompName&amp;"Cent",IF(SurfaceList!Flag="Mirror","Vertex",SurfaceList!Flag))</f>
        <v>Ignore</v>
      </c>
      <c r="I2" s="83">
        <f ca="1">IF(OR(Flag="Ignore",Flag="Det",Flag="Hole"),"",INDIRECT("VertexCalc!X"&amp;Local)*(Interfaces!Xmirr-VertexCalc!Xmirr)+INDIRECT("VertexCalc!Y"&amp;Local)*(Interfaces!Ymirr-VertexCalc!Ymirr)+INDIRECT("VertexCalc!Z"&amp;Local)*(Interfaces!Zmirr-VertexCalc!Zmirr))</f>
      </c>
      <c r="J2" s="84">
        <f ca="1">IF(OR(Flag="Ignore",Flag="Det",Flag="Hole"),"",INDIRECT("VertexCalc!X"&amp;Local)*(Interfaces!Xmirr-VertexCalc!Xmirr)+INDIRECT("VertexCalc!Y"&amp;Local)*(Interfaces!Ymirr-VertexCalc!Ymirr)+INDIRECT("VertexCalc!Z"&amp;Local)*(Interfaces!Zmirr-VertexCalc!Zmirr))</f>
      </c>
      <c r="K2" s="85">
        <f ca="1">IF(OR(Flag="Ignore",Flag="Det",Flag="Hole"),"",INDIRECT("VertexCalc!X"&amp;Local)*(Interfaces!Xmirr-VertexCalc!Xmirr)+INDIRECT("VertexCalc!Y"&amp;Local)*(Interfaces!Ymirr-VertexCalc!Ymirr)+INDIRECT("VertexCalc!Z"&amp;Local)*(Interfaces!Zmirr-VertexCalc!Zmirr))</f>
      </c>
      <c r="L2" s="84">
        <f ca="1">IF(OR(Flag="Ignore",Flag="Det",Flag="Hole"),"",(INDIRECT("VertexCalc!X"&amp;Local)*Interfaces!Xnorm+INDIRECT("VertexCalc!Y"&amp;Local)*Interfaces!Ynorm+INDIRECT("VertexCalc!Z"&amp;Local)*Interfaces!Znorm))</f>
      </c>
      <c r="M2" s="84">
        <f ca="1">IF(OR(Flag="Ignore",Flag="Det",Flag="Hole"),"",(INDIRECT("VertexCalc!X"&amp;Local)*Interfaces!Xnorm+INDIRECT("VertexCalc!Y"&amp;Local)*Interfaces!Ynorm+INDIRECT("VertexCalc!Z"&amp;Local)*Interfaces!Znorm))</f>
      </c>
      <c r="N2" s="84">
        <f ca="1">IF(OR(Flag="Ignore",Flag="Det",Flag="Hole"),"",(INDIRECT("VertexCalc!X"&amp;Local)*Interfaces!Xnorm+INDIRECT("VertexCalc!Y"&amp;Local)*Interfaces!Ynorm+INDIRECT("VertexCalc!Z"&amp;Local)*Interfaces!Znorm))</f>
      </c>
      <c r="O2" s="83">
        <f aca="true" ca="1" t="shared" si="1" ref="O2:Q21">IF(OR(Flag="Ignore",Flag="Det",Flag="Hole"),"",INDIRECT(Axe&amp;"mirr")+IF(ThMirr="Thick",Thick,Thin)*INDIRECT(Axe&amp;"norm"))</f>
      </c>
      <c r="P2" s="84">
        <f ca="1" t="shared" si="1"/>
      </c>
      <c r="Q2" s="85">
        <f ca="1" t="shared" si="1"/>
      </c>
      <c r="R2" s="84">
        <f ca="1">IF(OR(Flag="Ignore",Flag="Det",Flag="Hole"),"",INDIRECT("VertexCalc!X"&amp;Local)*Interfaces!Xsag+INDIRECT("VertexCalc!Y"&amp;Local)*Interfaces!Ysag+INDIRECT("VertexCalc!Z"&amp;Local)*Interfaces!Zsag)</f>
      </c>
      <c r="S2" s="84">
        <f ca="1">IF(OR(Flag="Ignore",Flag="Det",Flag="Hole"),"",INDIRECT("VertexCalc!X"&amp;Local)*Interfaces!Xsag+INDIRECT("VertexCalc!Y"&amp;Local)*Interfaces!Ysag+INDIRECT("VertexCalc!Z"&amp;Local)*Interfaces!Zsag)</f>
      </c>
      <c r="T2" s="84">
        <f ca="1">IF(OR(Flag="Ignore",Flag="Det",Flag="Hole"),"",INDIRECT("VertexCalc!X"&amp;Local)*Interfaces!Xsag+INDIRECT("VertexCalc!Y"&amp;Local)*Interfaces!Ysag+INDIRECT("VertexCalc!Z"&amp;Local)*Interfaces!Zsag)</f>
      </c>
      <c r="U2" s="83">
        <f aca="true" ca="1" t="shared" si="2" ref="U2:W21">IF(OR(Flag="Ignore",Flag="Det",Flag="Hole"),"",INDIRECT(Axe&amp;"spig")+DowlSep*DowlDir*INDIRECT(Axe&amp;"sag"))</f>
      </c>
      <c r="V2" s="84">
        <f ca="1" t="shared" si="2"/>
      </c>
      <c r="W2" s="85">
        <f ca="1" t="shared" si="2"/>
      </c>
      <c r="X2" s="20">
        <f>IF(OR(Flag="Ignore",Flag="Hole",Flag="Det"),"",ACOS(Xsag*Xnorm+Ysag*Ynorm+Zsag*Znorm)*180/PI())</f>
      </c>
      <c r="Y2" s="1" t="str">
        <f aca="true" t="shared" si="3" ref="Y2:Y49">D2</f>
        <v>Dummy</v>
      </c>
    </row>
    <row r="3" spans="3:25" ht="12.75">
      <c r="C3" s="10" t="str">
        <f ca="1" t="shared" si="0"/>
        <v>Telescope</v>
      </c>
      <c r="D3" s="11" t="str">
        <f ca="1" t="shared" si="0"/>
        <v>M1</v>
      </c>
      <c r="E3" s="11" t="str">
        <f ca="1" t="shared" si="0"/>
        <v>Phot</v>
      </c>
      <c r="F3" s="12"/>
      <c r="G3" s="12">
        <f>IF(Interfaces!DowlDir="","",Interfaces!DowlDir)</f>
      </c>
      <c r="H3" s="11" t="str">
        <f>IF(AND(System="Phot",OR(CompName="CM3",CompName="CM5")),CompName&amp;"Cent",IF(SurfaceList!Flag="Mirror","Vertex",SurfaceList!Flag))</f>
        <v>Vertex</v>
      </c>
      <c r="I3" s="87">
        <f ca="1">IF(OR(Flag="Ignore",Flag="Det",Flag="Hole"),"",INDIRECT("VertexCalc!X"&amp;Local)*(Interfaces!Xmirr-VertexCalc!Xmirr)+INDIRECT("VertexCalc!Y"&amp;Local)*(Interfaces!Ymirr-VertexCalc!Ymirr)+INDIRECT("VertexCalc!Z"&amp;Local)*(Interfaces!Zmirr-VertexCalc!Zmirr))</f>
        <v>0</v>
      </c>
      <c r="J3" s="88">
        <f ca="1">IF(OR(Flag="Ignore",Flag="Det",Flag="Hole"),"",INDIRECT("VertexCalc!X"&amp;Local)*(Interfaces!Xmirr-VertexCalc!Xmirr)+INDIRECT("VertexCalc!Y"&amp;Local)*(Interfaces!Ymirr-VertexCalc!Ymirr)+INDIRECT("VertexCalc!Z"&amp;Local)*(Interfaces!Zmirr-VertexCalc!Zmirr))</f>
        <v>0</v>
      </c>
      <c r="K3" s="89">
        <f ca="1">IF(OR(Flag="Ignore",Flag="Det",Flag="Hole"),"",INDIRECT("VertexCalc!X"&amp;Local)*(Interfaces!Xmirr-VertexCalc!Xmirr)+INDIRECT("VertexCalc!Y"&amp;Local)*(Interfaces!Ymirr-VertexCalc!Ymirr)+INDIRECT("VertexCalc!Z"&amp;Local)*(Interfaces!Zmirr-VertexCalc!Zmirr))</f>
        <v>0</v>
      </c>
      <c r="L3" s="88">
        <f ca="1">IF(OR(Flag="Ignore",Flag="Det",Flag="Hole"),"",(INDIRECT("VertexCalc!X"&amp;Local)*Interfaces!Xnorm+INDIRECT("VertexCalc!Y"&amp;Local)*Interfaces!Ynorm+INDIRECT("VertexCalc!Z"&amp;Local)*Interfaces!Znorm))</f>
        <v>1</v>
      </c>
      <c r="M3" s="88">
        <f ca="1">IF(OR(Flag="Ignore",Flag="Det",Flag="Hole"),"",(INDIRECT("VertexCalc!X"&amp;Local)*Interfaces!Xnorm+INDIRECT("VertexCalc!Y"&amp;Local)*Interfaces!Ynorm+INDIRECT("VertexCalc!Z"&amp;Local)*Interfaces!Znorm))</f>
        <v>0</v>
      </c>
      <c r="N3" s="88">
        <f ca="1">IF(OR(Flag="Ignore",Flag="Det",Flag="Hole"),"",(INDIRECT("VertexCalc!X"&amp;Local)*Interfaces!Xnorm+INDIRECT("VertexCalc!Y"&amp;Local)*Interfaces!Ynorm+INDIRECT("VertexCalc!Z"&amp;Local)*Interfaces!Znorm))</f>
        <v>0</v>
      </c>
      <c r="O3" s="87">
        <f ca="1" t="shared" si="1"/>
        <v>-6.971070059254095</v>
      </c>
      <c r="P3" s="88">
        <f ca="1" t="shared" si="1"/>
        <v>0</v>
      </c>
      <c r="Q3" s="89">
        <f ca="1" t="shared" si="1"/>
        <v>0</v>
      </c>
      <c r="R3" s="88">
        <f ca="1">IF(OR(Flag="Ignore",Flag="Det",Flag="Hole"),"",INDIRECT("VertexCalc!X"&amp;Local)*Interfaces!Xsag+INDIRECT("VertexCalc!Y"&amp;Local)*Interfaces!Ysag+INDIRECT("VertexCalc!Z"&amp;Local)*Interfaces!Zsag)</f>
        <v>0</v>
      </c>
      <c r="S3" s="88">
        <f ca="1">IF(OR(Flag="Ignore",Flag="Det",Flag="Hole"),"",INDIRECT("VertexCalc!X"&amp;Local)*Interfaces!Xsag+INDIRECT("VertexCalc!Y"&amp;Local)*Interfaces!Ysag+INDIRECT("VertexCalc!Z"&amp;Local)*Interfaces!Zsag)</f>
        <v>1</v>
      </c>
      <c r="T3" s="88">
        <f ca="1">IF(OR(Flag="Ignore",Flag="Det",Flag="Hole"),"",INDIRECT("VertexCalc!X"&amp;Local)*Interfaces!Xsag+INDIRECT("VertexCalc!Y"&amp;Local)*Interfaces!Ysag+INDIRECT("VertexCalc!Z"&amp;Local)*Interfaces!Zsag)</f>
        <v>0</v>
      </c>
      <c r="U3" s="87" t="e">
        <f ca="1" t="shared" si="2"/>
        <v>#VALUE!</v>
      </c>
      <c r="V3" s="88" t="e">
        <f ca="1" t="shared" si="2"/>
        <v>#VALUE!</v>
      </c>
      <c r="W3" s="89" t="e">
        <f ca="1" t="shared" si="2"/>
        <v>#VALUE!</v>
      </c>
      <c r="X3" s="12">
        <f aca="true" t="shared" si="4" ref="X3:X49">IF(OR(Flag="Ignore",Flag="Hole",Flag="Det"),"",ACOS(Xsag*Xnorm+Ysag*Ynorm+Zsag*Znorm)*180/PI())</f>
        <v>90</v>
      </c>
      <c r="Y3" s="111" t="str">
        <f t="shared" si="3"/>
        <v>M1</v>
      </c>
    </row>
    <row r="4" spans="3:25" ht="13.5" thickBot="1">
      <c r="C4" s="14">
        <f ca="1" t="shared" si="0"/>
      </c>
      <c r="D4" s="15" t="str">
        <f ca="1" t="shared" si="0"/>
        <v>M2</v>
      </c>
      <c r="E4" s="15" t="str">
        <f ca="1" t="shared" si="0"/>
        <v>Phot</v>
      </c>
      <c r="F4" s="16"/>
      <c r="G4" s="16">
        <f>IF(Interfaces!DowlDir="","",Interfaces!DowlDir)</f>
      </c>
      <c r="H4" s="15" t="str">
        <f>IF(AND(System="Phot",OR(CompName="CM3",CompName="CM5")),CompName&amp;"Cent",IF(SurfaceList!Flag="Mirror","Vertex",SurfaceList!Flag))</f>
        <v>Vertex</v>
      </c>
      <c r="I4" s="90" t="e">
        <f ca="1">IF(OR(Flag="Ignore",Flag="Det",Flag="Hole"),"",INDIRECT("VertexCalc!X"&amp;Local)*(Interfaces!Xmirr-VertexCalc!Xmirr)+INDIRECT("VertexCalc!Y"&amp;Local)*(Interfaces!Ymirr-VertexCalc!Ymirr)+INDIRECT("VertexCalc!Z"&amp;Local)*(Interfaces!Zmirr-VertexCalc!Zmirr))</f>
        <v>#VALUE!</v>
      </c>
      <c r="J4" s="91">
        <f ca="1">IF(OR(Flag="Ignore",Flag="Det",Flag="Hole"),"",INDIRECT("VertexCalc!X"&amp;Local)*(Interfaces!Xmirr-VertexCalc!Xmirr)+INDIRECT("VertexCalc!Y"&amp;Local)*(Interfaces!Ymirr-VertexCalc!Ymirr)+INDIRECT("VertexCalc!Z"&amp;Local)*(Interfaces!Zmirr-VertexCalc!Zmirr))</f>
        <v>0</v>
      </c>
      <c r="K4" s="92" t="e">
        <f ca="1">IF(OR(Flag="Ignore",Flag="Det",Flag="Hole"),"",INDIRECT("VertexCalc!X"&amp;Local)*(Interfaces!Xmirr-VertexCalc!Xmirr)+INDIRECT("VertexCalc!Y"&amp;Local)*(Interfaces!Ymirr-VertexCalc!Ymirr)+INDIRECT("VertexCalc!Z"&amp;Local)*(Interfaces!Zmirr-VertexCalc!Zmirr))</f>
        <v>#VALUE!</v>
      </c>
      <c r="L4" s="91" t="e">
        <f ca="1">IF(OR(Flag="Ignore",Flag="Det",Flag="Hole"),"",(INDIRECT("VertexCalc!X"&amp;Local)*Interfaces!Xnorm+INDIRECT("VertexCalc!Y"&amp;Local)*Interfaces!Ynorm+INDIRECT("VertexCalc!Z"&amp;Local)*Interfaces!Znorm))</f>
        <v>#VALUE!</v>
      </c>
      <c r="M4" s="91" t="e">
        <f ca="1">IF(OR(Flag="Ignore",Flag="Det",Flag="Hole"),"",(INDIRECT("VertexCalc!X"&amp;Local)*Interfaces!Xnorm+INDIRECT("VertexCalc!Y"&amp;Local)*Interfaces!Ynorm+INDIRECT("VertexCalc!Z"&amp;Local)*Interfaces!Znorm))</f>
        <v>#VALUE!</v>
      </c>
      <c r="N4" s="91" t="e">
        <f ca="1">IF(OR(Flag="Ignore",Flag="Det",Flag="Hole"),"",(INDIRECT("VertexCalc!X"&amp;Local)*Interfaces!Xnorm+INDIRECT("VertexCalc!Y"&amp;Local)*Interfaces!Ynorm+INDIRECT("VertexCalc!Z"&amp;Local)*Interfaces!Znorm))</f>
        <v>#VALUE!</v>
      </c>
      <c r="O4" s="90" t="e">
        <f ca="1" t="shared" si="1"/>
        <v>#VALUE!</v>
      </c>
      <c r="P4" s="91" t="e">
        <f ca="1" t="shared" si="1"/>
        <v>#VALUE!</v>
      </c>
      <c r="Q4" s="92" t="e">
        <f ca="1" t="shared" si="1"/>
        <v>#VALUE!</v>
      </c>
      <c r="R4" s="91" t="e">
        <f ca="1">IF(OR(Flag="Ignore",Flag="Det",Flag="Hole"),"",INDIRECT("VertexCalc!X"&amp;Local)*Interfaces!Xsag+INDIRECT("VertexCalc!Y"&amp;Local)*Interfaces!Ysag+INDIRECT("VertexCalc!Z"&amp;Local)*Interfaces!Zsag)</f>
        <v>#VALUE!</v>
      </c>
      <c r="S4" s="91">
        <f ca="1">IF(OR(Flag="Ignore",Flag="Det",Flag="Hole"),"",INDIRECT("VertexCalc!X"&amp;Local)*Interfaces!Xsag+INDIRECT("VertexCalc!Y"&amp;Local)*Interfaces!Ysag+INDIRECT("VertexCalc!Z"&amp;Local)*Interfaces!Zsag)</f>
        <v>1</v>
      </c>
      <c r="T4" s="91" t="e">
        <f ca="1">IF(OR(Flag="Ignore",Flag="Det",Flag="Hole"),"",INDIRECT("VertexCalc!X"&amp;Local)*Interfaces!Xsag+INDIRECT("VertexCalc!Y"&amp;Local)*Interfaces!Ysag+INDIRECT("VertexCalc!Z"&amp;Local)*Interfaces!Zsag)</f>
        <v>#VALUE!</v>
      </c>
      <c r="U4" s="90" t="e">
        <f ca="1" t="shared" si="2"/>
        <v>#VALUE!</v>
      </c>
      <c r="V4" s="91" t="e">
        <f ca="1" t="shared" si="2"/>
        <v>#VALUE!</v>
      </c>
      <c r="W4" s="92" t="e">
        <f ca="1" t="shared" si="2"/>
        <v>#VALUE!</v>
      </c>
      <c r="X4" s="16" t="e">
        <f t="shared" si="4"/>
        <v>#VALUE!</v>
      </c>
      <c r="Y4" s="112" t="str">
        <f t="shared" si="3"/>
        <v>M2</v>
      </c>
    </row>
    <row r="5" spans="1:25" ht="12.75">
      <c r="A5" s="19"/>
      <c r="B5" s="19"/>
      <c r="C5" s="10" t="str">
        <f ca="1" t="shared" si="0"/>
        <v>Common optics</v>
      </c>
      <c r="D5" s="11" t="str">
        <f ca="1" t="shared" si="0"/>
        <v>CFP</v>
      </c>
      <c r="E5" s="11" t="str">
        <f ca="1" t="shared" si="0"/>
        <v>Phot</v>
      </c>
      <c r="F5" s="12"/>
      <c r="G5" s="12">
        <f>IF(Interfaces!DowlDir="","",Interfaces!DowlDir)</f>
      </c>
      <c r="H5" s="11" t="str">
        <f>IF(AND(System="Phot",OR(CompName="CM3",CompName="CM5")),CompName&amp;"Cent",IF(SurfaceList!Flag="Mirror","Vertex",SurfaceList!Flag))</f>
        <v>Ignore</v>
      </c>
      <c r="I5" s="87">
        <f ca="1">IF(OR(Flag="Ignore",Flag="Det",Flag="Hole"),"",INDIRECT("VertexCalc!X"&amp;Local)*(Interfaces!Xmirr-VertexCalc!Xmirr)+INDIRECT("VertexCalc!Y"&amp;Local)*(Interfaces!Ymirr-VertexCalc!Ymirr)+INDIRECT("VertexCalc!Z"&amp;Local)*(Interfaces!Zmirr-VertexCalc!Zmirr))</f>
      </c>
      <c r="J5" s="88">
        <f ca="1">IF(OR(Flag="Ignore",Flag="Det",Flag="Hole"),"",INDIRECT("VertexCalc!X"&amp;Local)*(Interfaces!Xmirr-VertexCalc!Xmirr)+INDIRECT("VertexCalc!Y"&amp;Local)*(Interfaces!Ymirr-VertexCalc!Ymirr)+INDIRECT("VertexCalc!Z"&amp;Local)*(Interfaces!Zmirr-VertexCalc!Zmirr))</f>
      </c>
      <c r="K5" s="89">
        <f ca="1">IF(OR(Flag="Ignore",Flag="Det",Flag="Hole"),"",INDIRECT("VertexCalc!X"&amp;Local)*(Interfaces!Xmirr-VertexCalc!Xmirr)+INDIRECT("VertexCalc!Y"&amp;Local)*(Interfaces!Ymirr-VertexCalc!Ymirr)+INDIRECT("VertexCalc!Z"&amp;Local)*(Interfaces!Zmirr-VertexCalc!Zmirr))</f>
      </c>
      <c r="L5" s="88">
        <f ca="1">IF(OR(Flag="Ignore",Flag="Det",Flag="Hole"),"",(INDIRECT("VertexCalc!X"&amp;Local)*Interfaces!Xnorm+INDIRECT("VertexCalc!Y"&amp;Local)*Interfaces!Ynorm+INDIRECT("VertexCalc!Z"&amp;Local)*Interfaces!Znorm))</f>
      </c>
      <c r="M5" s="88">
        <f ca="1">IF(OR(Flag="Ignore",Flag="Det",Flag="Hole"),"",(INDIRECT("VertexCalc!X"&amp;Local)*Interfaces!Xnorm+INDIRECT("VertexCalc!Y"&amp;Local)*Interfaces!Ynorm+INDIRECT("VertexCalc!Z"&amp;Local)*Interfaces!Znorm))</f>
      </c>
      <c r="N5" s="88">
        <f ca="1">IF(OR(Flag="Ignore",Flag="Det",Flag="Hole"),"",(INDIRECT("VertexCalc!X"&amp;Local)*Interfaces!Xnorm+INDIRECT("VertexCalc!Y"&amp;Local)*Interfaces!Ynorm+INDIRECT("VertexCalc!Z"&amp;Local)*Interfaces!Znorm))</f>
      </c>
      <c r="O5" s="87">
        <f ca="1" t="shared" si="1"/>
      </c>
      <c r="P5" s="88">
        <f ca="1" t="shared" si="1"/>
      </c>
      <c r="Q5" s="89">
        <f ca="1" t="shared" si="1"/>
      </c>
      <c r="R5" s="88">
        <f ca="1">IF(OR(Flag="Ignore",Flag="Det",Flag="Hole"),"",INDIRECT("VertexCalc!X"&amp;Local)*Interfaces!Xsag+INDIRECT("VertexCalc!Y"&amp;Local)*Interfaces!Ysag+INDIRECT("VertexCalc!Z"&amp;Local)*Interfaces!Zsag)</f>
      </c>
      <c r="S5" s="88">
        <f ca="1">IF(OR(Flag="Ignore",Flag="Det",Flag="Hole"),"",INDIRECT("VertexCalc!X"&amp;Local)*Interfaces!Xsag+INDIRECT("VertexCalc!Y"&amp;Local)*Interfaces!Ysag+INDIRECT("VertexCalc!Z"&amp;Local)*Interfaces!Zsag)</f>
      </c>
      <c r="T5" s="88">
        <f ca="1">IF(OR(Flag="Ignore",Flag="Det",Flag="Hole"),"",INDIRECT("VertexCalc!X"&amp;Local)*Interfaces!Xsag+INDIRECT("VertexCalc!Y"&amp;Local)*Interfaces!Ysag+INDIRECT("VertexCalc!Z"&amp;Local)*Interfaces!Zsag)</f>
      </c>
      <c r="U5" s="87">
        <f ca="1" t="shared" si="2"/>
      </c>
      <c r="V5" s="88">
        <f ca="1" t="shared" si="2"/>
      </c>
      <c r="W5" s="89">
        <f ca="1" t="shared" si="2"/>
      </c>
      <c r="X5" s="12">
        <f t="shared" si="4"/>
      </c>
      <c r="Y5" s="111" t="str">
        <f t="shared" si="3"/>
        <v>CFP</v>
      </c>
    </row>
    <row r="6" spans="3:25" ht="12.75">
      <c r="C6" s="18">
        <f ca="1" t="shared" si="0"/>
      </c>
      <c r="D6" s="19" t="str">
        <f ca="1" t="shared" si="0"/>
        <v>CM3</v>
      </c>
      <c r="E6" s="19" t="str">
        <f ca="1" t="shared" si="0"/>
        <v>Phot</v>
      </c>
      <c r="F6" s="20" t="s">
        <v>475</v>
      </c>
      <c r="G6" s="20">
        <f>IF(Interfaces!DowlDir="","",Interfaces!DowlDir)</f>
        <v>1</v>
      </c>
      <c r="H6" s="19" t="str">
        <f>IF(AND(System="Phot",OR(CompName="CM3",CompName="CM5")),CompName&amp;"Cent",IF(SurfaceList!Flag="Mirror","Vertex",SurfaceList!Flag))</f>
        <v>Vertex</v>
      </c>
      <c r="I6" s="83">
        <f ca="1">IF(OR(Flag="Ignore",Flag="Det",Flag="Hole"),"",INDIRECT("VertexCalc!X"&amp;Local)*(Interfaces!Xmirr-VertexCalc!Xmirr)+INDIRECT("VertexCalc!Y"&amp;Local)*(Interfaces!Ymirr-VertexCalc!Ymirr)+INDIRECT("VertexCalc!Z"&amp;Local)*(Interfaces!Zmirr-VertexCalc!Zmirr))</f>
        <v>29.842008897909132</v>
      </c>
      <c r="J6" s="84">
        <f ca="1">IF(OR(Flag="Ignore",Flag="Det",Flag="Hole"),"",INDIRECT("VertexCalc!X"&amp;Local)*(Interfaces!Xmirr-VertexCalc!Xmirr)+INDIRECT("VertexCalc!Y"&amp;Local)*(Interfaces!Ymirr-VertexCalc!Ymirr)+INDIRECT("VertexCalc!Z"&amp;Local)*(Interfaces!Zmirr-VertexCalc!Zmirr))</f>
        <v>-19.500476</v>
      </c>
      <c r="K6" s="85">
        <f ca="1">IF(OR(Flag="Ignore",Flag="Det",Flag="Hole"),"",INDIRECT("VertexCalc!X"&amp;Local)*(Interfaces!Xmirr-VertexCalc!Xmirr)+INDIRECT("VertexCalc!Y"&amp;Local)*(Interfaces!Ymirr-VertexCalc!Ymirr)+INDIRECT("VertexCalc!Z"&amp;Local)*(Interfaces!Zmirr-VertexCalc!Zmirr))</f>
        <v>145.0002098453071</v>
      </c>
      <c r="L6" s="84">
        <f ca="1">IF(OR(Flag="Ignore",Flag="Det",Flag="Hole"),"",(INDIRECT("VertexCalc!X"&amp;Local)*Interfaces!Xnorm+INDIRECT("VertexCalc!Y"&amp;Local)*Interfaces!Ynorm+INDIRECT("VertexCalc!Z"&amp;Local)*Interfaces!Znorm))</f>
        <v>0.9231515556994206</v>
      </c>
      <c r="M6" s="84">
        <f ca="1">IF(OR(Flag="Ignore",Flag="Det",Flag="Hole"),"",(INDIRECT("VertexCalc!X"&amp;Local)*Interfaces!Xnorm+INDIRECT("VertexCalc!Y"&amp;Local)*Interfaces!Ynorm+INDIRECT("VertexCalc!Z"&amp;Local)*Interfaces!Znorm))</f>
        <v>0.05123993058213288</v>
      </c>
      <c r="N6" s="84">
        <f ca="1">IF(OR(Flag="Ignore",Flag="Det",Flag="Hole"),"",(INDIRECT("VertexCalc!X"&amp;Local)*Interfaces!Xnorm+INDIRECT("VertexCalc!Y"&amp;Local)*Interfaces!Ynorm+INDIRECT("VertexCalc!Z"&amp;Local)*Interfaces!Znorm))</f>
        <v>-0.3810061347585857</v>
      </c>
      <c r="O6" s="83">
        <f ca="1" t="shared" si="1"/>
        <v>16.051964247716125</v>
      </c>
      <c r="P6" s="84">
        <f ca="1" t="shared" si="1"/>
        <v>-20.265898455541496</v>
      </c>
      <c r="Q6" s="85">
        <f ca="1" t="shared" si="1"/>
        <v>150.69168225618077</v>
      </c>
      <c r="R6" s="84">
        <f ca="1">IF(OR(Flag="Ignore",Flag="Det",Flag="Hole"),"",INDIRECT("VertexCalc!X"&amp;Local)*Interfaces!Xsag+INDIRECT("VertexCalc!Y"&amp;Local)*Interfaces!Ysag+INDIRECT("VertexCalc!Z"&amp;Local)*Interfaces!Zsag)</f>
        <v>-0.052141597762138704</v>
      </c>
      <c r="S6" s="84">
        <f ca="1">IF(OR(Flag="Ignore",Flag="Det",Flag="Hole"),"",INDIRECT("VertexCalc!X"&amp;Local)*Interfaces!Xsag+INDIRECT("VertexCalc!Y"&amp;Local)*Interfaces!Ysag+INDIRECT("VertexCalc!Z"&amp;Local)*Interfaces!Zsag)</f>
        <v>0.9986079521963203</v>
      </c>
      <c r="T6" s="84">
        <f ca="1">IF(OR(Flag="Ignore",Flag="Det",Flag="Hole"),"",INDIRECT("VertexCalc!X"&amp;Local)*Interfaces!Xsag+INDIRECT("VertexCalc!Y"&amp;Local)*Interfaces!Ysag+INDIRECT("VertexCalc!Z"&amp;Local)*Interfaces!Zsag)</f>
        <v>0.00796313964985344</v>
      </c>
      <c r="U6" s="83">
        <f ca="1" t="shared" si="2"/>
        <v>15.428850994571013</v>
      </c>
      <c r="V6" s="84">
        <f ca="1" t="shared" si="2"/>
        <v>-8.332128175846389</v>
      </c>
      <c r="W6" s="85">
        <f ca="1" t="shared" si="2"/>
        <v>150.7868450065649</v>
      </c>
      <c r="X6" s="20">
        <f t="shared" si="4"/>
        <v>90</v>
      </c>
      <c r="Y6" s="113" t="str">
        <f t="shared" si="3"/>
        <v>CM3</v>
      </c>
    </row>
    <row r="7" spans="1:25" ht="12.75">
      <c r="A7" s="23" t="s">
        <v>474</v>
      </c>
      <c r="C7" s="18">
        <f ca="1" t="shared" si="0"/>
      </c>
      <c r="D7" s="19" t="str">
        <f ca="1" t="shared" si="0"/>
        <v>CM4</v>
      </c>
      <c r="E7" s="19" t="str">
        <f ca="1" t="shared" si="0"/>
        <v>Phot</v>
      </c>
      <c r="F7" s="20"/>
      <c r="G7" s="20">
        <f>IF(Interfaces!DowlDir="","",Interfaces!DowlDir)</f>
      </c>
      <c r="H7" s="19" t="str">
        <f>IF(AND(System="Phot",OR(CompName="CM3",CompName="CM5")),CompName&amp;"Cent",IF(SurfaceList!Flag="Mirror","Vertex",SurfaceList!Flag))</f>
        <v>Vertex</v>
      </c>
      <c r="I7" s="83">
        <f ca="1">IF(OR(Flag="Ignore",Flag="Det",Flag="Hole"),"",INDIRECT("VertexCalc!X"&amp;Local)*(Interfaces!Xmirr-VertexCalc!Xmirr)+INDIRECT("VertexCalc!Y"&amp;Local)*(Interfaces!Ymirr-VertexCalc!Ymirr)+INDIRECT("VertexCalc!Z"&amp;Local)*(Interfaces!Zmirr-VertexCalc!Zmirr))</f>
        <v>0</v>
      </c>
      <c r="J7" s="84">
        <f ca="1">IF(OR(Flag="Ignore",Flag="Det",Flag="Hole"),"",INDIRECT("VertexCalc!X"&amp;Local)*(Interfaces!Xmirr-VertexCalc!Xmirr)+INDIRECT("VertexCalc!Y"&amp;Local)*(Interfaces!Ymirr-VertexCalc!Ymirr)+INDIRECT("VertexCalc!Z"&amp;Local)*(Interfaces!Zmirr-VertexCalc!Zmirr))</f>
        <v>0</v>
      </c>
      <c r="K7" s="85">
        <f ca="1">IF(OR(Flag="Ignore",Flag="Det",Flag="Hole"),"",INDIRECT("VertexCalc!X"&amp;Local)*(Interfaces!Xmirr-VertexCalc!Xmirr)+INDIRECT("VertexCalc!Y"&amp;Local)*(Interfaces!Ymirr-VertexCalc!Ymirr)+INDIRECT("VertexCalc!Z"&amp;Local)*(Interfaces!Zmirr-VertexCalc!Zmirr))</f>
        <v>0</v>
      </c>
      <c r="L7" s="84">
        <f ca="1">IF(OR(Flag="Ignore",Flag="Det",Flag="Hole"),"",(INDIRECT("VertexCalc!X"&amp;Local)*Interfaces!Xnorm+INDIRECT("VertexCalc!Y"&amp;Local)*Interfaces!Ynorm+INDIRECT("VertexCalc!Z"&amp;Local)*Interfaces!Znorm))</f>
        <v>1.0000000000000002</v>
      </c>
      <c r="M7" s="84">
        <f ca="1">IF(OR(Flag="Ignore",Flag="Det",Flag="Hole"),"",(INDIRECT("VertexCalc!X"&amp;Local)*Interfaces!Xnorm+INDIRECT("VertexCalc!Y"&amp;Local)*Interfaces!Ynorm+INDIRECT("VertexCalc!Z"&amp;Local)*Interfaces!Znorm))</f>
        <v>0</v>
      </c>
      <c r="N7" s="84">
        <f ca="1">IF(OR(Flag="Ignore",Flag="Det",Flag="Hole"),"",(INDIRECT("VertexCalc!X"&amp;Local)*Interfaces!Xnorm+INDIRECT("VertexCalc!Y"&amp;Local)*Interfaces!Ynorm+INDIRECT("VertexCalc!Z"&amp;Local)*Interfaces!Znorm))</f>
        <v>0</v>
      </c>
      <c r="O7" s="83">
        <f ca="1" t="shared" si="1"/>
        <v>-6.971070059254097</v>
      </c>
      <c r="P7" s="84">
        <f ca="1" t="shared" si="1"/>
        <v>0</v>
      </c>
      <c r="Q7" s="85">
        <f ca="1" t="shared" si="1"/>
        <v>0</v>
      </c>
      <c r="R7" s="84">
        <f ca="1">IF(OR(Flag="Ignore",Flag="Det",Flag="Hole"),"",INDIRECT("VertexCalc!X"&amp;Local)*Interfaces!Xsag+INDIRECT("VertexCalc!Y"&amp;Local)*Interfaces!Ysag+INDIRECT("VertexCalc!Z"&amp;Local)*Interfaces!Zsag)</f>
        <v>0</v>
      </c>
      <c r="S7" s="84">
        <f ca="1">IF(OR(Flag="Ignore",Flag="Det",Flag="Hole"),"",INDIRECT("VertexCalc!X"&amp;Local)*Interfaces!Xsag+INDIRECT("VertexCalc!Y"&amp;Local)*Interfaces!Ysag+INDIRECT("VertexCalc!Z"&amp;Local)*Interfaces!Zsag)</f>
        <v>1</v>
      </c>
      <c r="T7" s="84">
        <f ca="1">IF(OR(Flag="Ignore",Flag="Det",Flag="Hole"),"",INDIRECT("VertexCalc!X"&amp;Local)*Interfaces!Xsag+INDIRECT("VertexCalc!Y"&amp;Local)*Interfaces!Ysag+INDIRECT("VertexCalc!Z"&amp;Local)*Interfaces!Zsag)</f>
        <v>0</v>
      </c>
      <c r="U7" s="83" t="e">
        <f ca="1" t="shared" si="2"/>
        <v>#VALUE!</v>
      </c>
      <c r="V7" s="84" t="e">
        <f ca="1" t="shared" si="2"/>
        <v>#VALUE!</v>
      </c>
      <c r="W7" s="85" t="e">
        <f ca="1" t="shared" si="2"/>
        <v>#VALUE!</v>
      </c>
      <c r="X7" s="20">
        <f t="shared" si="4"/>
        <v>90</v>
      </c>
      <c r="Y7" s="113" t="str">
        <f t="shared" si="3"/>
        <v>CM4</v>
      </c>
    </row>
    <row r="8" spans="1:25" ht="13.5" thickBot="1">
      <c r="A8" s="1" t="s">
        <v>475</v>
      </c>
      <c r="B8" s="1">
        <f ca="1">INDIRECT("interfaces!"&amp;A8)</f>
        <v>-14.938007269830203</v>
      </c>
      <c r="C8" s="14">
        <f ca="1" t="shared" si="0"/>
      </c>
      <c r="D8" s="15" t="str">
        <f ca="1" t="shared" si="0"/>
        <v>CM5</v>
      </c>
      <c r="E8" s="15" t="str">
        <f ca="1" t="shared" si="0"/>
        <v>Phot</v>
      </c>
      <c r="F8" s="16" t="s">
        <v>475</v>
      </c>
      <c r="G8" s="16">
        <f>IF(Interfaces!DowlDir="","",Interfaces!DowlDir)</f>
        <v>1</v>
      </c>
      <c r="H8" s="15" t="str">
        <f>IF(AND(System="Phot",OR(CompName="CM3",CompName="CM5")),CompName&amp;"Cent",IF(SurfaceList!Flag="Mirror","Vertex",SurfaceList!Flag))</f>
        <v>Vertex</v>
      </c>
      <c r="I8" s="90">
        <f ca="1">IF(OR(Flag="Ignore",Flag="Det",Flag="Hole"),"",INDIRECT("VertexCalc!X"&amp;Local)*(Interfaces!Xmirr-VertexCalc!Xmirr)+INDIRECT("VertexCalc!Y"&amp;Local)*(Interfaces!Ymirr-VertexCalc!Ymirr)+INDIRECT("VertexCalc!Z"&amp;Local)*(Interfaces!Zmirr-VertexCalc!Zmirr))</f>
        <v>0.6875339169940939</v>
      </c>
      <c r="J8" s="91">
        <f ca="1">IF(OR(Flag="Ignore",Flag="Det",Flag="Hole"),"",INDIRECT("VertexCalc!X"&amp;Local)*(Interfaces!Xmirr-VertexCalc!Xmirr)+INDIRECT("VertexCalc!Y"&amp;Local)*(Interfaces!Ymirr-VertexCalc!Ymirr)+INDIRECT("VertexCalc!Z"&amp;Local)*(Interfaces!Zmirr-VertexCalc!Zmirr))</f>
        <v>19.499867</v>
      </c>
      <c r="K8" s="92">
        <f ca="1">IF(OR(Flag="Ignore",Flag="Det",Flag="Hole"),"",INDIRECT("VertexCalc!X"&amp;Local)*(Interfaces!Xmirr-VertexCalc!Xmirr)+INDIRECT("VertexCalc!Y"&amp;Local)*(Interfaces!Ymirr-VertexCalc!Ymirr)+INDIRECT("VertexCalc!Z"&amp;Local)*(Interfaces!Zmirr-VertexCalc!Zmirr))</f>
        <v>-1.4999497851430932</v>
      </c>
      <c r="L8" s="91">
        <f ca="1">IF(OR(Flag="Ignore",Flag="Det",Flag="Hole"),"",(INDIRECT("VertexCalc!X"&amp;Local)*Interfaces!Xnorm+INDIRECT("VertexCalc!Y"&amp;Local)*Interfaces!Ynorm+INDIRECT("VertexCalc!Z"&amp;Local)*Interfaces!Znorm))</f>
        <v>0.9975313232274583</v>
      </c>
      <c r="M8" s="91">
        <f ca="1">IF(OR(Flag="Ignore",Flag="Det",Flag="Hole"),"",(INDIRECT("VertexCalc!X"&amp;Local)*Interfaces!Xnorm+INDIRECT("VertexCalc!Y"&amp;Local)*Interfaces!Ynorm+INDIRECT("VertexCalc!Z"&amp;Local)*Interfaces!Znorm))</f>
        <v>-0.07003815177270171</v>
      </c>
      <c r="N8" s="91">
        <f ca="1">IF(OR(Flag="Ignore",Flag="Det",Flag="Hole"),"",(INDIRECT("VertexCalc!X"&amp;Local)*Interfaces!Xnorm+INDIRECT("VertexCalc!Y"&amp;Local)*Interfaces!Ynorm+INDIRECT("VertexCalc!Z"&amp;Local)*Interfaces!Znorm))</f>
        <v>0.0050908227567223185</v>
      </c>
      <c r="O8" s="90">
        <f ca="1" t="shared" si="1"/>
        <v>-14.21359624126102</v>
      </c>
      <c r="P8" s="91">
        <f ca="1" t="shared" si="1"/>
        <v>20.546097420346086</v>
      </c>
      <c r="Q8" s="92">
        <f ca="1" t="shared" si="1"/>
        <v>-1.5759965324924283</v>
      </c>
      <c r="R8" s="91">
        <f ca="1">IF(OR(Flag="Ignore",Flag="Det",Flag="Hole"),"",INDIRECT("VertexCalc!X"&amp;Local)*Interfaces!Xsag+INDIRECT("VertexCalc!Y"&amp;Local)*Interfaces!Ysag+INDIRECT("VertexCalc!Z"&amp;Local)*Interfaces!Zsag)</f>
        <v>0.06993038698993691</v>
      </c>
      <c r="S8" s="91">
        <f ca="1">IF(OR(Flag="Ignore",Flag="Det",Flag="Hole"),"",INDIRECT("VertexCalc!X"&amp;Local)*Interfaces!Xsag+INDIRECT("VertexCalc!Y"&amp;Local)*Interfaces!Ysag+INDIRECT("VertexCalc!Z"&amp;Local)*Interfaces!Zsag)</f>
        <v>0.9973722810806622</v>
      </c>
      <c r="T8" s="91">
        <f ca="1">IF(OR(Flag="Ignore",Flag="Det",Flag="Hole"),"",INDIRECT("VertexCalc!X"&amp;Local)*Interfaces!Xsag+INDIRECT("VertexCalc!Y"&amp;Local)*Interfaces!Ysag+INDIRECT("VertexCalc!Z"&amp;Local)*Interfaces!Zsag)</f>
        <v>0.01892812477225754</v>
      </c>
      <c r="U8" s="90">
        <f ca="1" t="shared" si="2"/>
        <v>-13.377899737870848</v>
      </c>
      <c r="V8" s="91">
        <f ca="1" t="shared" si="2"/>
        <v>32.46510092875414</v>
      </c>
      <c r="W8" s="92">
        <f ca="1" t="shared" si="2"/>
        <v>-1.3497977601306392</v>
      </c>
      <c r="X8" s="16">
        <f t="shared" si="4"/>
        <v>90.00000000000001</v>
      </c>
      <c r="Y8" s="112" t="str">
        <f t="shared" si="3"/>
        <v>CM5</v>
      </c>
    </row>
    <row r="9" spans="1:25" ht="12.75">
      <c r="A9" s="1" t="s">
        <v>476</v>
      </c>
      <c r="B9" s="1">
        <f ca="1">INDIRECT("interfaces!"&amp;A9)</f>
        <v>-6.971070059254095</v>
      </c>
      <c r="C9" s="10" t="str">
        <f ca="1" t="shared" si="0"/>
        <v>Photometer optics</v>
      </c>
      <c r="D9" s="11" t="str">
        <f ca="1" t="shared" si="0"/>
        <v>PM6</v>
      </c>
      <c r="E9" s="11" t="str">
        <f ca="1" t="shared" si="0"/>
        <v>Phot</v>
      </c>
      <c r="F9" s="12"/>
      <c r="G9" s="12">
        <f>IF(Interfaces!DowlDir="","",Interfaces!DowlDir)</f>
        <v>1</v>
      </c>
      <c r="H9" s="11" t="str">
        <f>IF(AND(System="Phot",OR(CompName="CM3",CompName="CM5")),CompName&amp;"Cent",IF(SurfaceList!Flag="Mirror","Vertex",SurfaceList!Flag))</f>
        <v>Vertex</v>
      </c>
      <c r="I9" s="87">
        <f ca="1">IF(OR(Flag="Ignore",Flag="Det",Flag="Hole"),"",INDIRECT("VertexCalc!X"&amp;Local)*(Interfaces!Xmirr-VertexCalc!Xmirr)+INDIRECT("VertexCalc!Y"&amp;Local)*(Interfaces!Ymirr-VertexCalc!Ymirr)+INDIRECT("VertexCalc!Z"&amp;Local)*(Interfaces!Zmirr-VertexCalc!Zmirr))</f>
        <v>0</v>
      </c>
      <c r="J9" s="88">
        <f ca="1">IF(OR(Flag="Ignore",Flag="Det",Flag="Hole"),"",INDIRECT("VertexCalc!X"&amp;Local)*(Interfaces!Xmirr-VertexCalc!Xmirr)+INDIRECT("VertexCalc!Y"&amp;Local)*(Interfaces!Ymirr-VertexCalc!Ymirr)+INDIRECT("VertexCalc!Z"&amp;Local)*(Interfaces!Zmirr-VertexCalc!Zmirr))</f>
        <v>0</v>
      </c>
      <c r="K9" s="89">
        <f ca="1">IF(OR(Flag="Ignore",Flag="Det",Flag="Hole"),"",INDIRECT("VertexCalc!X"&amp;Local)*(Interfaces!Xmirr-VertexCalc!Xmirr)+INDIRECT("VertexCalc!Y"&amp;Local)*(Interfaces!Ymirr-VertexCalc!Ymirr)+INDIRECT("VertexCalc!Z"&amp;Local)*(Interfaces!Zmirr-VertexCalc!Zmirr))</f>
        <v>0</v>
      </c>
      <c r="L9" s="88">
        <f ca="1">IF(OR(Flag="Ignore",Flag="Det",Flag="Hole"),"",(INDIRECT("VertexCalc!X"&amp;Local)*Interfaces!Xnorm+INDIRECT("VertexCalc!Y"&amp;Local)*Interfaces!Ynorm+INDIRECT("VertexCalc!Z"&amp;Local)*Interfaces!Znorm))</f>
        <v>1</v>
      </c>
      <c r="M9" s="88">
        <f ca="1">IF(OR(Flag="Ignore",Flag="Det",Flag="Hole"),"",(INDIRECT("VertexCalc!X"&amp;Local)*Interfaces!Xnorm+INDIRECT("VertexCalc!Y"&amp;Local)*Interfaces!Ynorm+INDIRECT("VertexCalc!Z"&amp;Local)*Interfaces!Znorm))</f>
        <v>0</v>
      </c>
      <c r="N9" s="88">
        <f ca="1">IF(OR(Flag="Ignore",Flag="Det",Flag="Hole"),"",(INDIRECT("VertexCalc!X"&amp;Local)*Interfaces!Xnorm+INDIRECT("VertexCalc!Y"&amp;Local)*Interfaces!Ynorm+INDIRECT("VertexCalc!Z"&amp;Local)*Interfaces!Znorm))</f>
        <v>0</v>
      </c>
      <c r="O9" s="87">
        <f ca="1" t="shared" si="1"/>
        <v>-6.971070059254095</v>
      </c>
      <c r="P9" s="88">
        <f ca="1" t="shared" si="1"/>
        <v>0</v>
      </c>
      <c r="Q9" s="89">
        <f ca="1" t="shared" si="1"/>
        <v>0</v>
      </c>
      <c r="R9" s="88">
        <f ca="1">IF(OR(Flag="Ignore",Flag="Det",Flag="Hole"),"",INDIRECT("VertexCalc!X"&amp;Local)*Interfaces!Xsag+INDIRECT("VertexCalc!Y"&amp;Local)*Interfaces!Ysag+INDIRECT("VertexCalc!Z"&amp;Local)*Interfaces!Zsag)</f>
        <v>0</v>
      </c>
      <c r="S9" s="88">
        <f ca="1">IF(OR(Flag="Ignore",Flag="Det",Flag="Hole"),"",INDIRECT("VertexCalc!X"&amp;Local)*Interfaces!Xsag+INDIRECT("VertexCalc!Y"&amp;Local)*Interfaces!Ysag+INDIRECT("VertexCalc!Z"&amp;Local)*Interfaces!Zsag)</f>
        <v>1</v>
      </c>
      <c r="T9" s="88">
        <f ca="1">IF(OR(Flag="Ignore",Flag="Det",Flag="Hole"),"",INDIRECT("VertexCalc!X"&amp;Local)*Interfaces!Xsag+INDIRECT("VertexCalc!Y"&amp;Local)*Interfaces!Ysag+INDIRECT("VertexCalc!Z"&amp;Local)*Interfaces!Zsag)</f>
        <v>0</v>
      </c>
      <c r="U9" s="87">
        <f ca="1" t="shared" si="2"/>
        <v>-6.971070059254095</v>
      </c>
      <c r="V9" s="88">
        <f ca="1" t="shared" si="2"/>
        <v>11.950405815864162</v>
      </c>
      <c r="W9" s="89">
        <f ca="1" t="shared" si="2"/>
        <v>0</v>
      </c>
      <c r="X9" s="12">
        <f t="shared" si="4"/>
        <v>90</v>
      </c>
      <c r="Y9" s="111" t="str">
        <f t="shared" si="3"/>
        <v>PM6</v>
      </c>
    </row>
    <row r="10" spans="3:25" ht="12.75">
      <c r="C10" s="18">
        <f ca="1" t="shared" si="0"/>
      </c>
      <c r="D10" s="19" t="str">
        <f ca="1" t="shared" si="0"/>
        <v>PM7</v>
      </c>
      <c r="E10" s="19" t="str">
        <f ca="1" t="shared" si="0"/>
        <v>Phot</v>
      </c>
      <c r="F10" s="20" t="s">
        <v>475</v>
      </c>
      <c r="G10" s="20">
        <f>IF(Interfaces!DowlDir="","",Interfaces!DowlDir)</f>
        <v>1</v>
      </c>
      <c r="H10" s="19" t="str">
        <f>IF(AND(System="Phot",OR(CompName="CM3",CompName="CM5")),CompName&amp;"Cent",IF(SurfaceList!Flag="Mirror","Vertex",SurfaceList!Flag))</f>
        <v>Vertex</v>
      </c>
      <c r="I10" s="83">
        <f ca="1">IF(OR(Flag="Ignore",Flag="Det",Flag="Hole"),"",INDIRECT("VertexCalc!X"&amp;Local)*(Interfaces!Xmirr-VertexCalc!Xmirr)+INDIRECT("VertexCalc!Y"&amp;Local)*(Interfaces!Ymirr-VertexCalc!Ymirr)+INDIRECT("VertexCalc!Z"&amp;Local)*(Interfaces!Zmirr-VertexCalc!Zmirr))</f>
        <v>0</v>
      </c>
      <c r="J10" s="84">
        <f ca="1">IF(OR(Flag="Ignore",Flag="Det",Flag="Hole"),"",INDIRECT("VertexCalc!X"&amp;Local)*(Interfaces!Xmirr-VertexCalc!Xmirr)+INDIRECT("VertexCalc!Y"&amp;Local)*(Interfaces!Ymirr-VertexCalc!Ymirr)+INDIRECT("VertexCalc!Z"&amp;Local)*(Interfaces!Zmirr-VertexCalc!Zmirr))</f>
        <v>0</v>
      </c>
      <c r="K10" s="85">
        <f ca="1">IF(OR(Flag="Ignore",Flag="Det",Flag="Hole"),"",INDIRECT("VertexCalc!X"&amp;Local)*(Interfaces!Xmirr-VertexCalc!Xmirr)+INDIRECT("VertexCalc!Y"&amp;Local)*(Interfaces!Ymirr-VertexCalc!Ymirr)+INDIRECT("VertexCalc!Z"&amp;Local)*(Interfaces!Zmirr-VertexCalc!Zmirr))</f>
        <v>0</v>
      </c>
      <c r="L10" s="84">
        <f ca="1">IF(OR(Flag="Ignore",Flag="Det",Flag="Hole"),"",(INDIRECT("VertexCalc!X"&amp;Local)*Interfaces!Xnorm+INDIRECT("VertexCalc!Y"&amp;Local)*Interfaces!Ynorm+INDIRECT("VertexCalc!Z"&amp;Local)*Interfaces!Znorm))</f>
        <v>0.9999999999999999</v>
      </c>
      <c r="M10" s="84">
        <f ca="1">IF(OR(Flag="Ignore",Flag="Det",Flag="Hole"),"",(INDIRECT("VertexCalc!X"&amp;Local)*Interfaces!Xnorm+INDIRECT("VertexCalc!Y"&amp;Local)*Interfaces!Ynorm+INDIRECT("VertexCalc!Z"&amp;Local)*Interfaces!Znorm))</f>
        <v>0</v>
      </c>
      <c r="N10" s="84">
        <f ca="1">IF(OR(Flag="Ignore",Flag="Det",Flag="Hole"),"",(INDIRECT("VertexCalc!X"&amp;Local)*Interfaces!Xnorm+INDIRECT("VertexCalc!Y"&amp;Local)*Interfaces!Ynorm+INDIRECT("VertexCalc!Z"&amp;Local)*Interfaces!Znorm))</f>
        <v>0</v>
      </c>
      <c r="O10" s="83">
        <f ca="1" t="shared" si="1"/>
        <v>-14.938007269830202</v>
      </c>
      <c r="P10" s="84">
        <f ca="1" t="shared" si="1"/>
        <v>0</v>
      </c>
      <c r="Q10" s="85">
        <f ca="1" t="shared" si="1"/>
        <v>0</v>
      </c>
      <c r="R10" s="84">
        <f ca="1">IF(OR(Flag="Ignore",Flag="Det",Flag="Hole"),"",INDIRECT("VertexCalc!X"&amp;Local)*Interfaces!Xsag+INDIRECT("VertexCalc!Y"&amp;Local)*Interfaces!Ysag+INDIRECT("VertexCalc!Z"&amp;Local)*Interfaces!Zsag)</f>
        <v>0</v>
      </c>
      <c r="S10" s="84">
        <f ca="1">IF(OR(Flag="Ignore",Flag="Det",Flag="Hole"),"",INDIRECT("VertexCalc!X"&amp;Local)*Interfaces!Xsag+INDIRECT("VertexCalc!Y"&amp;Local)*Interfaces!Ysag+INDIRECT("VertexCalc!Z"&amp;Local)*Interfaces!Zsag)</f>
        <v>1</v>
      </c>
      <c r="T10" s="84">
        <f ca="1">IF(OR(Flag="Ignore",Flag="Det",Flag="Hole"),"",INDIRECT("VertexCalc!X"&amp;Local)*Interfaces!Xsag+INDIRECT("VertexCalc!Y"&amp;Local)*Interfaces!Ysag+INDIRECT("VertexCalc!Z"&amp;Local)*Interfaces!Zsag)</f>
        <v>0</v>
      </c>
      <c r="U10" s="83">
        <f ca="1" t="shared" si="2"/>
        <v>-14.938007269830202</v>
      </c>
      <c r="V10" s="84">
        <f ca="1" t="shared" si="2"/>
        <v>11.950405815864162</v>
      </c>
      <c r="W10" s="85">
        <f ca="1" t="shared" si="2"/>
        <v>0</v>
      </c>
      <c r="X10" s="20">
        <f t="shared" si="4"/>
        <v>90</v>
      </c>
      <c r="Y10" s="113" t="str">
        <f t="shared" si="3"/>
        <v>PM7</v>
      </c>
    </row>
    <row r="11" spans="1:25" ht="12.75">
      <c r="A11" s="23" t="s">
        <v>479</v>
      </c>
      <c r="C11" s="18">
        <f ca="1" t="shared" si="0"/>
      </c>
      <c r="D11" s="19" t="str">
        <f ca="1" t="shared" si="0"/>
        <v>PM8</v>
      </c>
      <c r="E11" s="19" t="str">
        <f ca="1" t="shared" si="0"/>
        <v>Phot</v>
      </c>
      <c r="F11" s="20"/>
      <c r="G11" s="20">
        <f>IF(Interfaces!DowlDir="","",Interfaces!DowlDir)</f>
        <v>1</v>
      </c>
      <c r="H11" s="19" t="str">
        <f>IF(AND(System="Phot",OR(CompName="CM3",CompName="CM5")),CompName&amp;"Cent",IF(SurfaceList!Flag="Mirror","Vertex",SurfaceList!Flag))</f>
        <v>Vertex</v>
      </c>
      <c r="I11" s="83">
        <f ca="1">IF(OR(Flag="Ignore",Flag="Det",Flag="Hole"),"",INDIRECT("VertexCalc!X"&amp;Local)*(Interfaces!Xmirr-VertexCalc!Xmirr)+INDIRECT("VertexCalc!Y"&amp;Local)*(Interfaces!Ymirr-VertexCalc!Ymirr)+INDIRECT("VertexCalc!Z"&amp;Local)*(Interfaces!Zmirr-VertexCalc!Zmirr))</f>
        <v>0</v>
      </c>
      <c r="J11" s="84">
        <f ca="1">IF(OR(Flag="Ignore",Flag="Det",Flag="Hole"),"",INDIRECT("VertexCalc!X"&amp;Local)*(Interfaces!Xmirr-VertexCalc!Xmirr)+INDIRECT("VertexCalc!Y"&amp;Local)*(Interfaces!Ymirr-VertexCalc!Ymirr)+INDIRECT("VertexCalc!Z"&amp;Local)*(Interfaces!Zmirr-VertexCalc!Zmirr))</f>
        <v>0</v>
      </c>
      <c r="K11" s="85">
        <f ca="1">IF(OR(Flag="Ignore",Flag="Det",Flag="Hole"),"",INDIRECT("VertexCalc!X"&amp;Local)*(Interfaces!Xmirr-VertexCalc!Xmirr)+INDIRECT("VertexCalc!Y"&amp;Local)*(Interfaces!Ymirr-VertexCalc!Ymirr)+INDIRECT("VertexCalc!Z"&amp;Local)*(Interfaces!Zmirr-VertexCalc!Zmirr))</f>
        <v>0</v>
      </c>
      <c r="L11" s="84">
        <f ca="1">IF(OR(Flag="Ignore",Flag="Det",Flag="Hole"),"",(INDIRECT("VertexCalc!X"&amp;Local)*Interfaces!Xnorm+INDIRECT("VertexCalc!Y"&amp;Local)*Interfaces!Ynorm+INDIRECT("VertexCalc!Z"&amp;Local)*Interfaces!Znorm))</f>
        <v>1</v>
      </c>
      <c r="M11" s="84">
        <f ca="1">IF(OR(Flag="Ignore",Flag="Det",Flag="Hole"),"",(INDIRECT("VertexCalc!X"&amp;Local)*Interfaces!Xnorm+INDIRECT("VertexCalc!Y"&amp;Local)*Interfaces!Ynorm+INDIRECT("VertexCalc!Z"&amp;Local)*Interfaces!Znorm))</f>
        <v>0</v>
      </c>
      <c r="N11" s="84">
        <f ca="1">IF(OR(Flag="Ignore",Flag="Det",Flag="Hole"),"",(INDIRECT("VertexCalc!X"&amp;Local)*Interfaces!Xnorm+INDIRECT("VertexCalc!Y"&amp;Local)*Interfaces!Ynorm+INDIRECT("VertexCalc!Z"&amp;Local)*Interfaces!Znorm))</f>
        <v>0</v>
      </c>
      <c r="O11" s="83">
        <f ca="1" t="shared" si="1"/>
        <v>-6.971070059254095</v>
      </c>
      <c r="P11" s="84">
        <f ca="1" t="shared" si="1"/>
        <v>0</v>
      </c>
      <c r="Q11" s="85">
        <f ca="1" t="shared" si="1"/>
        <v>0</v>
      </c>
      <c r="R11" s="84">
        <f ca="1">IF(OR(Flag="Ignore",Flag="Det",Flag="Hole"),"",INDIRECT("VertexCalc!X"&amp;Local)*Interfaces!Xsag+INDIRECT("VertexCalc!Y"&amp;Local)*Interfaces!Ysag+INDIRECT("VertexCalc!Z"&amp;Local)*Interfaces!Zsag)</f>
        <v>0</v>
      </c>
      <c r="S11" s="84">
        <f ca="1">IF(OR(Flag="Ignore",Flag="Det",Flag="Hole"),"",INDIRECT("VertexCalc!X"&amp;Local)*Interfaces!Xsag+INDIRECT("VertexCalc!Y"&amp;Local)*Interfaces!Ysag+INDIRECT("VertexCalc!Z"&amp;Local)*Interfaces!Zsag)</f>
        <v>1</v>
      </c>
      <c r="T11" s="84">
        <f ca="1">IF(OR(Flag="Ignore",Flag="Det",Flag="Hole"),"",INDIRECT("VertexCalc!X"&amp;Local)*Interfaces!Xsag+INDIRECT("VertexCalc!Y"&amp;Local)*Interfaces!Ysag+INDIRECT("VertexCalc!Z"&amp;Local)*Interfaces!Zsag)</f>
        <v>0</v>
      </c>
      <c r="U11" s="83">
        <f ca="1" t="shared" si="2"/>
        <v>-6.971070059254095</v>
      </c>
      <c r="V11" s="84">
        <f ca="1" t="shared" si="2"/>
        <v>11.950405815864162</v>
      </c>
      <c r="W11" s="85">
        <f ca="1" t="shared" si="2"/>
        <v>0</v>
      </c>
      <c r="X11" s="20">
        <f t="shared" si="4"/>
        <v>90</v>
      </c>
      <c r="Y11" s="113" t="str">
        <f t="shared" si="3"/>
        <v>PM8</v>
      </c>
    </row>
    <row r="12" spans="1:25" ht="12.75">
      <c r="A12" s="1" t="s">
        <v>324</v>
      </c>
      <c r="B12" s="1">
        <f ca="1">INDIRECT("interfaces!"&amp;A12)</f>
        <v>11.950405815864162</v>
      </c>
      <c r="C12" s="18">
        <f ca="1" t="shared" si="0"/>
      </c>
      <c r="D12" s="19" t="str">
        <f ca="1" t="shared" si="0"/>
        <v>PCS</v>
      </c>
      <c r="E12" s="19" t="str">
        <f ca="1" t="shared" si="0"/>
        <v>Phot</v>
      </c>
      <c r="F12" s="20"/>
      <c r="G12" s="20">
        <f>IF(Interfaces!DowlDir="","",Interfaces!DowlDir)</f>
      </c>
      <c r="H12" s="19" t="str">
        <f>IF(AND(System="Phot",OR(CompName="CM3",CompName="CM5")),CompName&amp;"Cent",IF(SurfaceList!Flag="Mirror","Vertex",SurfaceList!Flag))</f>
        <v>Hole</v>
      </c>
      <c r="I12" s="83">
        <f ca="1">IF(OR(Flag="Ignore",Flag="Det",Flag="Hole"),"",INDIRECT("VertexCalc!X"&amp;Local)*(Interfaces!Xmirr-VertexCalc!Xmirr)+INDIRECT("VertexCalc!Y"&amp;Local)*(Interfaces!Ymirr-VertexCalc!Ymirr)+INDIRECT("VertexCalc!Z"&amp;Local)*(Interfaces!Zmirr-VertexCalc!Zmirr))</f>
      </c>
      <c r="J12" s="84">
        <f ca="1">IF(OR(Flag="Ignore",Flag="Det",Flag="Hole"),"",INDIRECT("VertexCalc!X"&amp;Local)*(Interfaces!Xmirr-VertexCalc!Xmirr)+INDIRECT("VertexCalc!Y"&amp;Local)*(Interfaces!Ymirr-VertexCalc!Ymirr)+INDIRECT("VertexCalc!Z"&amp;Local)*(Interfaces!Zmirr-VertexCalc!Zmirr))</f>
      </c>
      <c r="K12" s="85">
        <f ca="1">IF(OR(Flag="Ignore",Flag="Det",Flag="Hole"),"",INDIRECT("VertexCalc!X"&amp;Local)*(Interfaces!Xmirr-VertexCalc!Xmirr)+INDIRECT("VertexCalc!Y"&amp;Local)*(Interfaces!Ymirr-VertexCalc!Ymirr)+INDIRECT("VertexCalc!Z"&amp;Local)*(Interfaces!Zmirr-VertexCalc!Zmirr))</f>
      </c>
      <c r="L12" s="84">
        <f ca="1">IF(OR(Flag="Ignore",Flag="Det",Flag="Hole"),"",(INDIRECT("VertexCalc!X"&amp;Local)*Interfaces!Xnorm+INDIRECT("VertexCalc!Y"&amp;Local)*Interfaces!Ynorm+INDIRECT("VertexCalc!Z"&amp;Local)*Interfaces!Znorm))</f>
      </c>
      <c r="M12" s="84">
        <f ca="1">IF(OR(Flag="Ignore",Flag="Det",Flag="Hole"),"",(INDIRECT("VertexCalc!X"&amp;Local)*Interfaces!Xnorm+INDIRECT("VertexCalc!Y"&amp;Local)*Interfaces!Ynorm+INDIRECT("VertexCalc!Z"&amp;Local)*Interfaces!Znorm))</f>
      </c>
      <c r="N12" s="84">
        <f ca="1">IF(OR(Flag="Ignore",Flag="Det",Flag="Hole"),"",(INDIRECT("VertexCalc!X"&amp;Local)*Interfaces!Xnorm+INDIRECT("VertexCalc!Y"&amp;Local)*Interfaces!Ynorm+INDIRECT("VertexCalc!Z"&amp;Local)*Interfaces!Znorm))</f>
      </c>
      <c r="O12" s="83">
        <f ca="1" t="shared" si="1"/>
      </c>
      <c r="P12" s="84">
        <f ca="1" t="shared" si="1"/>
      </c>
      <c r="Q12" s="85">
        <f ca="1" t="shared" si="1"/>
      </c>
      <c r="R12" s="84">
        <f ca="1">IF(OR(Flag="Ignore",Flag="Det",Flag="Hole"),"",INDIRECT("VertexCalc!X"&amp;Local)*Interfaces!Xsag+INDIRECT("VertexCalc!Y"&amp;Local)*Interfaces!Ysag+INDIRECT("VertexCalc!Z"&amp;Local)*Interfaces!Zsag)</f>
      </c>
      <c r="S12" s="84">
        <f ca="1">IF(OR(Flag="Ignore",Flag="Det",Flag="Hole"),"",INDIRECT("VertexCalc!X"&amp;Local)*Interfaces!Xsag+INDIRECT("VertexCalc!Y"&amp;Local)*Interfaces!Ysag+INDIRECT("VertexCalc!Z"&amp;Local)*Interfaces!Zsag)</f>
      </c>
      <c r="T12" s="84">
        <f ca="1">IF(OR(Flag="Ignore",Flag="Det",Flag="Hole"),"",INDIRECT("VertexCalc!X"&amp;Local)*Interfaces!Xsag+INDIRECT("VertexCalc!Y"&amp;Local)*Interfaces!Ysag+INDIRECT("VertexCalc!Z"&amp;Local)*Interfaces!Zsag)</f>
      </c>
      <c r="U12" s="83">
        <f ca="1" t="shared" si="2"/>
      </c>
      <c r="V12" s="84">
        <f ca="1" t="shared" si="2"/>
      </c>
      <c r="W12" s="85">
        <f ca="1" t="shared" si="2"/>
      </c>
      <c r="X12" s="20">
        <f t="shared" si="4"/>
      </c>
      <c r="Y12" s="113" t="str">
        <f t="shared" si="3"/>
        <v>PCS</v>
      </c>
    </row>
    <row r="13" spans="3:25" ht="13.5" thickBot="1">
      <c r="C13" s="14">
        <f ca="1" t="shared" si="0"/>
      </c>
      <c r="D13" s="15" t="str">
        <f ca="1" t="shared" si="0"/>
        <v>PM9</v>
      </c>
      <c r="E13" s="15" t="str">
        <f ca="1" t="shared" si="0"/>
        <v>Phot</v>
      </c>
      <c r="F13" s="16" t="s">
        <v>475</v>
      </c>
      <c r="G13" s="16">
        <f>IF(Interfaces!DowlDir="","",Interfaces!DowlDir)</f>
        <v>1</v>
      </c>
      <c r="H13" s="15" t="str">
        <f>IF(AND(System="Phot",OR(CompName="CM3",CompName="CM5")),CompName&amp;"Cent",IF(SurfaceList!Flag="Mirror","Vertex",SurfaceList!Flag))</f>
        <v>Vertex</v>
      </c>
      <c r="I13" s="90">
        <f ca="1">IF(OR(Flag="Ignore",Flag="Det",Flag="Hole"),"",INDIRECT("VertexCalc!X"&amp;Local)*(Interfaces!Xmirr-VertexCalc!Xmirr)+INDIRECT("VertexCalc!Y"&amp;Local)*(Interfaces!Ymirr-VertexCalc!Ymirr)+INDIRECT("VertexCalc!Z"&amp;Local)*(Interfaces!Zmirr-VertexCalc!Zmirr))</f>
        <v>0</v>
      </c>
      <c r="J13" s="91">
        <f ca="1">IF(OR(Flag="Ignore",Flag="Det",Flag="Hole"),"",INDIRECT("VertexCalc!X"&amp;Local)*(Interfaces!Xmirr-VertexCalc!Xmirr)+INDIRECT("VertexCalc!Y"&amp;Local)*(Interfaces!Ymirr-VertexCalc!Ymirr)+INDIRECT("VertexCalc!Z"&amp;Local)*(Interfaces!Zmirr-VertexCalc!Zmirr))</f>
        <v>0</v>
      </c>
      <c r="K13" s="92">
        <f ca="1">IF(OR(Flag="Ignore",Flag="Det",Flag="Hole"),"",INDIRECT("VertexCalc!X"&amp;Local)*(Interfaces!Xmirr-VertexCalc!Xmirr)+INDIRECT("VertexCalc!Y"&amp;Local)*(Interfaces!Ymirr-VertexCalc!Ymirr)+INDIRECT("VertexCalc!Z"&amp;Local)*(Interfaces!Zmirr-VertexCalc!Zmirr))</f>
        <v>0</v>
      </c>
      <c r="L13" s="91">
        <f ca="1">IF(OR(Flag="Ignore",Flag="Det",Flag="Hole"),"",(INDIRECT("VertexCalc!X"&amp;Local)*Interfaces!Xnorm+INDIRECT("VertexCalc!Y"&amp;Local)*Interfaces!Ynorm+INDIRECT("VertexCalc!Z"&amp;Local)*Interfaces!Znorm))</f>
        <v>1</v>
      </c>
      <c r="M13" s="91">
        <f ca="1">IF(OR(Flag="Ignore",Flag="Det",Flag="Hole"),"",(INDIRECT("VertexCalc!X"&amp;Local)*Interfaces!Xnorm+INDIRECT("VertexCalc!Y"&amp;Local)*Interfaces!Ynorm+INDIRECT("VertexCalc!Z"&amp;Local)*Interfaces!Znorm))</f>
        <v>0</v>
      </c>
      <c r="N13" s="91">
        <f ca="1">IF(OR(Flag="Ignore",Flag="Det",Flag="Hole"),"",(INDIRECT("VertexCalc!X"&amp;Local)*Interfaces!Xnorm+INDIRECT("VertexCalc!Y"&amp;Local)*Interfaces!Ynorm+INDIRECT("VertexCalc!Z"&amp;Local)*Interfaces!Znorm))</f>
        <v>0</v>
      </c>
      <c r="O13" s="90">
        <f ca="1" t="shared" si="1"/>
        <v>-14.938007269830203</v>
      </c>
      <c r="P13" s="91">
        <f ca="1" t="shared" si="1"/>
        <v>0</v>
      </c>
      <c r="Q13" s="92">
        <f ca="1" t="shared" si="1"/>
        <v>0</v>
      </c>
      <c r="R13" s="91">
        <f ca="1">IF(OR(Flag="Ignore",Flag="Det",Flag="Hole"),"",INDIRECT("VertexCalc!X"&amp;Local)*Interfaces!Xsag+INDIRECT("VertexCalc!Y"&amp;Local)*Interfaces!Ysag+INDIRECT("VertexCalc!Z"&amp;Local)*Interfaces!Zsag)</f>
        <v>0</v>
      </c>
      <c r="S13" s="91">
        <f ca="1">IF(OR(Flag="Ignore",Flag="Det",Flag="Hole"),"",INDIRECT("VertexCalc!X"&amp;Local)*Interfaces!Xsag+INDIRECT("VertexCalc!Y"&amp;Local)*Interfaces!Ysag+INDIRECT("VertexCalc!Z"&amp;Local)*Interfaces!Zsag)</f>
        <v>1</v>
      </c>
      <c r="T13" s="91">
        <f ca="1">IF(OR(Flag="Ignore",Flag="Det",Flag="Hole"),"",INDIRECT("VertexCalc!X"&amp;Local)*Interfaces!Xsag+INDIRECT("VertexCalc!Y"&amp;Local)*Interfaces!Ysag+INDIRECT("VertexCalc!Z"&amp;Local)*Interfaces!Zsag)</f>
        <v>0</v>
      </c>
      <c r="U13" s="90">
        <f ca="1" t="shared" si="2"/>
        <v>-14.938007269830203</v>
      </c>
      <c r="V13" s="91">
        <f ca="1" t="shared" si="2"/>
        <v>11.950405815864162</v>
      </c>
      <c r="W13" s="92">
        <f ca="1" t="shared" si="2"/>
        <v>0</v>
      </c>
      <c r="X13" s="16">
        <f t="shared" si="4"/>
        <v>90</v>
      </c>
      <c r="Y13" s="112" t="str">
        <f t="shared" si="3"/>
        <v>PM9</v>
      </c>
    </row>
    <row r="14" spans="3:25" ht="12.75">
      <c r="C14" s="10" t="str">
        <f ca="1" t="shared" si="0"/>
        <v>Short wave</v>
      </c>
      <c r="D14" s="11" t="str">
        <f ca="1" t="shared" si="0"/>
        <v>PDIC1</v>
      </c>
      <c r="E14" s="11" t="str">
        <f ca="1" t="shared" si="0"/>
        <v>Phot</v>
      </c>
      <c r="F14" s="12"/>
      <c r="G14" s="12">
        <f>IF(Interfaces!DowlDir="","",Interfaces!DowlDir)</f>
      </c>
      <c r="H14" s="11" t="str">
        <f>IF(AND(System="Phot",OR(CompName="CM3",CompName="CM5")),CompName&amp;"Cent",IF(SurfaceList!Flag="Mirror","Vertex",SurfaceList!Flag))</f>
        <v>Hole</v>
      </c>
      <c r="I14" s="87">
        <f ca="1">IF(OR(Flag="Ignore",Flag="Det",Flag="Hole"),"",INDIRECT("VertexCalc!X"&amp;Local)*(Interfaces!Xmirr-VertexCalc!Xmirr)+INDIRECT("VertexCalc!Y"&amp;Local)*(Interfaces!Ymirr-VertexCalc!Ymirr)+INDIRECT("VertexCalc!Z"&amp;Local)*(Interfaces!Zmirr-VertexCalc!Zmirr))</f>
      </c>
      <c r="J14" s="88">
        <f ca="1">IF(OR(Flag="Ignore",Flag="Det",Flag="Hole"),"",INDIRECT("VertexCalc!X"&amp;Local)*(Interfaces!Xmirr-VertexCalc!Xmirr)+INDIRECT("VertexCalc!Y"&amp;Local)*(Interfaces!Ymirr-VertexCalc!Ymirr)+INDIRECT("VertexCalc!Z"&amp;Local)*(Interfaces!Zmirr-VertexCalc!Zmirr))</f>
      </c>
      <c r="K14" s="89">
        <f ca="1">IF(OR(Flag="Ignore",Flag="Det",Flag="Hole"),"",INDIRECT("VertexCalc!X"&amp;Local)*(Interfaces!Xmirr-VertexCalc!Xmirr)+INDIRECT("VertexCalc!Y"&amp;Local)*(Interfaces!Ymirr-VertexCalc!Ymirr)+INDIRECT("VertexCalc!Z"&amp;Local)*(Interfaces!Zmirr-VertexCalc!Zmirr))</f>
      </c>
      <c r="L14" s="88">
        <f ca="1">IF(OR(Flag="Ignore",Flag="Det",Flag="Hole"),"",(INDIRECT("VertexCalc!X"&amp;Local)*Interfaces!Xnorm+INDIRECT("VertexCalc!Y"&amp;Local)*Interfaces!Ynorm+INDIRECT("VertexCalc!Z"&amp;Local)*Interfaces!Znorm))</f>
      </c>
      <c r="M14" s="88">
        <f ca="1">IF(OR(Flag="Ignore",Flag="Det",Flag="Hole"),"",(INDIRECT("VertexCalc!X"&amp;Local)*Interfaces!Xnorm+INDIRECT("VertexCalc!Y"&amp;Local)*Interfaces!Ynorm+INDIRECT("VertexCalc!Z"&amp;Local)*Interfaces!Znorm))</f>
      </c>
      <c r="N14" s="88">
        <f ca="1">IF(OR(Flag="Ignore",Flag="Det",Flag="Hole"),"",(INDIRECT("VertexCalc!X"&amp;Local)*Interfaces!Xnorm+INDIRECT("VertexCalc!Y"&amp;Local)*Interfaces!Ynorm+INDIRECT("VertexCalc!Z"&amp;Local)*Interfaces!Znorm))</f>
      </c>
      <c r="O14" s="87">
        <f ca="1" t="shared" si="1"/>
      </c>
      <c r="P14" s="88">
        <f ca="1" t="shared" si="1"/>
      </c>
      <c r="Q14" s="89">
        <f ca="1" t="shared" si="1"/>
      </c>
      <c r="R14" s="88">
        <f ca="1">IF(OR(Flag="Ignore",Flag="Det",Flag="Hole"),"",INDIRECT("VertexCalc!X"&amp;Local)*Interfaces!Xsag+INDIRECT("VertexCalc!Y"&amp;Local)*Interfaces!Ysag+INDIRECT("VertexCalc!Z"&amp;Local)*Interfaces!Zsag)</f>
      </c>
      <c r="S14" s="88">
        <f ca="1">IF(OR(Flag="Ignore",Flag="Det",Flag="Hole"),"",INDIRECT("VertexCalc!X"&amp;Local)*Interfaces!Xsag+INDIRECT("VertexCalc!Y"&amp;Local)*Interfaces!Ysag+INDIRECT("VertexCalc!Z"&amp;Local)*Interfaces!Zsag)</f>
      </c>
      <c r="T14" s="88">
        <f ca="1">IF(OR(Flag="Ignore",Flag="Det",Flag="Hole"),"",INDIRECT("VertexCalc!X"&amp;Local)*Interfaces!Xsag+INDIRECT("VertexCalc!Y"&amp;Local)*Interfaces!Ysag+INDIRECT("VertexCalc!Z"&amp;Local)*Interfaces!Zsag)</f>
      </c>
      <c r="U14" s="87">
        <f ca="1" t="shared" si="2"/>
      </c>
      <c r="V14" s="88">
        <f ca="1" t="shared" si="2"/>
      </c>
      <c r="W14" s="89">
        <f ca="1" t="shared" si="2"/>
      </c>
      <c r="X14" s="12">
        <f t="shared" si="4"/>
      </c>
      <c r="Y14" s="111" t="str">
        <f t="shared" si="3"/>
        <v>PDIC1</v>
      </c>
    </row>
    <row r="15" spans="3:25" ht="12.75">
      <c r="C15" s="18">
        <f ca="1" t="shared" si="0"/>
      </c>
      <c r="D15" s="19" t="str">
        <f ca="1" t="shared" si="0"/>
        <v>PM10</v>
      </c>
      <c r="E15" s="19" t="str">
        <f ca="1" t="shared" si="0"/>
        <v>Phot</v>
      </c>
      <c r="F15" s="20"/>
      <c r="G15" s="20">
        <f>IF(Interfaces!DowlDir="","",Interfaces!DowlDir)</f>
        <v>-1</v>
      </c>
      <c r="H15" s="19" t="str">
        <f>IF(AND(System="Phot",OR(CompName="CM3",CompName="CM5")),CompName&amp;"Cent",IF(SurfaceList!Flag="Mirror","Vertex",SurfaceList!Flag))</f>
        <v>Vertex</v>
      </c>
      <c r="I15" s="83">
        <f ca="1">IF(OR(Flag="Ignore",Flag="Det",Flag="Hole"),"",INDIRECT("VertexCalc!X"&amp;Local)*(Interfaces!Xmirr-VertexCalc!Xmirr)+INDIRECT("VertexCalc!Y"&amp;Local)*(Interfaces!Ymirr-VertexCalc!Ymirr)+INDIRECT("VertexCalc!Z"&amp;Local)*(Interfaces!Zmirr-VertexCalc!Zmirr))</f>
        <v>0</v>
      </c>
      <c r="J15" s="84">
        <f ca="1">IF(OR(Flag="Ignore",Flag="Det",Flag="Hole"),"",INDIRECT("VertexCalc!X"&amp;Local)*(Interfaces!Xmirr-VertexCalc!Xmirr)+INDIRECT("VertexCalc!Y"&amp;Local)*(Interfaces!Ymirr-VertexCalc!Ymirr)+INDIRECT("VertexCalc!Z"&amp;Local)*(Interfaces!Zmirr-VertexCalc!Zmirr))</f>
        <v>0</v>
      </c>
      <c r="K15" s="85">
        <f ca="1">IF(OR(Flag="Ignore",Flag="Det",Flag="Hole"),"",INDIRECT("VertexCalc!X"&amp;Local)*(Interfaces!Xmirr-VertexCalc!Xmirr)+INDIRECT("VertexCalc!Y"&amp;Local)*(Interfaces!Ymirr-VertexCalc!Ymirr)+INDIRECT("VertexCalc!Z"&amp;Local)*(Interfaces!Zmirr-VertexCalc!Zmirr))</f>
        <v>0</v>
      </c>
      <c r="L15" s="84">
        <f ca="1">IF(OR(Flag="Ignore",Flag="Det",Flag="Hole"),"",(INDIRECT("VertexCalc!X"&amp;Local)*Interfaces!Xnorm+INDIRECT("VertexCalc!Y"&amp;Local)*Interfaces!Ynorm+INDIRECT("VertexCalc!Z"&amp;Local)*Interfaces!Znorm))</f>
        <v>1</v>
      </c>
      <c r="M15" s="84">
        <f ca="1">IF(OR(Flag="Ignore",Flag="Det",Flag="Hole"),"",(INDIRECT("VertexCalc!X"&amp;Local)*Interfaces!Xnorm+INDIRECT("VertexCalc!Y"&amp;Local)*Interfaces!Ynorm+INDIRECT("VertexCalc!Z"&amp;Local)*Interfaces!Znorm))</f>
        <v>0</v>
      </c>
      <c r="N15" s="84">
        <f ca="1">IF(OR(Flag="Ignore",Flag="Det",Flag="Hole"),"",(INDIRECT("VertexCalc!X"&amp;Local)*Interfaces!Xnorm+INDIRECT("VertexCalc!Y"&amp;Local)*Interfaces!Ynorm+INDIRECT("VertexCalc!Z"&amp;Local)*Interfaces!Znorm))</f>
        <v>0</v>
      </c>
      <c r="O15" s="83">
        <f ca="1" t="shared" si="1"/>
        <v>-6.971070059254095</v>
      </c>
      <c r="P15" s="84">
        <f ca="1" t="shared" si="1"/>
        <v>0</v>
      </c>
      <c r="Q15" s="85">
        <f ca="1" t="shared" si="1"/>
        <v>0</v>
      </c>
      <c r="R15" s="84">
        <f ca="1">IF(OR(Flag="Ignore",Flag="Det",Flag="Hole"),"",INDIRECT("VertexCalc!X"&amp;Local)*Interfaces!Xsag+INDIRECT("VertexCalc!Y"&amp;Local)*Interfaces!Ysag+INDIRECT("VertexCalc!Z"&amp;Local)*Interfaces!Zsag)</f>
        <v>0</v>
      </c>
      <c r="S15" s="84">
        <f ca="1">IF(OR(Flag="Ignore",Flag="Det",Flag="Hole"),"",INDIRECT("VertexCalc!X"&amp;Local)*Interfaces!Xsag+INDIRECT("VertexCalc!Y"&amp;Local)*Interfaces!Ysag+INDIRECT("VertexCalc!Z"&amp;Local)*Interfaces!Zsag)</f>
        <v>1</v>
      </c>
      <c r="T15" s="84">
        <f ca="1">IF(OR(Flag="Ignore",Flag="Det",Flag="Hole"),"",INDIRECT("VertexCalc!X"&amp;Local)*Interfaces!Xsag+INDIRECT("VertexCalc!Y"&amp;Local)*Interfaces!Ysag+INDIRECT("VertexCalc!Z"&amp;Local)*Interfaces!Zsag)</f>
        <v>5.551115123125783E-17</v>
      </c>
      <c r="U15" s="83">
        <f ca="1" t="shared" si="2"/>
        <v>-6.971070059254095</v>
      </c>
      <c r="V15" s="84">
        <f ca="1" t="shared" si="2"/>
        <v>-11.950405815864162</v>
      </c>
      <c r="W15" s="85">
        <f ca="1" t="shared" si="2"/>
        <v>-6.633807845193386E-16</v>
      </c>
      <c r="X15" s="20">
        <f t="shared" si="4"/>
        <v>90</v>
      </c>
      <c r="Y15" s="113" t="str">
        <f t="shared" si="3"/>
        <v>PM10</v>
      </c>
    </row>
    <row r="16" spans="3:25" ht="13.5" thickBot="1">
      <c r="C16" s="14">
        <f ca="1" t="shared" si="0"/>
      </c>
      <c r="D16" s="15" t="str">
        <f ca="1" t="shared" si="0"/>
        <v>PSW</v>
      </c>
      <c r="E16" s="15" t="str">
        <f ca="1" t="shared" si="0"/>
        <v>Phot</v>
      </c>
      <c r="F16" s="16"/>
      <c r="G16" s="16">
        <f>IF(Interfaces!DowlDir="","",Interfaces!DowlDir)</f>
      </c>
      <c r="H16" s="15" t="str">
        <f>IF(AND(System="Phot",OR(CompName="CM3",CompName="CM5")),CompName&amp;"Cent",IF(SurfaceList!Flag="Mirror","Vertex",SurfaceList!Flag))</f>
        <v>Det</v>
      </c>
      <c r="I16" s="90">
        <f ca="1">IF(OR(Flag="Ignore",Flag="Det",Flag="Hole"),"",INDIRECT("VertexCalc!X"&amp;Local)*(Interfaces!Xmirr-VertexCalc!Xmirr)+INDIRECT("VertexCalc!Y"&amp;Local)*(Interfaces!Ymirr-VertexCalc!Ymirr)+INDIRECT("VertexCalc!Z"&amp;Local)*(Interfaces!Zmirr-VertexCalc!Zmirr))</f>
      </c>
      <c r="J16" s="91">
        <f ca="1">IF(OR(Flag="Ignore",Flag="Det",Flag="Hole"),"",INDIRECT("VertexCalc!X"&amp;Local)*(Interfaces!Xmirr-VertexCalc!Xmirr)+INDIRECT("VertexCalc!Y"&amp;Local)*(Interfaces!Ymirr-VertexCalc!Ymirr)+INDIRECT("VertexCalc!Z"&amp;Local)*(Interfaces!Zmirr-VertexCalc!Zmirr))</f>
      </c>
      <c r="K16" s="92">
        <f ca="1">IF(OR(Flag="Ignore",Flag="Det",Flag="Hole"),"",INDIRECT("VertexCalc!X"&amp;Local)*(Interfaces!Xmirr-VertexCalc!Xmirr)+INDIRECT("VertexCalc!Y"&amp;Local)*(Interfaces!Ymirr-VertexCalc!Ymirr)+INDIRECT("VertexCalc!Z"&amp;Local)*(Interfaces!Zmirr-VertexCalc!Zmirr))</f>
      </c>
      <c r="L16" s="91">
        <f ca="1">IF(OR(Flag="Ignore",Flag="Det",Flag="Hole"),"",(INDIRECT("VertexCalc!X"&amp;Local)*Interfaces!Xnorm+INDIRECT("VertexCalc!Y"&amp;Local)*Interfaces!Ynorm+INDIRECT("VertexCalc!Z"&amp;Local)*Interfaces!Znorm))</f>
      </c>
      <c r="M16" s="91">
        <f ca="1">IF(OR(Flag="Ignore",Flag="Det",Flag="Hole"),"",(INDIRECT("VertexCalc!X"&amp;Local)*Interfaces!Xnorm+INDIRECT("VertexCalc!Y"&amp;Local)*Interfaces!Ynorm+INDIRECT("VertexCalc!Z"&amp;Local)*Interfaces!Znorm))</f>
      </c>
      <c r="N16" s="91">
        <f ca="1">IF(OR(Flag="Ignore",Flag="Det",Flag="Hole"),"",(INDIRECT("VertexCalc!X"&amp;Local)*Interfaces!Xnorm+INDIRECT("VertexCalc!Y"&amp;Local)*Interfaces!Ynorm+INDIRECT("VertexCalc!Z"&amp;Local)*Interfaces!Znorm))</f>
      </c>
      <c r="O16" s="90">
        <f ca="1" t="shared" si="1"/>
      </c>
      <c r="P16" s="91">
        <f ca="1" t="shared" si="1"/>
      </c>
      <c r="Q16" s="92">
        <f ca="1" t="shared" si="1"/>
      </c>
      <c r="R16" s="91">
        <f ca="1">IF(OR(Flag="Ignore",Flag="Det",Flag="Hole"),"",INDIRECT("VertexCalc!X"&amp;Local)*Interfaces!Xsag+INDIRECT("VertexCalc!Y"&amp;Local)*Interfaces!Ysag+INDIRECT("VertexCalc!Z"&amp;Local)*Interfaces!Zsag)</f>
      </c>
      <c r="S16" s="91">
        <f ca="1">IF(OR(Flag="Ignore",Flag="Det",Flag="Hole"),"",INDIRECT("VertexCalc!X"&amp;Local)*Interfaces!Xsag+INDIRECT("VertexCalc!Y"&amp;Local)*Interfaces!Ysag+INDIRECT("VertexCalc!Z"&amp;Local)*Interfaces!Zsag)</f>
      </c>
      <c r="T16" s="91">
        <f ca="1">IF(OR(Flag="Ignore",Flag="Det",Flag="Hole"),"",INDIRECT("VertexCalc!X"&amp;Local)*Interfaces!Xsag+INDIRECT("VertexCalc!Y"&amp;Local)*Interfaces!Ysag+INDIRECT("VertexCalc!Z"&amp;Local)*Interfaces!Zsag)</f>
      </c>
      <c r="U16" s="90">
        <f ca="1" t="shared" si="2"/>
      </c>
      <c r="V16" s="91">
        <f ca="1" t="shared" si="2"/>
      </c>
      <c r="W16" s="92">
        <f ca="1" t="shared" si="2"/>
      </c>
      <c r="X16" s="16">
        <f t="shared" si="4"/>
      </c>
      <c r="Y16" s="112" t="str">
        <f t="shared" si="3"/>
        <v>PSW</v>
      </c>
    </row>
    <row r="17" spans="3:25" ht="13.5" thickBot="1">
      <c r="C17" s="19">
        <f ca="1" t="shared" si="0"/>
      </c>
      <c r="D17" s="19" t="str">
        <f ca="1" t="shared" si="0"/>
        <v>PDIC1</v>
      </c>
      <c r="E17" s="1" t="str">
        <f ca="1" t="shared" si="0"/>
        <v>Phot</v>
      </c>
      <c r="G17" s="8">
        <f>IF(Interfaces!DowlDir="","",Interfaces!DowlDir)</f>
      </c>
      <c r="H17" s="1" t="str">
        <f>IF(AND(System="Phot",OR(CompName="CM3",CompName="CM5")),CompName&amp;"Cent",IF(SurfaceList!Flag="Mirror","Vertex",SurfaceList!Flag))</f>
        <v>Ignore</v>
      </c>
      <c r="I17" s="83">
        <f ca="1">IF(OR(Flag="Ignore",Flag="Det",Flag="Hole"),"",INDIRECT("VertexCalc!X"&amp;Local)*(Interfaces!Xmirr-VertexCalc!Xmirr)+INDIRECT("VertexCalc!Y"&amp;Local)*(Interfaces!Ymirr-VertexCalc!Ymirr)+INDIRECT("VertexCalc!Z"&amp;Local)*(Interfaces!Zmirr-VertexCalc!Zmirr))</f>
      </c>
      <c r="J17" s="84">
        <f ca="1">IF(OR(Flag="Ignore",Flag="Det",Flag="Hole"),"",INDIRECT("VertexCalc!X"&amp;Local)*(Interfaces!Xmirr-VertexCalc!Xmirr)+INDIRECT("VertexCalc!Y"&amp;Local)*(Interfaces!Ymirr-VertexCalc!Ymirr)+INDIRECT("VertexCalc!Z"&amp;Local)*(Interfaces!Zmirr-VertexCalc!Zmirr))</f>
      </c>
      <c r="K17" s="85">
        <f ca="1">IF(OR(Flag="Ignore",Flag="Det",Flag="Hole"),"",INDIRECT("VertexCalc!X"&amp;Local)*(Interfaces!Xmirr-VertexCalc!Xmirr)+INDIRECT("VertexCalc!Y"&amp;Local)*(Interfaces!Ymirr-VertexCalc!Ymirr)+INDIRECT("VertexCalc!Z"&amp;Local)*(Interfaces!Zmirr-VertexCalc!Zmirr))</f>
      </c>
      <c r="L17" s="84">
        <f ca="1">IF(OR(Flag="Ignore",Flag="Det",Flag="Hole"),"",(INDIRECT("VertexCalc!X"&amp;Local)*Interfaces!Xnorm+INDIRECT("VertexCalc!Y"&amp;Local)*Interfaces!Ynorm+INDIRECT("VertexCalc!Z"&amp;Local)*Interfaces!Znorm))</f>
      </c>
      <c r="M17" s="84">
        <f ca="1">IF(OR(Flag="Ignore",Flag="Det",Flag="Hole"),"",(INDIRECT("VertexCalc!X"&amp;Local)*Interfaces!Xnorm+INDIRECT("VertexCalc!Y"&amp;Local)*Interfaces!Ynorm+INDIRECT("VertexCalc!Z"&amp;Local)*Interfaces!Znorm))</f>
      </c>
      <c r="N17" s="84">
        <f ca="1">IF(OR(Flag="Ignore",Flag="Det",Flag="Hole"),"",(INDIRECT("VertexCalc!X"&amp;Local)*Interfaces!Xnorm+INDIRECT("VertexCalc!Y"&amp;Local)*Interfaces!Ynorm+INDIRECT("VertexCalc!Z"&amp;Local)*Interfaces!Znorm))</f>
      </c>
      <c r="O17" s="83">
        <f ca="1" t="shared" si="1"/>
      </c>
      <c r="P17" s="84">
        <f ca="1" t="shared" si="1"/>
      </c>
      <c r="Q17" s="85">
        <f ca="1" t="shared" si="1"/>
      </c>
      <c r="R17" s="84">
        <f ca="1">IF(OR(Flag="Ignore",Flag="Det",Flag="Hole"),"",INDIRECT("VertexCalc!X"&amp;Local)*Interfaces!Xsag+INDIRECT("VertexCalc!Y"&amp;Local)*Interfaces!Ysag+INDIRECT("VertexCalc!Z"&amp;Local)*Interfaces!Zsag)</f>
      </c>
      <c r="S17" s="84">
        <f ca="1">IF(OR(Flag="Ignore",Flag="Det",Flag="Hole"),"",INDIRECT("VertexCalc!X"&amp;Local)*Interfaces!Xsag+INDIRECT("VertexCalc!Y"&amp;Local)*Interfaces!Ysag+INDIRECT("VertexCalc!Z"&amp;Local)*Interfaces!Zsag)</f>
      </c>
      <c r="T17" s="84">
        <f ca="1">IF(OR(Flag="Ignore",Flag="Det",Flag="Hole"),"",INDIRECT("VertexCalc!X"&amp;Local)*Interfaces!Xsag+INDIRECT("VertexCalc!Y"&amp;Local)*Interfaces!Ysag+INDIRECT("VertexCalc!Z"&amp;Local)*Interfaces!Zsag)</f>
      </c>
      <c r="U17" s="83">
        <f ca="1" t="shared" si="2"/>
      </c>
      <c r="V17" s="84">
        <f ca="1" t="shared" si="2"/>
      </c>
      <c r="W17" s="85">
        <f ca="1" t="shared" si="2"/>
      </c>
      <c r="X17" s="20">
        <f t="shared" si="4"/>
      </c>
      <c r="Y17" s="1" t="str">
        <f t="shared" si="3"/>
        <v>PDIC1</v>
      </c>
    </row>
    <row r="18" spans="3:25" ht="12.75">
      <c r="C18" s="10" t="str">
        <f ca="1" t="shared" si="0"/>
        <v>Medium wave</v>
      </c>
      <c r="D18" s="11" t="str">
        <f ca="1" t="shared" si="0"/>
        <v>PDIC2</v>
      </c>
      <c r="E18" s="11" t="str">
        <f ca="1" t="shared" si="0"/>
        <v>Phot</v>
      </c>
      <c r="F18" s="12"/>
      <c r="G18" s="12">
        <f>IF(Interfaces!DowlDir="","",Interfaces!DowlDir)</f>
      </c>
      <c r="H18" s="11" t="str">
        <f>IF(AND(System="Phot",OR(CompName="CM3",CompName="CM5")),CompName&amp;"Cent",IF(SurfaceList!Flag="Mirror","Vertex",SurfaceList!Flag))</f>
        <v>Hole</v>
      </c>
      <c r="I18" s="87">
        <f ca="1">IF(OR(Flag="Ignore",Flag="Det",Flag="Hole"),"",INDIRECT("VertexCalc!X"&amp;Local)*(Interfaces!Xmirr-VertexCalc!Xmirr)+INDIRECT("VertexCalc!Y"&amp;Local)*(Interfaces!Ymirr-VertexCalc!Ymirr)+INDIRECT("VertexCalc!Z"&amp;Local)*(Interfaces!Zmirr-VertexCalc!Zmirr))</f>
      </c>
      <c r="J18" s="88">
        <f ca="1">IF(OR(Flag="Ignore",Flag="Det",Flag="Hole"),"",INDIRECT("VertexCalc!X"&amp;Local)*(Interfaces!Xmirr-VertexCalc!Xmirr)+INDIRECT("VertexCalc!Y"&amp;Local)*(Interfaces!Ymirr-VertexCalc!Ymirr)+INDIRECT("VertexCalc!Z"&amp;Local)*(Interfaces!Zmirr-VertexCalc!Zmirr))</f>
      </c>
      <c r="K18" s="89">
        <f ca="1">IF(OR(Flag="Ignore",Flag="Det",Flag="Hole"),"",INDIRECT("VertexCalc!X"&amp;Local)*(Interfaces!Xmirr-VertexCalc!Xmirr)+INDIRECT("VertexCalc!Y"&amp;Local)*(Interfaces!Ymirr-VertexCalc!Ymirr)+INDIRECT("VertexCalc!Z"&amp;Local)*(Interfaces!Zmirr-VertexCalc!Zmirr))</f>
      </c>
      <c r="L18" s="88">
        <f ca="1">IF(OR(Flag="Ignore",Flag="Det",Flag="Hole"),"",(INDIRECT("VertexCalc!X"&amp;Local)*Interfaces!Xnorm+INDIRECT("VertexCalc!Y"&amp;Local)*Interfaces!Ynorm+INDIRECT("VertexCalc!Z"&amp;Local)*Interfaces!Znorm))</f>
      </c>
      <c r="M18" s="88">
        <f ca="1">IF(OR(Flag="Ignore",Flag="Det",Flag="Hole"),"",(INDIRECT("VertexCalc!X"&amp;Local)*Interfaces!Xnorm+INDIRECT("VertexCalc!Y"&amp;Local)*Interfaces!Ynorm+INDIRECT("VertexCalc!Z"&amp;Local)*Interfaces!Znorm))</f>
      </c>
      <c r="N18" s="88">
        <f ca="1">IF(OR(Flag="Ignore",Flag="Det",Flag="Hole"),"",(INDIRECT("VertexCalc!X"&amp;Local)*Interfaces!Xnorm+INDIRECT("VertexCalc!Y"&amp;Local)*Interfaces!Ynorm+INDIRECT("VertexCalc!Z"&amp;Local)*Interfaces!Znorm))</f>
      </c>
      <c r="O18" s="87">
        <f ca="1" t="shared" si="1"/>
      </c>
      <c r="P18" s="88">
        <f ca="1" t="shared" si="1"/>
      </c>
      <c r="Q18" s="89">
        <f ca="1" t="shared" si="1"/>
      </c>
      <c r="R18" s="88">
        <f ca="1">IF(OR(Flag="Ignore",Flag="Det",Flag="Hole"),"",INDIRECT("VertexCalc!X"&amp;Local)*Interfaces!Xsag+INDIRECT("VertexCalc!Y"&amp;Local)*Interfaces!Ysag+INDIRECT("VertexCalc!Z"&amp;Local)*Interfaces!Zsag)</f>
      </c>
      <c r="S18" s="88">
        <f ca="1">IF(OR(Flag="Ignore",Flag="Det",Flag="Hole"),"",INDIRECT("VertexCalc!X"&amp;Local)*Interfaces!Xsag+INDIRECT("VertexCalc!Y"&amp;Local)*Interfaces!Ysag+INDIRECT("VertexCalc!Z"&amp;Local)*Interfaces!Zsag)</f>
      </c>
      <c r="T18" s="88">
        <f ca="1">IF(OR(Flag="Ignore",Flag="Det",Flag="Hole"),"",INDIRECT("VertexCalc!X"&amp;Local)*Interfaces!Xsag+INDIRECT("VertexCalc!Y"&amp;Local)*Interfaces!Ysag+INDIRECT("VertexCalc!Z"&amp;Local)*Interfaces!Zsag)</f>
      </c>
      <c r="U18" s="87">
        <f ca="1" t="shared" si="2"/>
      </c>
      <c r="V18" s="88">
        <f ca="1" t="shared" si="2"/>
      </c>
      <c r="W18" s="89">
        <f ca="1" t="shared" si="2"/>
      </c>
      <c r="X18" s="12">
        <f t="shared" si="4"/>
      </c>
      <c r="Y18" s="111" t="str">
        <f t="shared" si="3"/>
        <v>PDIC2</v>
      </c>
    </row>
    <row r="19" spans="3:25" ht="13.5" thickBot="1">
      <c r="C19" s="14">
        <f ca="1" t="shared" si="0"/>
      </c>
      <c r="D19" s="15" t="str">
        <f ca="1" t="shared" si="0"/>
        <v>PMW</v>
      </c>
      <c r="E19" s="15" t="str">
        <f ca="1" t="shared" si="0"/>
        <v>Phot</v>
      </c>
      <c r="F19" s="16"/>
      <c r="G19" s="16">
        <f>IF(Interfaces!DowlDir="","",Interfaces!DowlDir)</f>
      </c>
      <c r="H19" s="15" t="str">
        <f>IF(AND(System="Phot",OR(CompName="CM3",CompName="CM5")),CompName&amp;"Cent",IF(SurfaceList!Flag="Mirror","Vertex",SurfaceList!Flag))</f>
        <v>Det</v>
      </c>
      <c r="I19" s="90">
        <f ca="1">IF(OR(Flag="Ignore",Flag="Det",Flag="Hole"),"",INDIRECT("VertexCalc!X"&amp;Local)*(Interfaces!Xmirr-VertexCalc!Xmirr)+INDIRECT("VertexCalc!Y"&amp;Local)*(Interfaces!Ymirr-VertexCalc!Ymirr)+INDIRECT("VertexCalc!Z"&amp;Local)*(Interfaces!Zmirr-VertexCalc!Zmirr))</f>
      </c>
      <c r="J19" s="91">
        <f ca="1">IF(OR(Flag="Ignore",Flag="Det",Flag="Hole"),"",INDIRECT("VertexCalc!X"&amp;Local)*(Interfaces!Xmirr-VertexCalc!Xmirr)+INDIRECT("VertexCalc!Y"&amp;Local)*(Interfaces!Ymirr-VertexCalc!Ymirr)+INDIRECT("VertexCalc!Z"&amp;Local)*(Interfaces!Zmirr-VertexCalc!Zmirr))</f>
      </c>
      <c r="K19" s="92">
        <f ca="1">IF(OR(Flag="Ignore",Flag="Det",Flag="Hole"),"",INDIRECT("VertexCalc!X"&amp;Local)*(Interfaces!Xmirr-VertexCalc!Xmirr)+INDIRECT("VertexCalc!Y"&amp;Local)*(Interfaces!Ymirr-VertexCalc!Ymirr)+INDIRECT("VertexCalc!Z"&amp;Local)*(Interfaces!Zmirr-VertexCalc!Zmirr))</f>
      </c>
      <c r="L19" s="91">
        <f ca="1">IF(OR(Flag="Ignore",Flag="Det",Flag="Hole"),"",(INDIRECT("VertexCalc!X"&amp;Local)*Interfaces!Xnorm+INDIRECT("VertexCalc!Y"&amp;Local)*Interfaces!Ynorm+INDIRECT("VertexCalc!Z"&amp;Local)*Interfaces!Znorm))</f>
      </c>
      <c r="M19" s="91">
        <f ca="1">IF(OR(Flag="Ignore",Flag="Det",Flag="Hole"),"",(INDIRECT("VertexCalc!X"&amp;Local)*Interfaces!Xnorm+INDIRECT("VertexCalc!Y"&amp;Local)*Interfaces!Ynorm+INDIRECT("VertexCalc!Z"&amp;Local)*Interfaces!Znorm))</f>
      </c>
      <c r="N19" s="91">
        <f ca="1">IF(OR(Flag="Ignore",Flag="Det",Flag="Hole"),"",(INDIRECT("VertexCalc!X"&amp;Local)*Interfaces!Xnorm+INDIRECT("VertexCalc!Y"&amp;Local)*Interfaces!Ynorm+INDIRECT("VertexCalc!Z"&amp;Local)*Interfaces!Znorm))</f>
      </c>
      <c r="O19" s="90">
        <f ca="1" t="shared" si="1"/>
      </c>
      <c r="P19" s="91">
        <f ca="1" t="shared" si="1"/>
      </c>
      <c r="Q19" s="92">
        <f ca="1" t="shared" si="1"/>
      </c>
      <c r="R19" s="91">
        <f ca="1">IF(OR(Flag="Ignore",Flag="Det",Flag="Hole"),"",INDIRECT("VertexCalc!X"&amp;Local)*Interfaces!Xsag+INDIRECT("VertexCalc!Y"&amp;Local)*Interfaces!Ysag+INDIRECT("VertexCalc!Z"&amp;Local)*Interfaces!Zsag)</f>
      </c>
      <c r="S19" s="91">
        <f ca="1">IF(OR(Flag="Ignore",Flag="Det",Flag="Hole"),"",INDIRECT("VertexCalc!X"&amp;Local)*Interfaces!Xsag+INDIRECT("VertexCalc!Y"&amp;Local)*Interfaces!Ysag+INDIRECT("VertexCalc!Z"&amp;Local)*Interfaces!Zsag)</f>
      </c>
      <c r="T19" s="91">
        <f ca="1">IF(OR(Flag="Ignore",Flag="Det",Flag="Hole"),"",INDIRECT("VertexCalc!X"&amp;Local)*Interfaces!Xsag+INDIRECT("VertexCalc!Y"&amp;Local)*Interfaces!Ysag+INDIRECT("VertexCalc!Z"&amp;Local)*Interfaces!Zsag)</f>
      </c>
      <c r="U19" s="90">
        <f ca="1" t="shared" si="2"/>
      </c>
      <c r="V19" s="91">
        <f ca="1" t="shared" si="2"/>
      </c>
      <c r="W19" s="92">
        <f ca="1" t="shared" si="2"/>
      </c>
      <c r="X19" s="16">
        <f t="shared" si="4"/>
      </c>
      <c r="Y19" s="112" t="str">
        <f t="shared" si="3"/>
        <v>PMW</v>
      </c>
    </row>
    <row r="20" spans="3:25" ht="13.5" thickBot="1">
      <c r="C20" s="19">
        <f ca="1" t="shared" si="0"/>
      </c>
      <c r="D20" s="19" t="str">
        <f ca="1" t="shared" si="0"/>
        <v>PDIC2</v>
      </c>
      <c r="E20" s="1" t="str">
        <f ca="1" t="shared" si="0"/>
        <v>Phot</v>
      </c>
      <c r="G20" s="8">
        <f>IF(Interfaces!DowlDir="","",Interfaces!DowlDir)</f>
      </c>
      <c r="H20" s="1" t="str">
        <f>IF(AND(System="Phot",OR(CompName="CM3",CompName="CM5")),CompName&amp;"Cent",IF(SurfaceList!Flag="Mirror","Vertex",SurfaceList!Flag))</f>
        <v>Ignore</v>
      </c>
      <c r="I20" s="83">
        <f ca="1">IF(OR(Flag="Ignore",Flag="Det",Flag="Hole"),"",INDIRECT("VertexCalc!X"&amp;Local)*(Interfaces!Xmirr-VertexCalc!Xmirr)+INDIRECT("VertexCalc!Y"&amp;Local)*(Interfaces!Ymirr-VertexCalc!Ymirr)+INDIRECT("VertexCalc!Z"&amp;Local)*(Interfaces!Zmirr-VertexCalc!Zmirr))</f>
      </c>
      <c r="J20" s="84">
        <f ca="1">IF(OR(Flag="Ignore",Flag="Det",Flag="Hole"),"",INDIRECT("VertexCalc!X"&amp;Local)*(Interfaces!Xmirr-VertexCalc!Xmirr)+INDIRECT("VertexCalc!Y"&amp;Local)*(Interfaces!Ymirr-VertexCalc!Ymirr)+INDIRECT("VertexCalc!Z"&amp;Local)*(Interfaces!Zmirr-VertexCalc!Zmirr))</f>
      </c>
      <c r="K20" s="85">
        <f ca="1">IF(OR(Flag="Ignore",Flag="Det",Flag="Hole"),"",INDIRECT("VertexCalc!X"&amp;Local)*(Interfaces!Xmirr-VertexCalc!Xmirr)+INDIRECT("VertexCalc!Y"&amp;Local)*(Interfaces!Ymirr-VertexCalc!Ymirr)+INDIRECT("VertexCalc!Z"&amp;Local)*(Interfaces!Zmirr-VertexCalc!Zmirr))</f>
      </c>
      <c r="L20" s="84">
        <f ca="1">IF(OR(Flag="Ignore",Flag="Det",Flag="Hole"),"",(INDIRECT("VertexCalc!X"&amp;Local)*Interfaces!Xnorm+INDIRECT("VertexCalc!Y"&amp;Local)*Interfaces!Ynorm+INDIRECT("VertexCalc!Z"&amp;Local)*Interfaces!Znorm))</f>
      </c>
      <c r="M20" s="84">
        <f ca="1">IF(OR(Flag="Ignore",Flag="Det",Flag="Hole"),"",(INDIRECT("VertexCalc!X"&amp;Local)*Interfaces!Xnorm+INDIRECT("VertexCalc!Y"&amp;Local)*Interfaces!Ynorm+INDIRECT("VertexCalc!Z"&amp;Local)*Interfaces!Znorm))</f>
      </c>
      <c r="N20" s="84">
        <f ca="1">IF(OR(Flag="Ignore",Flag="Det",Flag="Hole"),"",(INDIRECT("VertexCalc!X"&amp;Local)*Interfaces!Xnorm+INDIRECT("VertexCalc!Y"&amp;Local)*Interfaces!Ynorm+INDIRECT("VertexCalc!Z"&amp;Local)*Interfaces!Znorm))</f>
      </c>
      <c r="O20" s="83">
        <f ca="1" t="shared" si="1"/>
      </c>
      <c r="P20" s="84">
        <f ca="1" t="shared" si="1"/>
      </c>
      <c r="Q20" s="85">
        <f ca="1" t="shared" si="1"/>
      </c>
      <c r="R20" s="84">
        <f ca="1">IF(OR(Flag="Ignore",Flag="Det",Flag="Hole"),"",INDIRECT("VertexCalc!X"&amp;Local)*Interfaces!Xsag+INDIRECT("VertexCalc!Y"&amp;Local)*Interfaces!Ysag+INDIRECT("VertexCalc!Z"&amp;Local)*Interfaces!Zsag)</f>
      </c>
      <c r="S20" s="84">
        <f ca="1">IF(OR(Flag="Ignore",Flag="Det",Flag="Hole"),"",INDIRECT("VertexCalc!X"&amp;Local)*Interfaces!Xsag+INDIRECT("VertexCalc!Y"&amp;Local)*Interfaces!Ysag+INDIRECT("VertexCalc!Z"&amp;Local)*Interfaces!Zsag)</f>
      </c>
      <c r="T20" s="84">
        <f ca="1">IF(OR(Flag="Ignore",Flag="Det",Flag="Hole"),"",INDIRECT("VertexCalc!X"&amp;Local)*Interfaces!Xsag+INDIRECT("VertexCalc!Y"&amp;Local)*Interfaces!Ysag+INDIRECT("VertexCalc!Z"&amp;Local)*Interfaces!Zsag)</f>
      </c>
      <c r="U20" s="83">
        <f ca="1" t="shared" si="2"/>
      </c>
      <c r="V20" s="84">
        <f ca="1" t="shared" si="2"/>
      </c>
      <c r="W20" s="85">
        <f ca="1" t="shared" si="2"/>
      </c>
      <c r="X20" s="20">
        <f t="shared" si="4"/>
      </c>
      <c r="Y20" s="1" t="str">
        <f t="shared" si="3"/>
        <v>PDIC2</v>
      </c>
    </row>
    <row r="21" spans="3:25" ht="12.75">
      <c r="C21" s="10" t="str">
        <f ca="1" t="shared" si="0"/>
        <v>Long wave</v>
      </c>
      <c r="D21" s="11" t="str">
        <f ca="1" t="shared" si="0"/>
        <v>PM11</v>
      </c>
      <c r="E21" s="11" t="str">
        <f ca="1" t="shared" si="0"/>
        <v>Phot</v>
      </c>
      <c r="F21" s="12"/>
      <c r="G21" s="12">
        <f>IF(Interfaces!DowlDir="","",Interfaces!DowlDir)</f>
        <v>1</v>
      </c>
      <c r="H21" s="11" t="str">
        <f>IF(AND(System="Phot",OR(CompName="CM3",CompName="CM5")),CompName&amp;"Cent",IF(SurfaceList!Flag="Mirror","Vertex",SurfaceList!Flag))</f>
        <v>Vertex</v>
      </c>
      <c r="I21" s="87">
        <f ca="1">IF(OR(Flag="Ignore",Flag="Det",Flag="Hole"),"",INDIRECT("VertexCalc!X"&amp;Local)*(Interfaces!Xmirr-VertexCalc!Xmirr)+INDIRECT("VertexCalc!Y"&amp;Local)*(Interfaces!Ymirr-VertexCalc!Ymirr)+INDIRECT("VertexCalc!Z"&amp;Local)*(Interfaces!Zmirr-VertexCalc!Zmirr))</f>
        <v>0</v>
      </c>
      <c r="J21" s="88">
        <f ca="1">IF(OR(Flag="Ignore",Flag="Det",Flag="Hole"),"",INDIRECT("VertexCalc!X"&amp;Local)*(Interfaces!Xmirr-VertexCalc!Xmirr)+INDIRECT("VertexCalc!Y"&amp;Local)*(Interfaces!Ymirr-VertexCalc!Ymirr)+INDIRECT("VertexCalc!Z"&amp;Local)*(Interfaces!Zmirr-VertexCalc!Zmirr))</f>
        <v>0</v>
      </c>
      <c r="K21" s="89">
        <f ca="1">IF(OR(Flag="Ignore",Flag="Det",Flag="Hole"),"",INDIRECT("VertexCalc!X"&amp;Local)*(Interfaces!Xmirr-VertexCalc!Xmirr)+INDIRECT("VertexCalc!Y"&amp;Local)*(Interfaces!Ymirr-VertexCalc!Ymirr)+INDIRECT("VertexCalc!Z"&amp;Local)*(Interfaces!Zmirr-VertexCalc!Zmirr))</f>
        <v>0</v>
      </c>
      <c r="L21" s="88">
        <f ca="1">IF(OR(Flag="Ignore",Flag="Det",Flag="Hole"),"",(INDIRECT("VertexCalc!X"&amp;Local)*Interfaces!Xnorm+INDIRECT("VertexCalc!Y"&amp;Local)*Interfaces!Ynorm+INDIRECT("VertexCalc!Z"&amp;Local)*Interfaces!Znorm))</f>
        <v>1</v>
      </c>
      <c r="M21" s="88">
        <f ca="1">IF(OR(Flag="Ignore",Flag="Det",Flag="Hole"),"",(INDIRECT("VertexCalc!X"&amp;Local)*Interfaces!Xnorm+INDIRECT("VertexCalc!Y"&amp;Local)*Interfaces!Ynorm+INDIRECT("VertexCalc!Z"&amp;Local)*Interfaces!Znorm))</f>
        <v>0</v>
      </c>
      <c r="N21" s="88">
        <f ca="1">IF(OR(Flag="Ignore",Flag="Det",Flag="Hole"),"",(INDIRECT("VertexCalc!X"&amp;Local)*Interfaces!Xnorm+INDIRECT("VertexCalc!Y"&amp;Local)*Interfaces!Ynorm+INDIRECT("VertexCalc!Z"&amp;Local)*Interfaces!Znorm))</f>
        <v>0</v>
      </c>
      <c r="O21" s="87">
        <f ca="1" t="shared" si="1"/>
        <v>-6.971070059254095</v>
      </c>
      <c r="P21" s="88">
        <f ca="1" t="shared" si="1"/>
        <v>0</v>
      </c>
      <c r="Q21" s="89">
        <f ca="1" t="shared" si="1"/>
        <v>0</v>
      </c>
      <c r="R21" s="88">
        <f ca="1">IF(OR(Flag="Ignore",Flag="Det",Flag="Hole"),"",INDIRECT("VertexCalc!X"&amp;Local)*Interfaces!Xsag+INDIRECT("VertexCalc!Y"&amp;Local)*Interfaces!Ysag+INDIRECT("VertexCalc!Z"&amp;Local)*Interfaces!Zsag)</f>
        <v>0</v>
      </c>
      <c r="S21" s="88">
        <f ca="1">IF(OR(Flag="Ignore",Flag="Det",Flag="Hole"),"",INDIRECT("VertexCalc!X"&amp;Local)*Interfaces!Xsag+INDIRECT("VertexCalc!Y"&amp;Local)*Interfaces!Ysag+INDIRECT("VertexCalc!Z"&amp;Local)*Interfaces!Zsag)</f>
        <v>1</v>
      </c>
      <c r="T21" s="88">
        <f ca="1">IF(OR(Flag="Ignore",Flag="Det",Flag="Hole"),"",INDIRECT("VertexCalc!X"&amp;Local)*Interfaces!Xsag+INDIRECT("VertexCalc!Y"&amp;Local)*Interfaces!Ysag+INDIRECT("VertexCalc!Z"&amp;Local)*Interfaces!Zsag)</f>
        <v>0</v>
      </c>
      <c r="U21" s="87">
        <f ca="1" t="shared" si="2"/>
        <v>-6.971070059254095</v>
      </c>
      <c r="V21" s="88">
        <f ca="1" t="shared" si="2"/>
        <v>11.950405815864162</v>
      </c>
      <c r="W21" s="89">
        <f ca="1" t="shared" si="2"/>
        <v>0</v>
      </c>
      <c r="X21" s="12">
        <f t="shared" si="4"/>
        <v>90</v>
      </c>
      <c r="Y21" s="111" t="str">
        <f t="shared" si="3"/>
        <v>PM11</v>
      </c>
    </row>
    <row r="22" spans="3:25" ht="13.5" thickBot="1">
      <c r="C22" s="14">
        <f aca="true" ca="1" t="shared" si="5" ref="C22:E41">IF(INDIRECT("SurfaceList!"&amp;ThisCol)="","",INDIRECT("SurfaceList!"&amp;ThisCol))</f>
      </c>
      <c r="D22" s="15" t="str">
        <f ca="1" t="shared" si="5"/>
        <v>PLW</v>
      </c>
      <c r="E22" s="15" t="str">
        <f ca="1" t="shared" si="5"/>
        <v>Phot</v>
      </c>
      <c r="F22" s="16"/>
      <c r="G22" s="16">
        <f>IF(Interfaces!DowlDir="","",Interfaces!DowlDir)</f>
      </c>
      <c r="H22" s="15" t="str">
        <f>IF(AND(System="Phot",OR(CompName="CM3",CompName="CM5")),CompName&amp;"Cent",IF(SurfaceList!Flag="Mirror","Vertex",SurfaceList!Flag))</f>
        <v>Det</v>
      </c>
      <c r="I22" s="90">
        <f ca="1">IF(OR(Flag="Ignore",Flag="Det",Flag="Hole"),"",INDIRECT("VertexCalc!X"&amp;Local)*(Interfaces!Xmirr-VertexCalc!Xmirr)+INDIRECT("VertexCalc!Y"&amp;Local)*(Interfaces!Ymirr-VertexCalc!Ymirr)+INDIRECT("VertexCalc!Z"&amp;Local)*(Interfaces!Zmirr-VertexCalc!Zmirr))</f>
      </c>
      <c r="J22" s="91">
        <f ca="1">IF(OR(Flag="Ignore",Flag="Det",Flag="Hole"),"",INDIRECT("VertexCalc!X"&amp;Local)*(Interfaces!Xmirr-VertexCalc!Xmirr)+INDIRECT("VertexCalc!Y"&amp;Local)*(Interfaces!Ymirr-VertexCalc!Ymirr)+INDIRECT("VertexCalc!Z"&amp;Local)*(Interfaces!Zmirr-VertexCalc!Zmirr))</f>
      </c>
      <c r="K22" s="92">
        <f ca="1">IF(OR(Flag="Ignore",Flag="Det",Flag="Hole"),"",INDIRECT("VertexCalc!X"&amp;Local)*(Interfaces!Xmirr-VertexCalc!Xmirr)+INDIRECT("VertexCalc!Y"&amp;Local)*(Interfaces!Ymirr-VertexCalc!Ymirr)+INDIRECT("VertexCalc!Z"&amp;Local)*(Interfaces!Zmirr-VertexCalc!Zmirr))</f>
      </c>
      <c r="L22" s="91">
        <f ca="1">IF(OR(Flag="Ignore",Flag="Det",Flag="Hole"),"",(INDIRECT("VertexCalc!X"&amp;Local)*Interfaces!Xnorm+INDIRECT("VertexCalc!Y"&amp;Local)*Interfaces!Ynorm+INDIRECT("VertexCalc!Z"&amp;Local)*Interfaces!Znorm))</f>
      </c>
      <c r="M22" s="91">
        <f ca="1">IF(OR(Flag="Ignore",Flag="Det",Flag="Hole"),"",(INDIRECT("VertexCalc!X"&amp;Local)*Interfaces!Xnorm+INDIRECT("VertexCalc!Y"&amp;Local)*Interfaces!Ynorm+INDIRECT("VertexCalc!Z"&amp;Local)*Interfaces!Znorm))</f>
      </c>
      <c r="N22" s="91">
        <f ca="1">IF(OR(Flag="Ignore",Flag="Det",Flag="Hole"),"",(INDIRECT("VertexCalc!X"&amp;Local)*Interfaces!Xnorm+INDIRECT("VertexCalc!Y"&amp;Local)*Interfaces!Ynorm+INDIRECT("VertexCalc!Z"&amp;Local)*Interfaces!Znorm))</f>
      </c>
      <c r="O22" s="90">
        <f aca="true" ca="1" t="shared" si="6" ref="O22:Q41">IF(OR(Flag="Ignore",Flag="Det",Flag="Hole"),"",INDIRECT(Axe&amp;"mirr")+IF(ThMirr="Thick",Thick,Thin)*INDIRECT(Axe&amp;"norm"))</f>
      </c>
      <c r="P22" s="91">
        <f ca="1" t="shared" si="6"/>
      </c>
      <c r="Q22" s="92">
        <f ca="1" t="shared" si="6"/>
      </c>
      <c r="R22" s="91">
        <f ca="1">IF(OR(Flag="Ignore",Flag="Det",Flag="Hole"),"",INDIRECT("VertexCalc!X"&amp;Local)*Interfaces!Xsag+INDIRECT("VertexCalc!Y"&amp;Local)*Interfaces!Ysag+INDIRECT("VertexCalc!Z"&amp;Local)*Interfaces!Zsag)</f>
      </c>
      <c r="S22" s="91">
        <f ca="1">IF(OR(Flag="Ignore",Flag="Det",Flag="Hole"),"",INDIRECT("VertexCalc!X"&amp;Local)*Interfaces!Xsag+INDIRECT("VertexCalc!Y"&amp;Local)*Interfaces!Ysag+INDIRECT("VertexCalc!Z"&amp;Local)*Interfaces!Zsag)</f>
      </c>
      <c r="T22" s="91">
        <f ca="1">IF(OR(Flag="Ignore",Flag="Det",Flag="Hole"),"",INDIRECT("VertexCalc!X"&amp;Local)*Interfaces!Xsag+INDIRECT("VertexCalc!Y"&amp;Local)*Interfaces!Ysag+INDIRECT("VertexCalc!Z"&amp;Local)*Interfaces!Zsag)</f>
      </c>
      <c r="U22" s="90">
        <f aca="true" ca="1" t="shared" si="7" ref="U22:W41">IF(OR(Flag="Ignore",Flag="Det",Flag="Hole"),"",INDIRECT(Axe&amp;"spig")+DowlSep*DowlDir*INDIRECT(Axe&amp;"sag"))</f>
      </c>
      <c r="V22" s="91">
        <f ca="1" t="shared" si="7"/>
      </c>
      <c r="W22" s="92">
        <f ca="1" t="shared" si="7"/>
      </c>
      <c r="X22" s="16">
        <f t="shared" si="4"/>
      </c>
      <c r="Y22" s="112" t="str">
        <f t="shared" si="3"/>
        <v>PLW</v>
      </c>
    </row>
    <row r="23" spans="3:25" ht="13.5" thickBot="1">
      <c r="C23" s="19">
        <f ca="1" t="shared" si="5"/>
      </c>
      <c r="D23" s="19" t="str">
        <f ca="1" t="shared" si="5"/>
        <v>CM5</v>
      </c>
      <c r="E23" s="19" t="str">
        <f ca="1" t="shared" si="5"/>
        <v>Spec</v>
      </c>
      <c r="F23" s="20"/>
      <c r="G23" s="20">
        <f>IF(Interfaces!DowlDir="","",Interfaces!DowlDir)</f>
        <v>1</v>
      </c>
      <c r="H23" s="19" t="str">
        <f>IF(AND(System="Phot",OR(CompName="CM3",CompName="CM5")),CompName&amp;"Cent",IF(SurfaceList!Flag="Mirror","Vertex",SurfaceList!Flag))</f>
        <v>Ignore</v>
      </c>
      <c r="I23" s="83">
        <f ca="1">IF(OR(Flag="Ignore",Flag="Det",Flag="Hole"),"",INDIRECT("VertexCalc!X"&amp;Local)*(Interfaces!Xmirr-VertexCalc!Xmirr)+INDIRECT("VertexCalc!Y"&amp;Local)*(Interfaces!Ymirr-VertexCalc!Ymirr)+INDIRECT("VertexCalc!Z"&amp;Local)*(Interfaces!Zmirr-VertexCalc!Zmirr))</f>
      </c>
      <c r="J23" s="84">
        <f ca="1">IF(OR(Flag="Ignore",Flag="Det",Flag="Hole"),"",INDIRECT("VertexCalc!X"&amp;Local)*(Interfaces!Xmirr-VertexCalc!Xmirr)+INDIRECT("VertexCalc!Y"&amp;Local)*(Interfaces!Ymirr-VertexCalc!Ymirr)+INDIRECT("VertexCalc!Z"&amp;Local)*(Interfaces!Zmirr-VertexCalc!Zmirr))</f>
      </c>
      <c r="K23" s="85">
        <f ca="1">IF(OR(Flag="Ignore",Flag="Det",Flag="Hole"),"",INDIRECT("VertexCalc!X"&amp;Local)*(Interfaces!Xmirr-VertexCalc!Xmirr)+INDIRECT("VertexCalc!Y"&amp;Local)*(Interfaces!Ymirr-VertexCalc!Ymirr)+INDIRECT("VertexCalc!Z"&amp;Local)*(Interfaces!Zmirr-VertexCalc!Zmirr))</f>
      </c>
      <c r="L23" s="84">
        <f ca="1">IF(OR(Flag="Ignore",Flag="Det",Flag="Hole"),"",(INDIRECT("VertexCalc!X"&amp;Local)*Interfaces!Xnorm+INDIRECT("VertexCalc!Y"&amp;Local)*Interfaces!Ynorm+INDIRECT("VertexCalc!Z"&amp;Local)*Interfaces!Znorm))</f>
      </c>
      <c r="M23" s="84">
        <f ca="1">IF(OR(Flag="Ignore",Flag="Det",Flag="Hole"),"",(INDIRECT("VertexCalc!X"&amp;Local)*Interfaces!Xnorm+INDIRECT("VertexCalc!Y"&amp;Local)*Interfaces!Ynorm+INDIRECT("VertexCalc!Z"&amp;Local)*Interfaces!Znorm))</f>
      </c>
      <c r="N23" s="84">
        <f ca="1">IF(OR(Flag="Ignore",Flag="Det",Flag="Hole"),"",(INDIRECT("VertexCalc!X"&amp;Local)*Interfaces!Xnorm+INDIRECT("VertexCalc!Y"&amp;Local)*Interfaces!Ynorm+INDIRECT("VertexCalc!Z"&amp;Local)*Interfaces!Znorm))</f>
      </c>
      <c r="O23" s="83">
        <f ca="1" t="shared" si="6"/>
      </c>
      <c r="P23" s="84">
        <f ca="1" t="shared" si="6"/>
      </c>
      <c r="Q23" s="85">
        <f ca="1" t="shared" si="6"/>
      </c>
      <c r="R23" s="84">
        <f ca="1">IF(OR(Flag="Ignore",Flag="Det",Flag="Hole"),"",INDIRECT("VertexCalc!X"&amp;Local)*Interfaces!Xsag+INDIRECT("VertexCalc!Y"&amp;Local)*Interfaces!Ysag+INDIRECT("VertexCalc!Z"&amp;Local)*Interfaces!Zsag)</f>
      </c>
      <c r="S23" s="84">
        <f ca="1">IF(OR(Flag="Ignore",Flag="Det",Flag="Hole"),"",INDIRECT("VertexCalc!X"&amp;Local)*Interfaces!Xsag+INDIRECT("VertexCalc!Y"&amp;Local)*Interfaces!Ysag+INDIRECT("VertexCalc!Z"&amp;Local)*Interfaces!Zsag)</f>
      </c>
      <c r="T23" s="84">
        <f ca="1">IF(OR(Flag="Ignore",Flag="Det",Flag="Hole"),"",INDIRECT("VertexCalc!X"&amp;Local)*Interfaces!Xsag+INDIRECT("VertexCalc!Y"&amp;Local)*Interfaces!Ysag+INDIRECT("VertexCalc!Z"&amp;Local)*Interfaces!Zsag)</f>
      </c>
      <c r="U23" s="83">
        <f ca="1" t="shared" si="7"/>
      </c>
      <c r="V23" s="84">
        <f ca="1" t="shared" si="7"/>
      </c>
      <c r="W23" s="85">
        <f ca="1" t="shared" si="7"/>
      </c>
      <c r="X23" s="20">
        <f t="shared" si="4"/>
      </c>
      <c r="Y23" s="19" t="str">
        <f t="shared" si="3"/>
        <v>CM5</v>
      </c>
    </row>
    <row r="24" spans="3:25" ht="12.75">
      <c r="C24" s="10" t="str">
        <f ca="1" t="shared" si="5"/>
        <v>Spectrometer optics</v>
      </c>
      <c r="D24" s="11" t="str">
        <f ca="1" t="shared" si="5"/>
        <v>SM6</v>
      </c>
      <c r="E24" s="11" t="str">
        <f ca="1" t="shared" si="5"/>
        <v>Spec</v>
      </c>
      <c r="F24" s="12"/>
      <c r="G24" s="12">
        <f>IF(Interfaces!DowlDir="","",Interfaces!DowlDir)</f>
        <v>1</v>
      </c>
      <c r="H24" s="11" t="str">
        <f>IF(AND(System="Phot",OR(CompName="CM3",CompName="CM5")),CompName&amp;"Cent",IF(SurfaceList!Flag="Mirror","Vertex",SurfaceList!Flag))</f>
        <v>Vertex</v>
      </c>
      <c r="I24" s="87">
        <f ca="1">IF(OR(Flag="Ignore",Flag="Det",Flag="Hole"),"",INDIRECT("VertexCalc!X"&amp;Local)*(Interfaces!Xmirr-VertexCalc!Xmirr)+INDIRECT("VertexCalc!Y"&amp;Local)*(Interfaces!Ymirr-VertexCalc!Ymirr)+INDIRECT("VertexCalc!Z"&amp;Local)*(Interfaces!Zmirr-VertexCalc!Zmirr))</f>
        <v>0</v>
      </c>
      <c r="J24" s="88">
        <f ca="1">IF(OR(Flag="Ignore",Flag="Det",Flag="Hole"),"",INDIRECT("VertexCalc!X"&amp;Local)*(Interfaces!Xmirr-VertexCalc!Xmirr)+INDIRECT("VertexCalc!Y"&amp;Local)*(Interfaces!Ymirr-VertexCalc!Ymirr)+INDIRECT("VertexCalc!Z"&amp;Local)*(Interfaces!Zmirr-VertexCalc!Zmirr))</f>
        <v>0</v>
      </c>
      <c r="K24" s="89">
        <f ca="1">IF(OR(Flag="Ignore",Flag="Det",Flag="Hole"),"",INDIRECT("VertexCalc!X"&amp;Local)*(Interfaces!Xmirr-VertexCalc!Xmirr)+INDIRECT("VertexCalc!Y"&amp;Local)*(Interfaces!Ymirr-VertexCalc!Ymirr)+INDIRECT("VertexCalc!Z"&amp;Local)*(Interfaces!Zmirr-VertexCalc!Zmirr))</f>
        <v>0</v>
      </c>
      <c r="L24" s="88">
        <f ca="1">IF(OR(Flag="Ignore",Flag="Det",Flag="Hole"),"",(INDIRECT("VertexCalc!X"&amp;Local)*Interfaces!Xnorm+INDIRECT("VertexCalc!Y"&amp;Local)*Interfaces!Ynorm+INDIRECT("VertexCalc!Z"&amp;Local)*Interfaces!Znorm))</f>
        <v>0.9999999999999999</v>
      </c>
      <c r="M24" s="88">
        <f ca="1">IF(OR(Flag="Ignore",Flag="Det",Flag="Hole"),"",(INDIRECT("VertexCalc!X"&amp;Local)*Interfaces!Xnorm+INDIRECT("VertexCalc!Y"&amp;Local)*Interfaces!Ynorm+INDIRECT("VertexCalc!Z"&amp;Local)*Interfaces!Znorm))</f>
        <v>6.938893903907228E-17</v>
      </c>
      <c r="N24" s="88">
        <f ca="1">IF(OR(Flag="Ignore",Flag="Det",Flag="Hole"),"",(INDIRECT("VertexCalc!X"&amp;Local)*Interfaces!Xnorm+INDIRECT("VertexCalc!Y"&amp;Local)*Interfaces!Ynorm+INDIRECT("VertexCalc!Z"&amp;Local)*Interfaces!Znorm))</f>
        <v>0</v>
      </c>
      <c r="O24" s="87">
        <f ca="1" t="shared" si="6"/>
        <v>-6.971070059254094</v>
      </c>
      <c r="P24" s="88">
        <f ca="1" t="shared" si="6"/>
        <v>-4.837151553786844E-16</v>
      </c>
      <c r="Q24" s="89">
        <f ca="1" t="shared" si="6"/>
        <v>0</v>
      </c>
      <c r="R24" s="88">
        <f ca="1">IF(OR(Flag="Ignore",Flag="Det",Flag="Hole"),"",INDIRECT("VertexCalc!X"&amp;Local)*Interfaces!Xsag+INDIRECT("VertexCalc!Y"&amp;Local)*Interfaces!Ysag+INDIRECT("VertexCalc!Z"&amp;Local)*Interfaces!Zsag)</f>
        <v>6.938893903907228E-17</v>
      </c>
      <c r="S24" s="88">
        <f ca="1">IF(OR(Flag="Ignore",Flag="Det",Flag="Hole"),"",INDIRECT("VertexCalc!X"&amp;Local)*Interfaces!Xsag+INDIRECT("VertexCalc!Y"&amp;Local)*Interfaces!Ysag+INDIRECT("VertexCalc!Z"&amp;Local)*Interfaces!Zsag)</f>
        <v>0.9999999999999998</v>
      </c>
      <c r="T24" s="88">
        <f ca="1">IF(OR(Flag="Ignore",Flag="Det",Flag="Hole"),"",INDIRECT("VertexCalc!X"&amp;Local)*Interfaces!Xsag+INDIRECT("VertexCalc!Y"&amp;Local)*Interfaces!Ysag+INDIRECT("VertexCalc!Z"&amp;Local)*Interfaces!Zsag)</f>
        <v>-5.551115123125783E-17</v>
      </c>
      <c r="U24" s="87">
        <f ca="1" t="shared" si="7"/>
        <v>-6.971070059254093</v>
      </c>
      <c r="V24" s="88">
        <f ca="1" t="shared" si="7"/>
        <v>11.95040581586416</v>
      </c>
      <c r="W24" s="89">
        <f ca="1" t="shared" si="7"/>
        <v>-6.633807845193386E-16</v>
      </c>
      <c r="X24" s="12">
        <f t="shared" si="4"/>
        <v>89.99999999999999</v>
      </c>
      <c r="Y24" s="111" t="str">
        <f t="shared" si="3"/>
        <v>SM6</v>
      </c>
    </row>
    <row r="25" spans="3:25" ht="12.75">
      <c r="C25" s="18">
        <f ca="1" t="shared" si="5"/>
      </c>
      <c r="D25" s="19" t="str">
        <f ca="1" t="shared" si="5"/>
        <v>SCS</v>
      </c>
      <c r="E25" s="19" t="str">
        <f ca="1" t="shared" si="5"/>
        <v>Spec</v>
      </c>
      <c r="F25" s="20"/>
      <c r="G25" s="20">
        <f>IF(Interfaces!DowlDir="","",Interfaces!DowlDir)</f>
      </c>
      <c r="H25" s="19" t="str">
        <f>IF(AND(System="Phot",OR(CompName="CM3",CompName="CM5")),CompName&amp;"Cent",IF(SurfaceList!Flag="Mirror","Vertex",SurfaceList!Flag))</f>
        <v>Hole</v>
      </c>
      <c r="I25" s="83">
        <f ca="1">IF(OR(Flag="Ignore",Flag="Det",Flag="Hole"),"",INDIRECT("VertexCalc!X"&amp;Local)*(Interfaces!Xmirr-VertexCalc!Xmirr)+INDIRECT("VertexCalc!Y"&amp;Local)*(Interfaces!Ymirr-VertexCalc!Ymirr)+INDIRECT("VertexCalc!Z"&amp;Local)*(Interfaces!Zmirr-VertexCalc!Zmirr))</f>
      </c>
      <c r="J25" s="84">
        <f ca="1">IF(OR(Flag="Ignore",Flag="Det",Flag="Hole"),"",INDIRECT("VertexCalc!X"&amp;Local)*(Interfaces!Xmirr-VertexCalc!Xmirr)+INDIRECT("VertexCalc!Y"&amp;Local)*(Interfaces!Ymirr-VertexCalc!Ymirr)+INDIRECT("VertexCalc!Z"&amp;Local)*(Interfaces!Zmirr-VertexCalc!Zmirr))</f>
      </c>
      <c r="K25" s="85">
        <f ca="1">IF(OR(Flag="Ignore",Flag="Det",Flag="Hole"),"",INDIRECT("VertexCalc!X"&amp;Local)*(Interfaces!Xmirr-VertexCalc!Xmirr)+INDIRECT("VertexCalc!Y"&amp;Local)*(Interfaces!Ymirr-VertexCalc!Ymirr)+INDIRECT("VertexCalc!Z"&amp;Local)*(Interfaces!Zmirr-VertexCalc!Zmirr))</f>
      </c>
      <c r="L25" s="84">
        <f ca="1">IF(OR(Flag="Ignore",Flag="Det",Flag="Hole"),"",(INDIRECT("VertexCalc!X"&amp;Local)*Interfaces!Xnorm+INDIRECT("VertexCalc!Y"&amp;Local)*Interfaces!Ynorm+INDIRECT("VertexCalc!Z"&amp;Local)*Interfaces!Znorm))</f>
      </c>
      <c r="M25" s="84">
        <f ca="1">IF(OR(Flag="Ignore",Flag="Det",Flag="Hole"),"",(INDIRECT("VertexCalc!X"&amp;Local)*Interfaces!Xnorm+INDIRECT("VertexCalc!Y"&amp;Local)*Interfaces!Ynorm+INDIRECT("VertexCalc!Z"&amp;Local)*Interfaces!Znorm))</f>
      </c>
      <c r="N25" s="84">
        <f ca="1">IF(OR(Flag="Ignore",Flag="Det",Flag="Hole"),"",(INDIRECT("VertexCalc!X"&amp;Local)*Interfaces!Xnorm+INDIRECT("VertexCalc!Y"&amp;Local)*Interfaces!Ynorm+INDIRECT("VertexCalc!Z"&amp;Local)*Interfaces!Znorm))</f>
      </c>
      <c r="O25" s="83">
        <f ca="1" t="shared" si="6"/>
      </c>
      <c r="P25" s="84">
        <f ca="1" t="shared" si="6"/>
      </c>
      <c r="Q25" s="85">
        <f ca="1" t="shared" si="6"/>
      </c>
      <c r="R25" s="84">
        <f ca="1">IF(OR(Flag="Ignore",Flag="Det",Flag="Hole"),"",INDIRECT("VertexCalc!X"&amp;Local)*Interfaces!Xsag+INDIRECT("VertexCalc!Y"&amp;Local)*Interfaces!Ysag+INDIRECT("VertexCalc!Z"&amp;Local)*Interfaces!Zsag)</f>
      </c>
      <c r="S25" s="84">
        <f ca="1">IF(OR(Flag="Ignore",Flag="Det",Flag="Hole"),"",INDIRECT("VertexCalc!X"&amp;Local)*Interfaces!Xsag+INDIRECT("VertexCalc!Y"&amp;Local)*Interfaces!Ysag+INDIRECT("VertexCalc!Z"&amp;Local)*Interfaces!Zsag)</f>
      </c>
      <c r="T25" s="84">
        <f ca="1">IF(OR(Flag="Ignore",Flag="Det",Flag="Hole"),"",INDIRECT("VertexCalc!X"&amp;Local)*Interfaces!Xsag+INDIRECT("VertexCalc!Y"&amp;Local)*Interfaces!Ysag+INDIRECT("VertexCalc!Z"&amp;Local)*Interfaces!Zsag)</f>
      </c>
      <c r="U25" s="83">
        <f ca="1" t="shared" si="7"/>
      </c>
      <c r="V25" s="84">
        <f ca="1" t="shared" si="7"/>
      </c>
      <c r="W25" s="85">
        <f ca="1" t="shared" si="7"/>
      </c>
      <c r="X25" s="20">
        <f t="shared" si="4"/>
      </c>
      <c r="Y25" s="113" t="str">
        <f t="shared" si="3"/>
        <v>SCS</v>
      </c>
    </row>
    <row r="26" spans="3:25" ht="12.75">
      <c r="C26" s="18">
        <f ca="1" t="shared" si="5"/>
      </c>
      <c r="D26" s="19" t="str">
        <f ca="1" t="shared" si="5"/>
        <v>SM7</v>
      </c>
      <c r="E26" s="19" t="str">
        <f ca="1" t="shared" si="5"/>
        <v>Spec</v>
      </c>
      <c r="F26" s="20"/>
      <c r="G26" s="20">
        <f>IF(Interfaces!DowlDir="","",Interfaces!DowlDir)</f>
        <v>-1</v>
      </c>
      <c r="H26" s="19" t="str">
        <f>IF(AND(System="Phot",OR(CompName="CM3",CompName="CM5")),CompName&amp;"Cent",IF(SurfaceList!Flag="Mirror","Vertex",SurfaceList!Flag))</f>
        <v>Vertex</v>
      </c>
      <c r="I26" s="83">
        <f ca="1">IF(OR(Flag="Ignore",Flag="Det",Flag="Hole"),"",INDIRECT("VertexCalc!X"&amp;Local)*(Interfaces!Xmirr-VertexCalc!Xmirr)+INDIRECT("VertexCalc!Y"&amp;Local)*(Interfaces!Ymirr-VertexCalc!Ymirr)+INDIRECT("VertexCalc!Z"&amp;Local)*(Interfaces!Zmirr-VertexCalc!Zmirr))</f>
        <v>0</v>
      </c>
      <c r="J26" s="84">
        <f ca="1">IF(OR(Flag="Ignore",Flag="Det",Flag="Hole"),"",INDIRECT("VertexCalc!X"&amp;Local)*(Interfaces!Xmirr-VertexCalc!Xmirr)+INDIRECT("VertexCalc!Y"&amp;Local)*(Interfaces!Ymirr-VertexCalc!Ymirr)+INDIRECT("VertexCalc!Z"&amp;Local)*(Interfaces!Zmirr-VertexCalc!Zmirr))</f>
        <v>0</v>
      </c>
      <c r="K26" s="85">
        <f ca="1">IF(OR(Flag="Ignore",Flag="Det",Flag="Hole"),"",INDIRECT("VertexCalc!X"&amp;Local)*(Interfaces!Xmirr-VertexCalc!Xmirr)+INDIRECT("VertexCalc!Y"&amp;Local)*(Interfaces!Ymirr-VertexCalc!Ymirr)+INDIRECT("VertexCalc!Z"&amp;Local)*(Interfaces!Zmirr-VertexCalc!Zmirr))</f>
        <v>0</v>
      </c>
      <c r="L26" s="84">
        <f ca="1">IF(OR(Flag="Ignore",Flag="Det",Flag="Hole"),"",(INDIRECT("VertexCalc!X"&amp;Local)*Interfaces!Xnorm+INDIRECT("VertexCalc!Y"&amp;Local)*Interfaces!Ynorm+INDIRECT("VertexCalc!Z"&amp;Local)*Interfaces!Znorm))</f>
        <v>0.9999999999999998</v>
      </c>
      <c r="M26" s="84">
        <f ca="1">IF(OR(Flag="Ignore",Flag="Det",Flag="Hole"),"",(INDIRECT("VertexCalc!X"&amp;Local)*Interfaces!Xnorm+INDIRECT("VertexCalc!Y"&amp;Local)*Interfaces!Ynorm+INDIRECT("VertexCalc!Z"&amp;Local)*Interfaces!Znorm))</f>
        <v>-6.245004513516506E-17</v>
      </c>
      <c r="N26" s="84">
        <f ca="1">IF(OR(Flag="Ignore",Flag="Det",Flag="Hole"),"",(INDIRECT("VertexCalc!X"&amp;Local)*Interfaces!Xnorm+INDIRECT("VertexCalc!Y"&amp;Local)*Interfaces!Ynorm+INDIRECT("VertexCalc!Z"&amp;Local)*Interfaces!Znorm))</f>
        <v>0</v>
      </c>
      <c r="O26" s="83">
        <f ca="1" t="shared" si="6"/>
        <v>-6.971070059254093</v>
      </c>
      <c r="P26" s="84">
        <f ca="1" t="shared" si="6"/>
        <v>4.35343639840816E-16</v>
      </c>
      <c r="Q26" s="85">
        <f ca="1" t="shared" si="6"/>
        <v>0</v>
      </c>
      <c r="R26" s="84">
        <f ca="1">IF(OR(Flag="Ignore",Flag="Det",Flag="Hole"),"",INDIRECT("VertexCalc!X"&amp;Local)*Interfaces!Xsag+INDIRECT("VertexCalc!Y"&amp;Local)*Interfaces!Ysag+INDIRECT("VertexCalc!Z"&amp;Local)*Interfaces!Zsag)</f>
        <v>-6.245004513516506E-17</v>
      </c>
      <c r="S26" s="84">
        <f ca="1">IF(OR(Flag="Ignore",Flag="Det",Flag="Hole"),"",INDIRECT("VertexCalc!X"&amp;Local)*Interfaces!Xsag+INDIRECT("VertexCalc!Y"&amp;Local)*Interfaces!Ysag+INDIRECT("VertexCalc!Z"&amp;Local)*Interfaces!Zsag)</f>
        <v>0.9999999999999999</v>
      </c>
      <c r="T26" s="84">
        <f ca="1">IF(OR(Flag="Ignore",Flag="Det",Flag="Hole"),"",INDIRECT("VertexCalc!X"&amp;Local)*Interfaces!Xsag+INDIRECT("VertexCalc!Y"&amp;Local)*Interfaces!Ysag+INDIRECT("VertexCalc!Z"&amp;Local)*Interfaces!Zsag)</f>
        <v>5.551115123125783E-17</v>
      </c>
      <c r="U26" s="83">
        <f ca="1" t="shared" si="7"/>
        <v>-6.971070059254092</v>
      </c>
      <c r="V26" s="84">
        <f ca="1" t="shared" si="7"/>
        <v>-11.95040581586416</v>
      </c>
      <c r="W26" s="85">
        <f ca="1" t="shared" si="7"/>
        <v>-6.633807845193386E-16</v>
      </c>
      <c r="X26" s="20">
        <f t="shared" si="4"/>
        <v>90.00000000000001</v>
      </c>
      <c r="Y26" s="113" t="str">
        <f t="shared" si="3"/>
        <v>SM7</v>
      </c>
    </row>
    <row r="27" spans="3:25" ht="13.5" thickBot="1">
      <c r="C27" s="14">
        <f ca="1" t="shared" si="5"/>
      </c>
      <c r="D27" s="15" t="str">
        <f ca="1" t="shared" si="5"/>
        <v>SM8A</v>
      </c>
      <c r="E27" s="15" t="str">
        <f ca="1" t="shared" si="5"/>
        <v>Spec</v>
      </c>
      <c r="F27" s="16"/>
      <c r="G27" s="16">
        <f>IF(Interfaces!DowlDir="","",Interfaces!DowlDir)</f>
        <v>-1</v>
      </c>
      <c r="H27" s="15" t="str">
        <f>IF(AND(System="Phot",OR(CompName="CM3",CompName="CM5")),CompName&amp;"Cent",IF(SurfaceList!Flag="Mirror","Vertex",SurfaceList!Flag))</f>
        <v>Vertex</v>
      </c>
      <c r="I27" s="90">
        <f ca="1">IF(OR(Flag="Ignore",Flag="Det",Flag="Hole"),"",INDIRECT("VertexCalc!X"&amp;Local)*(Interfaces!Xmirr-VertexCalc!Xmirr)+INDIRECT("VertexCalc!Y"&amp;Local)*(Interfaces!Ymirr-VertexCalc!Ymirr)+INDIRECT("VertexCalc!Z"&amp;Local)*(Interfaces!Zmirr-VertexCalc!Zmirr))</f>
        <v>0</v>
      </c>
      <c r="J27" s="91">
        <f ca="1">IF(OR(Flag="Ignore",Flag="Det",Flag="Hole"),"",INDIRECT("VertexCalc!X"&amp;Local)*(Interfaces!Xmirr-VertexCalc!Xmirr)+INDIRECT("VertexCalc!Y"&amp;Local)*(Interfaces!Ymirr-VertexCalc!Ymirr)+INDIRECT("VertexCalc!Z"&amp;Local)*(Interfaces!Zmirr-VertexCalc!Zmirr))</f>
        <v>0</v>
      </c>
      <c r="K27" s="92">
        <f ca="1">IF(OR(Flag="Ignore",Flag="Det",Flag="Hole"),"",INDIRECT("VertexCalc!X"&amp;Local)*(Interfaces!Xmirr-VertexCalc!Xmirr)+INDIRECT("VertexCalc!Y"&amp;Local)*(Interfaces!Ymirr-VertexCalc!Ymirr)+INDIRECT("VertexCalc!Z"&amp;Local)*(Interfaces!Zmirr-VertexCalc!Zmirr))</f>
        <v>0</v>
      </c>
      <c r="L27" s="91">
        <f ca="1">IF(OR(Flag="Ignore",Flag="Det",Flag="Hole"),"",(INDIRECT("VertexCalc!X"&amp;Local)*Interfaces!Xnorm+INDIRECT("VertexCalc!Y"&amp;Local)*Interfaces!Ynorm+INDIRECT("VertexCalc!Z"&amp;Local)*Interfaces!Znorm))</f>
        <v>0.9999999999999999</v>
      </c>
      <c r="M27" s="91">
        <f ca="1">IF(OR(Flag="Ignore",Flag="Det",Flag="Hole"),"",(INDIRECT("VertexCalc!X"&amp;Local)*Interfaces!Xnorm+INDIRECT("VertexCalc!Y"&amp;Local)*Interfaces!Ynorm+INDIRECT("VertexCalc!Z"&amp;Local)*Interfaces!Znorm))</f>
        <v>0</v>
      </c>
      <c r="N27" s="91">
        <f ca="1">IF(OR(Flag="Ignore",Flag="Det",Flag="Hole"),"",(INDIRECT("VertexCalc!X"&amp;Local)*Interfaces!Xnorm+INDIRECT("VertexCalc!Y"&amp;Local)*Interfaces!Ynorm+INDIRECT("VertexCalc!Z"&amp;Local)*Interfaces!Znorm))</f>
        <v>-2.7755575615628914E-17</v>
      </c>
      <c r="O27" s="90">
        <f ca="1" t="shared" si="6"/>
        <v>-6.971070059254094</v>
      </c>
      <c r="P27" s="91">
        <f ca="1" t="shared" si="6"/>
        <v>0</v>
      </c>
      <c r="Q27" s="92">
        <f ca="1" t="shared" si="6"/>
        <v>1.9348606215147377E-16</v>
      </c>
      <c r="R27" s="91">
        <f ca="1">IF(OR(Flag="Ignore",Flag="Det",Flag="Hole"),"",INDIRECT("VertexCalc!X"&amp;Local)*Interfaces!Xsag+INDIRECT("VertexCalc!Y"&amp;Local)*Interfaces!Ysag+INDIRECT("VertexCalc!Z"&amp;Local)*Interfaces!Zsag)</f>
        <v>0</v>
      </c>
      <c r="S27" s="91">
        <f ca="1">IF(OR(Flag="Ignore",Flag="Det",Flag="Hole"),"",INDIRECT("VertexCalc!X"&amp;Local)*Interfaces!Xsag+INDIRECT("VertexCalc!Y"&amp;Local)*Interfaces!Ysag+INDIRECT("VertexCalc!Z"&amp;Local)*Interfaces!Zsag)</f>
        <v>0.9999999999999999</v>
      </c>
      <c r="T27" s="91">
        <f ca="1">IF(OR(Flag="Ignore",Flag="Det",Flag="Hole"),"",INDIRECT("VertexCalc!X"&amp;Local)*Interfaces!Xsag+INDIRECT("VertexCalc!Y"&amp;Local)*Interfaces!Ysag+INDIRECT("VertexCalc!Z"&amp;Local)*Interfaces!Zsag)</f>
        <v>1.3877787807814457E-17</v>
      </c>
      <c r="U27" s="90">
        <f ca="1" t="shared" si="7"/>
        <v>-6.971070059254094</v>
      </c>
      <c r="V27" s="91">
        <f ca="1" t="shared" si="7"/>
        <v>-11.95040581586416</v>
      </c>
      <c r="W27" s="92">
        <f ca="1" t="shared" si="7"/>
        <v>2.7640866021639124E-17</v>
      </c>
      <c r="X27" s="16">
        <f t="shared" si="4"/>
        <v>90</v>
      </c>
      <c r="Y27" s="112" t="str">
        <f t="shared" si="3"/>
        <v>SM8A</v>
      </c>
    </row>
    <row r="28" spans="3:25" ht="12.75">
      <c r="C28" s="10" t="str">
        <f ca="1" t="shared" si="5"/>
        <v>Upper arm</v>
      </c>
      <c r="D28" s="11" t="str">
        <f ca="1" t="shared" si="5"/>
        <v>SBS1</v>
      </c>
      <c r="E28" s="11" t="str">
        <f ca="1" t="shared" si="5"/>
        <v>Spec</v>
      </c>
      <c r="F28" s="12"/>
      <c r="G28" s="12">
        <f>IF(Interfaces!DowlDir="","",Interfaces!DowlDir)</f>
      </c>
      <c r="H28" s="11" t="str">
        <f>IF(AND(System="Phot",OR(CompName="CM3",CompName="CM5")),CompName&amp;"Cent",IF(SurfaceList!Flag="Mirror","Vertex",SurfaceList!Flag))</f>
        <v>Hole</v>
      </c>
      <c r="I28" s="87">
        <f ca="1">IF(OR(Flag="Ignore",Flag="Det",Flag="Hole"),"",INDIRECT("VertexCalc!X"&amp;Local)*(Interfaces!Xmirr-VertexCalc!Xmirr)+INDIRECT("VertexCalc!Y"&amp;Local)*(Interfaces!Ymirr-VertexCalc!Ymirr)+INDIRECT("VertexCalc!Z"&amp;Local)*(Interfaces!Zmirr-VertexCalc!Zmirr))</f>
      </c>
      <c r="J28" s="88">
        <f ca="1">IF(OR(Flag="Ignore",Flag="Det",Flag="Hole"),"",INDIRECT("VertexCalc!X"&amp;Local)*(Interfaces!Xmirr-VertexCalc!Xmirr)+INDIRECT("VertexCalc!Y"&amp;Local)*(Interfaces!Ymirr-VertexCalc!Ymirr)+INDIRECT("VertexCalc!Z"&amp;Local)*(Interfaces!Zmirr-VertexCalc!Zmirr))</f>
      </c>
      <c r="K28" s="89">
        <f ca="1">IF(OR(Flag="Ignore",Flag="Det",Flag="Hole"),"",INDIRECT("VertexCalc!X"&amp;Local)*(Interfaces!Xmirr-VertexCalc!Xmirr)+INDIRECT("VertexCalc!Y"&amp;Local)*(Interfaces!Ymirr-VertexCalc!Ymirr)+INDIRECT("VertexCalc!Z"&amp;Local)*(Interfaces!Zmirr-VertexCalc!Zmirr))</f>
      </c>
      <c r="L28" s="88">
        <f ca="1">IF(OR(Flag="Ignore",Flag="Det",Flag="Hole"),"",(INDIRECT("VertexCalc!X"&amp;Local)*Interfaces!Xnorm+INDIRECT("VertexCalc!Y"&amp;Local)*Interfaces!Ynorm+INDIRECT("VertexCalc!Z"&amp;Local)*Interfaces!Znorm))</f>
      </c>
      <c r="M28" s="88">
        <f ca="1">IF(OR(Flag="Ignore",Flag="Det",Flag="Hole"),"",(INDIRECT("VertexCalc!X"&amp;Local)*Interfaces!Xnorm+INDIRECT("VertexCalc!Y"&amp;Local)*Interfaces!Ynorm+INDIRECT("VertexCalc!Z"&amp;Local)*Interfaces!Znorm))</f>
      </c>
      <c r="N28" s="88">
        <f ca="1">IF(OR(Flag="Ignore",Flag="Det",Flag="Hole"),"",(INDIRECT("VertexCalc!X"&amp;Local)*Interfaces!Xnorm+INDIRECT("VertexCalc!Y"&amp;Local)*Interfaces!Ynorm+INDIRECT("VertexCalc!Z"&amp;Local)*Interfaces!Znorm))</f>
      </c>
      <c r="O28" s="87">
        <f ca="1" t="shared" si="6"/>
      </c>
      <c r="P28" s="88">
        <f ca="1" t="shared" si="6"/>
      </c>
      <c r="Q28" s="89">
        <f ca="1" t="shared" si="6"/>
      </c>
      <c r="R28" s="88">
        <f ca="1">IF(OR(Flag="Ignore",Flag="Det",Flag="Hole"),"",INDIRECT("VertexCalc!X"&amp;Local)*Interfaces!Xsag+INDIRECT("VertexCalc!Y"&amp;Local)*Interfaces!Ysag+INDIRECT("VertexCalc!Z"&amp;Local)*Interfaces!Zsag)</f>
      </c>
      <c r="S28" s="88">
        <f ca="1">IF(OR(Flag="Ignore",Flag="Det",Flag="Hole"),"",INDIRECT("VertexCalc!X"&amp;Local)*Interfaces!Xsag+INDIRECT("VertexCalc!Y"&amp;Local)*Interfaces!Ysag+INDIRECT("VertexCalc!Z"&amp;Local)*Interfaces!Zsag)</f>
      </c>
      <c r="T28" s="88">
        <f ca="1">IF(OR(Flag="Ignore",Flag="Det",Flag="Hole"),"",INDIRECT("VertexCalc!X"&amp;Local)*Interfaces!Xsag+INDIRECT("VertexCalc!Y"&amp;Local)*Interfaces!Ysag+INDIRECT("VertexCalc!Z"&amp;Local)*Interfaces!Zsag)</f>
      </c>
      <c r="U28" s="87">
        <f ca="1" t="shared" si="7"/>
      </c>
      <c r="V28" s="88">
        <f ca="1" t="shared" si="7"/>
      </c>
      <c r="W28" s="89">
        <f ca="1" t="shared" si="7"/>
      </c>
      <c r="X28" s="12">
        <f t="shared" si="4"/>
      </c>
      <c r="Y28" s="111" t="str">
        <f t="shared" si="3"/>
        <v>SBS1</v>
      </c>
    </row>
    <row r="29" spans="3:25" ht="12.75">
      <c r="C29" s="18">
        <f ca="1" t="shared" si="5"/>
      </c>
      <c r="D29" s="19" t="str">
        <f ca="1" t="shared" si="5"/>
        <v>SM9A</v>
      </c>
      <c r="E29" s="19" t="str">
        <f ca="1" t="shared" si="5"/>
        <v>Spec</v>
      </c>
      <c r="F29" s="20"/>
      <c r="G29" s="20">
        <f>IF(Interfaces!DowlDir="","",Interfaces!DowlDir)</f>
        <v>-1</v>
      </c>
      <c r="H29" s="19" t="str">
        <f>IF(AND(System="Phot",OR(CompName="CM3",CompName="CM5")),CompName&amp;"Cent",IF(SurfaceList!Flag="Mirror","Vertex",SurfaceList!Flag))</f>
        <v>Vertex</v>
      </c>
      <c r="I29" s="83">
        <f ca="1">IF(OR(Flag="Ignore",Flag="Det",Flag="Hole"),"",INDIRECT("VertexCalc!X"&amp;Local)*(Interfaces!Xmirr-VertexCalc!Xmirr)+INDIRECT("VertexCalc!Y"&amp;Local)*(Interfaces!Ymirr-VertexCalc!Ymirr)+INDIRECT("VertexCalc!Z"&amp;Local)*(Interfaces!Zmirr-VertexCalc!Zmirr))</f>
        <v>0</v>
      </c>
      <c r="J29" s="84">
        <f ca="1">IF(OR(Flag="Ignore",Flag="Det",Flag="Hole"),"",INDIRECT("VertexCalc!X"&amp;Local)*(Interfaces!Xmirr-VertexCalc!Xmirr)+INDIRECT("VertexCalc!Y"&amp;Local)*(Interfaces!Ymirr-VertexCalc!Ymirr)+INDIRECT("VertexCalc!Z"&amp;Local)*(Interfaces!Zmirr-VertexCalc!Zmirr))</f>
        <v>0</v>
      </c>
      <c r="K29" s="85">
        <f ca="1">IF(OR(Flag="Ignore",Flag="Det",Flag="Hole"),"",INDIRECT("VertexCalc!X"&amp;Local)*(Interfaces!Xmirr-VertexCalc!Xmirr)+INDIRECT("VertexCalc!Y"&amp;Local)*(Interfaces!Ymirr-VertexCalc!Ymirr)+INDIRECT("VertexCalc!Z"&amp;Local)*(Interfaces!Zmirr-VertexCalc!Zmirr))</f>
        <v>0</v>
      </c>
      <c r="L29" s="84">
        <f ca="1">IF(OR(Flag="Ignore",Flag="Det",Flag="Hole"),"",(INDIRECT("VertexCalc!X"&amp;Local)*Interfaces!Xnorm+INDIRECT("VertexCalc!Y"&amp;Local)*Interfaces!Ynorm+INDIRECT("VertexCalc!Z"&amp;Local)*Interfaces!Znorm))</f>
        <v>1</v>
      </c>
      <c r="M29" s="84">
        <f ca="1">IF(OR(Flag="Ignore",Flag="Det",Flag="Hole"),"",(INDIRECT("VertexCalc!X"&amp;Local)*Interfaces!Xnorm+INDIRECT("VertexCalc!Y"&amp;Local)*Interfaces!Ynorm+INDIRECT("VertexCalc!Z"&amp;Local)*Interfaces!Znorm))</f>
        <v>0</v>
      </c>
      <c r="N29" s="84">
        <f ca="1">IF(OR(Flag="Ignore",Flag="Det",Flag="Hole"),"",(INDIRECT("VertexCalc!X"&amp;Local)*Interfaces!Xnorm+INDIRECT("VertexCalc!Y"&amp;Local)*Interfaces!Ynorm+INDIRECT("VertexCalc!Z"&amp;Local)*Interfaces!Znorm))</f>
        <v>0</v>
      </c>
      <c r="O29" s="83">
        <f ca="1" t="shared" si="6"/>
        <v>-6.971070059254095</v>
      </c>
      <c r="P29" s="84">
        <f ca="1" t="shared" si="6"/>
        <v>0</v>
      </c>
      <c r="Q29" s="85">
        <f ca="1" t="shared" si="6"/>
        <v>0</v>
      </c>
      <c r="R29" s="84">
        <f ca="1">IF(OR(Flag="Ignore",Flag="Det",Flag="Hole"),"",INDIRECT("VertexCalc!X"&amp;Local)*Interfaces!Xsag+INDIRECT("VertexCalc!Y"&amp;Local)*Interfaces!Ysag+INDIRECT("VertexCalc!Z"&amp;Local)*Interfaces!Zsag)</f>
        <v>0</v>
      </c>
      <c r="S29" s="84">
        <f ca="1">IF(OR(Flag="Ignore",Flag="Det",Flag="Hole"),"",INDIRECT("VertexCalc!X"&amp;Local)*Interfaces!Xsag+INDIRECT("VertexCalc!Y"&amp;Local)*Interfaces!Ysag+INDIRECT("VertexCalc!Z"&amp;Local)*Interfaces!Zsag)</f>
        <v>1</v>
      </c>
      <c r="T29" s="84">
        <f ca="1">IF(OR(Flag="Ignore",Flag="Det",Flag="Hole"),"",INDIRECT("VertexCalc!X"&amp;Local)*Interfaces!Xsag+INDIRECT("VertexCalc!Y"&amp;Local)*Interfaces!Ysag+INDIRECT("VertexCalc!Z"&amp;Local)*Interfaces!Zsag)</f>
        <v>0</v>
      </c>
      <c r="U29" s="83">
        <f ca="1" t="shared" si="7"/>
        <v>-6.971070059254095</v>
      </c>
      <c r="V29" s="84">
        <f ca="1" t="shared" si="7"/>
        <v>-11.950405815864162</v>
      </c>
      <c r="W29" s="85">
        <f ca="1" t="shared" si="7"/>
        <v>0</v>
      </c>
      <c r="X29" s="20">
        <f t="shared" si="4"/>
        <v>90</v>
      </c>
      <c r="Y29" s="113" t="str">
        <f t="shared" si="3"/>
        <v>SM9A</v>
      </c>
    </row>
    <row r="30" spans="3:25" ht="12.75">
      <c r="C30" s="18">
        <f ca="1" t="shared" si="5"/>
      </c>
      <c r="D30" s="19" t="str">
        <f ca="1" t="shared" si="5"/>
        <v>SRTA1</v>
      </c>
      <c r="E30" s="19" t="str">
        <f ca="1" t="shared" si="5"/>
        <v>Spec</v>
      </c>
      <c r="F30" s="20"/>
      <c r="G30" s="20">
        <f>IF(Interfaces!DowlDir="","",Interfaces!DowlDir)</f>
        <v>-1</v>
      </c>
      <c r="H30" s="19" t="str">
        <f>IF(AND(System="Phot",OR(CompName="CM3",CompName="CM5")),CompName&amp;"Cent",IF(SurfaceList!Flag="Mirror","Vertex",SurfaceList!Flag))</f>
        <v>Vertex</v>
      </c>
      <c r="I30" s="83">
        <f ca="1">IF(OR(Flag="Ignore",Flag="Det",Flag="Hole"),"",INDIRECT("VertexCalc!X"&amp;Local)*(Interfaces!Xmirr-VertexCalc!Xmirr)+INDIRECT("VertexCalc!Y"&amp;Local)*(Interfaces!Ymirr-VertexCalc!Ymirr)+INDIRECT("VertexCalc!Z"&amp;Local)*(Interfaces!Zmirr-VertexCalc!Zmirr))</f>
        <v>0</v>
      </c>
      <c r="J30" s="84">
        <f ca="1">IF(OR(Flag="Ignore",Flag="Det",Flag="Hole"),"",INDIRECT("VertexCalc!X"&amp;Local)*(Interfaces!Xmirr-VertexCalc!Xmirr)+INDIRECT("VertexCalc!Y"&amp;Local)*(Interfaces!Ymirr-VertexCalc!Ymirr)+INDIRECT("VertexCalc!Z"&amp;Local)*(Interfaces!Zmirr-VertexCalc!Zmirr))</f>
        <v>0</v>
      </c>
      <c r="K30" s="85">
        <f ca="1">IF(OR(Flag="Ignore",Flag="Det",Flag="Hole"),"",INDIRECT("VertexCalc!X"&amp;Local)*(Interfaces!Xmirr-VertexCalc!Xmirr)+INDIRECT("VertexCalc!Y"&amp;Local)*(Interfaces!Ymirr-VertexCalc!Ymirr)+INDIRECT("VertexCalc!Z"&amp;Local)*(Interfaces!Zmirr-VertexCalc!Zmirr))</f>
        <v>0</v>
      </c>
      <c r="L30" s="84">
        <f ca="1">IF(OR(Flag="Ignore",Flag="Det",Flag="Hole"),"",(INDIRECT("VertexCalc!X"&amp;Local)*Interfaces!Xnorm+INDIRECT("VertexCalc!Y"&amp;Local)*Interfaces!Ynorm+INDIRECT("VertexCalc!Z"&amp;Local)*Interfaces!Znorm))</f>
        <v>1</v>
      </c>
      <c r="M30" s="84">
        <f ca="1">IF(OR(Flag="Ignore",Flag="Det",Flag="Hole"),"",(INDIRECT("VertexCalc!X"&amp;Local)*Interfaces!Xnorm+INDIRECT("VertexCalc!Y"&amp;Local)*Interfaces!Ynorm+INDIRECT("VertexCalc!Z"&amp;Local)*Interfaces!Znorm))</f>
        <v>0</v>
      </c>
      <c r="N30" s="84">
        <f ca="1">IF(OR(Flag="Ignore",Flag="Det",Flag="Hole"),"",(INDIRECT("VertexCalc!X"&amp;Local)*Interfaces!Xnorm+INDIRECT("VertexCalc!Y"&amp;Local)*Interfaces!Ynorm+INDIRECT("VertexCalc!Z"&amp;Local)*Interfaces!Znorm))</f>
        <v>0</v>
      </c>
      <c r="O30" s="83">
        <f ca="1" t="shared" si="6"/>
        <v>-6.971070059254095</v>
      </c>
      <c r="P30" s="84">
        <f ca="1" t="shared" si="6"/>
        <v>0</v>
      </c>
      <c r="Q30" s="85">
        <f ca="1" t="shared" si="6"/>
        <v>0</v>
      </c>
      <c r="R30" s="84">
        <f ca="1">IF(OR(Flag="Ignore",Flag="Det",Flag="Hole"),"",INDIRECT("VertexCalc!X"&amp;Local)*Interfaces!Xsag+INDIRECT("VertexCalc!Y"&amp;Local)*Interfaces!Ysag+INDIRECT("VertexCalc!Z"&amp;Local)*Interfaces!Zsag)</f>
        <v>0</v>
      </c>
      <c r="S30" s="84">
        <f ca="1">IF(OR(Flag="Ignore",Flag="Det",Flag="Hole"),"",INDIRECT("VertexCalc!X"&amp;Local)*Interfaces!Xsag+INDIRECT("VertexCalc!Y"&amp;Local)*Interfaces!Ysag+INDIRECT("VertexCalc!Z"&amp;Local)*Interfaces!Zsag)</f>
        <v>1</v>
      </c>
      <c r="T30" s="84">
        <f ca="1">IF(OR(Flag="Ignore",Flag="Det",Flag="Hole"),"",INDIRECT("VertexCalc!X"&amp;Local)*Interfaces!Xsag+INDIRECT("VertexCalc!Y"&amp;Local)*Interfaces!Ysag+INDIRECT("VertexCalc!Z"&amp;Local)*Interfaces!Zsag)</f>
        <v>0</v>
      </c>
      <c r="U30" s="83">
        <f ca="1" t="shared" si="7"/>
        <v>-6.971070059254095</v>
      </c>
      <c r="V30" s="84">
        <f ca="1" t="shared" si="7"/>
        <v>-11.950405815864162</v>
      </c>
      <c r="W30" s="85">
        <f ca="1" t="shared" si="7"/>
        <v>0</v>
      </c>
      <c r="X30" s="20">
        <f t="shared" si="4"/>
        <v>90</v>
      </c>
      <c r="Y30" s="113" t="str">
        <f t="shared" si="3"/>
        <v>SRTA1</v>
      </c>
    </row>
    <row r="31" spans="3:25" ht="12.75">
      <c r="C31" s="18">
        <f ca="1" t="shared" si="5"/>
      </c>
      <c r="D31" s="19" t="str">
        <f ca="1" t="shared" si="5"/>
        <v>SRTA2</v>
      </c>
      <c r="E31" s="19" t="str">
        <f ca="1" t="shared" si="5"/>
        <v>Spec</v>
      </c>
      <c r="F31" s="20"/>
      <c r="G31" s="20">
        <f>IF(Interfaces!DowlDir="","",Interfaces!DowlDir)</f>
        <v>-1</v>
      </c>
      <c r="H31" s="19" t="str">
        <f>IF(AND(System="Phot",OR(CompName="CM3",CompName="CM5")),CompName&amp;"Cent",IF(SurfaceList!Flag="Mirror","Vertex",SurfaceList!Flag))</f>
        <v>Vertex</v>
      </c>
      <c r="I31" s="83">
        <f ca="1">IF(OR(Flag="Ignore",Flag="Det",Flag="Hole"),"",INDIRECT("VertexCalc!X"&amp;Local)*(Interfaces!Xmirr-VertexCalc!Xmirr)+INDIRECT("VertexCalc!Y"&amp;Local)*(Interfaces!Ymirr-VertexCalc!Ymirr)+INDIRECT("VertexCalc!Z"&amp;Local)*(Interfaces!Zmirr-VertexCalc!Zmirr))</f>
        <v>0</v>
      </c>
      <c r="J31" s="84">
        <f ca="1">IF(OR(Flag="Ignore",Flag="Det",Flag="Hole"),"",INDIRECT("VertexCalc!X"&amp;Local)*(Interfaces!Xmirr-VertexCalc!Xmirr)+INDIRECT("VertexCalc!Y"&amp;Local)*(Interfaces!Ymirr-VertexCalc!Ymirr)+INDIRECT("VertexCalc!Z"&amp;Local)*(Interfaces!Zmirr-VertexCalc!Zmirr))</f>
        <v>0</v>
      </c>
      <c r="K31" s="85">
        <f ca="1">IF(OR(Flag="Ignore",Flag="Det",Flag="Hole"),"",INDIRECT("VertexCalc!X"&amp;Local)*(Interfaces!Xmirr-VertexCalc!Xmirr)+INDIRECT("VertexCalc!Y"&amp;Local)*(Interfaces!Ymirr-VertexCalc!Ymirr)+INDIRECT("VertexCalc!Z"&amp;Local)*(Interfaces!Zmirr-VertexCalc!Zmirr))</f>
        <v>0</v>
      </c>
      <c r="L31" s="84">
        <f ca="1">IF(OR(Flag="Ignore",Flag="Det",Flag="Hole"),"",(INDIRECT("VertexCalc!X"&amp;Local)*Interfaces!Xnorm+INDIRECT("VertexCalc!Y"&amp;Local)*Interfaces!Ynorm+INDIRECT("VertexCalc!Z"&amp;Local)*Interfaces!Znorm))</f>
        <v>1</v>
      </c>
      <c r="M31" s="84">
        <f ca="1">IF(OR(Flag="Ignore",Flag="Det",Flag="Hole"),"",(INDIRECT("VertexCalc!X"&amp;Local)*Interfaces!Xnorm+INDIRECT("VertexCalc!Y"&amp;Local)*Interfaces!Ynorm+INDIRECT("VertexCalc!Z"&amp;Local)*Interfaces!Znorm))</f>
        <v>0</v>
      </c>
      <c r="N31" s="84">
        <f ca="1">IF(OR(Flag="Ignore",Flag="Det",Flag="Hole"),"",(INDIRECT("VertexCalc!X"&amp;Local)*Interfaces!Xnorm+INDIRECT("VertexCalc!Y"&amp;Local)*Interfaces!Ynorm+INDIRECT("VertexCalc!Z"&amp;Local)*Interfaces!Znorm))</f>
        <v>0</v>
      </c>
      <c r="O31" s="83">
        <f ca="1" t="shared" si="6"/>
        <v>-6.971070059254095</v>
      </c>
      <c r="P31" s="84">
        <f ca="1" t="shared" si="6"/>
        <v>0</v>
      </c>
      <c r="Q31" s="85">
        <f ca="1" t="shared" si="6"/>
        <v>0</v>
      </c>
      <c r="R31" s="84">
        <f ca="1">IF(OR(Flag="Ignore",Flag="Det",Flag="Hole"),"",INDIRECT("VertexCalc!X"&amp;Local)*Interfaces!Xsag+INDIRECT("VertexCalc!Y"&amp;Local)*Interfaces!Ysag+INDIRECT("VertexCalc!Z"&amp;Local)*Interfaces!Zsag)</f>
        <v>0</v>
      </c>
      <c r="S31" s="84">
        <f ca="1">IF(OR(Flag="Ignore",Flag="Det",Flag="Hole"),"",INDIRECT("VertexCalc!X"&amp;Local)*Interfaces!Xsag+INDIRECT("VertexCalc!Y"&amp;Local)*Interfaces!Ysag+INDIRECT("VertexCalc!Z"&amp;Local)*Interfaces!Zsag)</f>
        <v>1</v>
      </c>
      <c r="T31" s="84">
        <f ca="1">IF(OR(Flag="Ignore",Flag="Det",Flag="Hole"),"",INDIRECT("VertexCalc!X"&amp;Local)*Interfaces!Xsag+INDIRECT("VertexCalc!Y"&amp;Local)*Interfaces!Ysag+INDIRECT("VertexCalc!Z"&amp;Local)*Interfaces!Zsag)</f>
        <v>0</v>
      </c>
      <c r="U31" s="83">
        <f ca="1" t="shared" si="7"/>
        <v>-6.971070059254095</v>
      </c>
      <c r="V31" s="84">
        <f ca="1" t="shared" si="7"/>
        <v>-11.950405815864162</v>
      </c>
      <c r="W31" s="85">
        <f ca="1" t="shared" si="7"/>
        <v>0</v>
      </c>
      <c r="X31" s="20">
        <f t="shared" si="4"/>
        <v>90</v>
      </c>
      <c r="Y31" s="113" t="str">
        <f t="shared" si="3"/>
        <v>SRTA2</v>
      </c>
    </row>
    <row r="32" spans="3:25" ht="12.75">
      <c r="C32" s="18">
        <f ca="1" t="shared" si="5"/>
      </c>
      <c r="D32" s="19" t="str">
        <f ca="1" t="shared" si="5"/>
        <v>SM10A</v>
      </c>
      <c r="E32" s="19" t="str">
        <f ca="1" t="shared" si="5"/>
        <v>Spec</v>
      </c>
      <c r="F32" s="20"/>
      <c r="G32" s="20">
        <f>IF(Interfaces!DowlDir="","",Interfaces!DowlDir)</f>
        <v>-1</v>
      </c>
      <c r="H32" s="19" t="str">
        <f>IF(AND(System="Phot",OR(CompName="CM3",CompName="CM5")),CompName&amp;"Cent",IF(SurfaceList!Flag="Mirror","Vertex",SurfaceList!Flag))</f>
        <v>Vertex</v>
      </c>
      <c r="I32" s="83">
        <f ca="1">IF(OR(Flag="Ignore",Flag="Det",Flag="Hole"),"",INDIRECT("VertexCalc!X"&amp;Local)*(Interfaces!Xmirr-VertexCalc!Xmirr)+INDIRECT("VertexCalc!Y"&amp;Local)*(Interfaces!Ymirr-VertexCalc!Ymirr)+INDIRECT("VertexCalc!Z"&amp;Local)*(Interfaces!Zmirr-VertexCalc!Zmirr))</f>
        <v>0</v>
      </c>
      <c r="J32" s="84">
        <f ca="1">IF(OR(Flag="Ignore",Flag="Det",Flag="Hole"),"",INDIRECT("VertexCalc!X"&amp;Local)*(Interfaces!Xmirr-VertexCalc!Xmirr)+INDIRECT("VertexCalc!Y"&amp;Local)*(Interfaces!Ymirr-VertexCalc!Ymirr)+INDIRECT("VertexCalc!Z"&amp;Local)*(Interfaces!Zmirr-VertexCalc!Zmirr))</f>
        <v>0</v>
      </c>
      <c r="K32" s="85">
        <f ca="1">IF(OR(Flag="Ignore",Flag="Det",Flag="Hole"),"",INDIRECT("VertexCalc!X"&amp;Local)*(Interfaces!Xmirr-VertexCalc!Xmirr)+INDIRECT("VertexCalc!Y"&amp;Local)*(Interfaces!Ymirr-VertexCalc!Ymirr)+INDIRECT("VertexCalc!Z"&amp;Local)*(Interfaces!Zmirr-VertexCalc!Zmirr))</f>
        <v>0</v>
      </c>
      <c r="L32" s="84">
        <f ca="1">IF(OR(Flag="Ignore",Flag="Det",Flag="Hole"),"",(INDIRECT("VertexCalc!X"&amp;Local)*Interfaces!Xnorm+INDIRECT("VertexCalc!Y"&amp;Local)*Interfaces!Ynorm+INDIRECT("VertexCalc!Z"&amp;Local)*Interfaces!Znorm))</f>
        <v>1</v>
      </c>
      <c r="M32" s="84">
        <f ca="1">IF(OR(Flag="Ignore",Flag="Det",Flag="Hole"),"",(INDIRECT("VertexCalc!X"&amp;Local)*Interfaces!Xnorm+INDIRECT("VertexCalc!Y"&amp;Local)*Interfaces!Ynorm+INDIRECT("VertexCalc!Z"&amp;Local)*Interfaces!Znorm))</f>
        <v>0</v>
      </c>
      <c r="N32" s="84">
        <f ca="1">IF(OR(Flag="Ignore",Flag="Det",Flag="Hole"),"",(INDIRECT("VertexCalc!X"&amp;Local)*Interfaces!Xnorm+INDIRECT("VertexCalc!Y"&amp;Local)*Interfaces!Ynorm+INDIRECT("VertexCalc!Z"&amp;Local)*Interfaces!Znorm))</f>
        <v>0</v>
      </c>
      <c r="O32" s="83">
        <f ca="1" t="shared" si="6"/>
        <v>-6.971070059254095</v>
      </c>
      <c r="P32" s="84">
        <f ca="1" t="shared" si="6"/>
        <v>0</v>
      </c>
      <c r="Q32" s="85">
        <f ca="1" t="shared" si="6"/>
        <v>0</v>
      </c>
      <c r="R32" s="84">
        <f ca="1">IF(OR(Flag="Ignore",Flag="Det",Flag="Hole"),"",INDIRECT("VertexCalc!X"&amp;Local)*Interfaces!Xsag+INDIRECT("VertexCalc!Y"&amp;Local)*Interfaces!Ysag+INDIRECT("VertexCalc!Z"&amp;Local)*Interfaces!Zsag)</f>
        <v>0</v>
      </c>
      <c r="S32" s="84">
        <f ca="1">IF(OR(Flag="Ignore",Flag="Det",Flag="Hole"),"",INDIRECT("VertexCalc!X"&amp;Local)*Interfaces!Xsag+INDIRECT("VertexCalc!Y"&amp;Local)*Interfaces!Ysag+INDIRECT("VertexCalc!Z"&amp;Local)*Interfaces!Zsag)</f>
        <v>1</v>
      </c>
      <c r="T32" s="84">
        <f ca="1">IF(OR(Flag="Ignore",Flag="Det",Flag="Hole"),"",INDIRECT("VertexCalc!X"&amp;Local)*Interfaces!Xsag+INDIRECT("VertexCalc!Y"&amp;Local)*Interfaces!Ysag+INDIRECT("VertexCalc!Z"&amp;Local)*Interfaces!Zsag)</f>
        <v>0</v>
      </c>
      <c r="U32" s="83">
        <f ca="1" t="shared" si="7"/>
        <v>-6.971070059254095</v>
      </c>
      <c r="V32" s="84">
        <f ca="1" t="shared" si="7"/>
        <v>-11.950405815864162</v>
      </c>
      <c r="W32" s="85">
        <f ca="1" t="shared" si="7"/>
        <v>0</v>
      </c>
      <c r="X32" s="20">
        <f t="shared" si="4"/>
        <v>90</v>
      </c>
      <c r="Y32" s="113" t="str">
        <f t="shared" si="3"/>
        <v>SM10A</v>
      </c>
    </row>
    <row r="33" spans="3:25" ht="12.75">
      <c r="C33" s="18">
        <f ca="1" t="shared" si="5"/>
      </c>
      <c r="D33" s="19" t="str">
        <f ca="1" t="shared" si="5"/>
        <v>SBS2</v>
      </c>
      <c r="E33" s="19" t="str">
        <f ca="1" t="shared" si="5"/>
        <v>Spec</v>
      </c>
      <c r="F33" s="20"/>
      <c r="G33" s="20">
        <f>IF(Interfaces!DowlDir="","",Interfaces!DowlDir)</f>
      </c>
      <c r="H33" s="19" t="str">
        <f>IF(AND(System="Phot",OR(CompName="CM3",CompName="CM5")),CompName&amp;"Cent",IF(SurfaceList!Flag="Mirror","Vertex",SurfaceList!Flag))</f>
        <v>Hole</v>
      </c>
      <c r="I33" s="83">
        <f ca="1">IF(OR(Flag="Ignore",Flag="Det",Flag="Hole"),"",INDIRECT("VertexCalc!X"&amp;Local)*(Interfaces!Xmirr-VertexCalc!Xmirr)+INDIRECT("VertexCalc!Y"&amp;Local)*(Interfaces!Ymirr-VertexCalc!Ymirr)+INDIRECT("VertexCalc!Z"&amp;Local)*(Interfaces!Zmirr-VertexCalc!Zmirr))</f>
      </c>
      <c r="J33" s="84">
        <f ca="1">IF(OR(Flag="Ignore",Flag="Det",Flag="Hole"),"",INDIRECT("VertexCalc!X"&amp;Local)*(Interfaces!Xmirr-VertexCalc!Xmirr)+INDIRECT("VertexCalc!Y"&amp;Local)*(Interfaces!Ymirr-VertexCalc!Ymirr)+INDIRECT("VertexCalc!Z"&amp;Local)*(Interfaces!Zmirr-VertexCalc!Zmirr))</f>
      </c>
      <c r="K33" s="85">
        <f ca="1">IF(OR(Flag="Ignore",Flag="Det",Flag="Hole"),"",INDIRECT("VertexCalc!X"&amp;Local)*(Interfaces!Xmirr-VertexCalc!Xmirr)+INDIRECT("VertexCalc!Y"&amp;Local)*(Interfaces!Ymirr-VertexCalc!Ymirr)+INDIRECT("VertexCalc!Z"&amp;Local)*(Interfaces!Zmirr-VertexCalc!Zmirr))</f>
      </c>
      <c r="L33" s="84">
        <f ca="1">IF(OR(Flag="Ignore",Flag="Det",Flag="Hole"),"",(INDIRECT("VertexCalc!X"&amp;Local)*Interfaces!Xnorm+INDIRECT("VertexCalc!Y"&amp;Local)*Interfaces!Ynorm+INDIRECT("VertexCalc!Z"&amp;Local)*Interfaces!Znorm))</f>
      </c>
      <c r="M33" s="84">
        <f ca="1">IF(OR(Flag="Ignore",Flag="Det",Flag="Hole"),"",(INDIRECT("VertexCalc!X"&amp;Local)*Interfaces!Xnorm+INDIRECT("VertexCalc!Y"&amp;Local)*Interfaces!Ynorm+INDIRECT("VertexCalc!Z"&amp;Local)*Interfaces!Znorm))</f>
      </c>
      <c r="N33" s="84">
        <f ca="1">IF(OR(Flag="Ignore",Flag="Det",Flag="Hole"),"",(INDIRECT("VertexCalc!X"&amp;Local)*Interfaces!Xnorm+INDIRECT("VertexCalc!Y"&amp;Local)*Interfaces!Ynorm+INDIRECT("VertexCalc!Z"&amp;Local)*Interfaces!Znorm))</f>
      </c>
      <c r="O33" s="83">
        <f ca="1" t="shared" si="6"/>
      </c>
      <c r="P33" s="84">
        <f ca="1" t="shared" si="6"/>
      </c>
      <c r="Q33" s="85">
        <f ca="1" t="shared" si="6"/>
      </c>
      <c r="R33" s="84">
        <f ca="1">IF(OR(Flag="Ignore",Flag="Det",Flag="Hole"),"",INDIRECT("VertexCalc!X"&amp;Local)*Interfaces!Xsag+INDIRECT("VertexCalc!Y"&amp;Local)*Interfaces!Ysag+INDIRECT("VertexCalc!Z"&amp;Local)*Interfaces!Zsag)</f>
      </c>
      <c r="S33" s="84">
        <f ca="1">IF(OR(Flag="Ignore",Flag="Det",Flag="Hole"),"",INDIRECT("VertexCalc!X"&amp;Local)*Interfaces!Xsag+INDIRECT("VertexCalc!Y"&amp;Local)*Interfaces!Ysag+INDIRECT("VertexCalc!Z"&amp;Local)*Interfaces!Zsag)</f>
      </c>
      <c r="T33" s="84">
        <f ca="1">IF(OR(Flag="Ignore",Flag="Det",Flag="Hole"),"",INDIRECT("VertexCalc!X"&amp;Local)*Interfaces!Xsag+INDIRECT("VertexCalc!Y"&amp;Local)*Interfaces!Ysag+INDIRECT("VertexCalc!Z"&amp;Local)*Interfaces!Zsag)</f>
      </c>
      <c r="U33" s="83">
        <f ca="1" t="shared" si="7"/>
      </c>
      <c r="V33" s="84">
        <f ca="1" t="shared" si="7"/>
      </c>
      <c r="W33" s="85">
        <f ca="1" t="shared" si="7"/>
      </c>
      <c r="X33" s="20">
        <f t="shared" si="4"/>
      </c>
      <c r="Y33" s="113" t="str">
        <f t="shared" si="3"/>
        <v>SBS2</v>
      </c>
    </row>
    <row r="34" spans="3:25" ht="12.75">
      <c r="C34" s="18">
        <f ca="1" t="shared" si="5"/>
      </c>
      <c r="D34" s="19" t="str">
        <f ca="1" t="shared" si="5"/>
        <v>SM11A</v>
      </c>
      <c r="E34" s="19" t="str">
        <f ca="1" t="shared" si="5"/>
        <v>Spec</v>
      </c>
      <c r="F34" s="20"/>
      <c r="G34" s="20">
        <f>IF(Interfaces!DowlDir="","",Interfaces!DowlDir)</f>
        <v>-1</v>
      </c>
      <c r="H34" s="19" t="str">
        <f>IF(AND(System="Phot",OR(CompName="CM3",CompName="CM5")),CompName&amp;"Cent",IF(SurfaceList!Flag="Mirror","Vertex",SurfaceList!Flag))</f>
        <v>Vertex</v>
      </c>
      <c r="I34" s="83">
        <f ca="1">IF(OR(Flag="Ignore",Flag="Det",Flag="Hole"),"",INDIRECT("VertexCalc!X"&amp;Local)*(Interfaces!Xmirr-VertexCalc!Xmirr)+INDIRECT("VertexCalc!Y"&amp;Local)*(Interfaces!Ymirr-VertexCalc!Ymirr)+INDIRECT("VertexCalc!Z"&amp;Local)*(Interfaces!Zmirr-VertexCalc!Zmirr))</f>
        <v>0</v>
      </c>
      <c r="J34" s="84">
        <f ca="1">IF(OR(Flag="Ignore",Flag="Det",Flag="Hole"),"",INDIRECT("VertexCalc!X"&amp;Local)*(Interfaces!Xmirr-VertexCalc!Xmirr)+INDIRECT("VertexCalc!Y"&amp;Local)*(Interfaces!Ymirr-VertexCalc!Ymirr)+INDIRECT("VertexCalc!Z"&amp;Local)*(Interfaces!Zmirr-VertexCalc!Zmirr))</f>
        <v>0</v>
      </c>
      <c r="K34" s="85">
        <f ca="1">IF(OR(Flag="Ignore",Flag="Det",Flag="Hole"),"",INDIRECT("VertexCalc!X"&amp;Local)*(Interfaces!Xmirr-VertexCalc!Xmirr)+INDIRECT("VertexCalc!Y"&amp;Local)*(Interfaces!Ymirr-VertexCalc!Ymirr)+INDIRECT("VertexCalc!Z"&amp;Local)*(Interfaces!Zmirr-VertexCalc!Zmirr))</f>
        <v>0</v>
      </c>
      <c r="L34" s="84">
        <f ca="1">IF(OR(Flag="Ignore",Flag="Det",Flag="Hole"),"",(INDIRECT("VertexCalc!X"&amp;Local)*Interfaces!Xnorm+INDIRECT("VertexCalc!Y"&amp;Local)*Interfaces!Ynorm+INDIRECT("VertexCalc!Z"&amp;Local)*Interfaces!Znorm))</f>
        <v>0.9999999999999999</v>
      </c>
      <c r="M34" s="84">
        <f ca="1">IF(OR(Flag="Ignore",Flag="Det",Flag="Hole"),"",(INDIRECT("VertexCalc!X"&amp;Local)*Interfaces!Xnorm+INDIRECT("VertexCalc!Y"&amp;Local)*Interfaces!Ynorm+INDIRECT("VertexCalc!Z"&amp;Local)*Interfaces!Znorm))</f>
        <v>0</v>
      </c>
      <c r="N34" s="84">
        <f ca="1">IF(OR(Flag="Ignore",Flag="Det",Flag="Hole"),"",(INDIRECT("VertexCalc!X"&amp;Local)*Interfaces!Xnorm+INDIRECT("VertexCalc!Y"&amp;Local)*Interfaces!Ynorm+INDIRECT("VertexCalc!Z"&amp;Local)*Interfaces!Znorm))</f>
        <v>0</v>
      </c>
      <c r="O34" s="83">
        <f ca="1" t="shared" si="6"/>
        <v>-6.971070059254094</v>
      </c>
      <c r="P34" s="84">
        <f ca="1" t="shared" si="6"/>
        <v>0</v>
      </c>
      <c r="Q34" s="85">
        <f ca="1" t="shared" si="6"/>
        <v>0</v>
      </c>
      <c r="R34" s="84">
        <f ca="1">IF(OR(Flag="Ignore",Flag="Det",Flag="Hole"),"",INDIRECT("VertexCalc!X"&amp;Local)*Interfaces!Xsag+INDIRECT("VertexCalc!Y"&amp;Local)*Interfaces!Ysag+INDIRECT("VertexCalc!Z"&amp;Local)*Interfaces!Zsag)</f>
        <v>0</v>
      </c>
      <c r="S34" s="84">
        <f ca="1">IF(OR(Flag="Ignore",Flag="Det",Flag="Hole"),"",INDIRECT("VertexCalc!X"&amp;Local)*Interfaces!Xsag+INDIRECT("VertexCalc!Y"&amp;Local)*Interfaces!Ysag+INDIRECT("VertexCalc!Z"&amp;Local)*Interfaces!Zsag)</f>
        <v>1</v>
      </c>
      <c r="T34" s="84">
        <f ca="1">IF(OR(Flag="Ignore",Flag="Det",Flag="Hole"),"",INDIRECT("VertexCalc!X"&amp;Local)*Interfaces!Xsag+INDIRECT("VertexCalc!Y"&amp;Local)*Interfaces!Ysag+INDIRECT("VertexCalc!Z"&amp;Local)*Interfaces!Zsag)</f>
        <v>0</v>
      </c>
      <c r="U34" s="83">
        <f ca="1" t="shared" si="7"/>
        <v>-6.971070059254094</v>
      </c>
      <c r="V34" s="84">
        <f ca="1" t="shared" si="7"/>
        <v>-11.950405815864162</v>
      </c>
      <c r="W34" s="85">
        <f ca="1" t="shared" si="7"/>
        <v>0</v>
      </c>
      <c r="X34" s="20">
        <f t="shared" si="4"/>
        <v>90</v>
      </c>
      <c r="Y34" s="113" t="str">
        <f t="shared" si="3"/>
        <v>SM11A</v>
      </c>
    </row>
    <row r="35" spans="3:25" ht="12.75">
      <c r="C35" s="18">
        <f ca="1" t="shared" si="5"/>
      </c>
      <c r="D35" s="19" t="str">
        <f ca="1" t="shared" si="5"/>
        <v>SM12A</v>
      </c>
      <c r="E35" s="19" t="str">
        <f ca="1" t="shared" si="5"/>
        <v>Spec</v>
      </c>
      <c r="F35" s="20"/>
      <c r="G35" s="20">
        <f>IF(Interfaces!DowlDir="","",Interfaces!DowlDir)</f>
        <v>-1</v>
      </c>
      <c r="H35" s="19" t="str">
        <f>IF(AND(System="Phot",OR(CompName="CM3",CompName="CM5")),CompName&amp;"Cent",IF(SurfaceList!Flag="Mirror","Vertex",SurfaceList!Flag))</f>
        <v>Vertex</v>
      </c>
      <c r="I35" s="83">
        <f ca="1">IF(OR(Flag="Ignore",Flag="Det",Flag="Hole"),"",INDIRECT("VertexCalc!X"&amp;Local)*(Interfaces!Xmirr-VertexCalc!Xmirr)+INDIRECT("VertexCalc!Y"&amp;Local)*(Interfaces!Ymirr-VertexCalc!Ymirr)+INDIRECT("VertexCalc!Z"&amp;Local)*(Interfaces!Zmirr-VertexCalc!Zmirr))</f>
        <v>0</v>
      </c>
      <c r="J35" s="84">
        <f ca="1">IF(OR(Flag="Ignore",Flag="Det",Flag="Hole"),"",INDIRECT("VertexCalc!X"&amp;Local)*(Interfaces!Xmirr-VertexCalc!Xmirr)+INDIRECT("VertexCalc!Y"&amp;Local)*(Interfaces!Ymirr-VertexCalc!Ymirr)+INDIRECT("VertexCalc!Z"&amp;Local)*(Interfaces!Zmirr-VertexCalc!Zmirr))</f>
        <v>0</v>
      </c>
      <c r="K35" s="85">
        <f ca="1">IF(OR(Flag="Ignore",Flag="Det",Flag="Hole"),"",INDIRECT("VertexCalc!X"&amp;Local)*(Interfaces!Xmirr-VertexCalc!Xmirr)+INDIRECT("VertexCalc!Y"&amp;Local)*(Interfaces!Ymirr-VertexCalc!Ymirr)+INDIRECT("VertexCalc!Z"&amp;Local)*(Interfaces!Zmirr-VertexCalc!Zmirr))</f>
        <v>0</v>
      </c>
      <c r="L35" s="84">
        <f ca="1">IF(OR(Flag="Ignore",Flag="Det",Flag="Hole"),"",(INDIRECT("VertexCalc!X"&amp;Local)*Interfaces!Xnorm+INDIRECT("VertexCalc!Y"&amp;Local)*Interfaces!Ynorm+INDIRECT("VertexCalc!Z"&amp;Local)*Interfaces!Znorm))</f>
        <v>0.9999999999999999</v>
      </c>
      <c r="M35" s="84">
        <f ca="1">IF(OR(Flag="Ignore",Flag="Det",Flag="Hole"),"",(INDIRECT("VertexCalc!X"&amp;Local)*Interfaces!Xnorm+INDIRECT("VertexCalc!Y"&amp;Local)*Interfaces!Ynorm+INDIRECT("VertexCalc!Z"&amp;Local)*Interfaces!Znorm))</f>
        <v>5.724587470723463E-17</v>
      </c>
      <c r="N35" s="84">
        <f ca="1">IF(OR(Flag="Ignore",Flag="Det",Flag="Hole"),"",(INDIRECT("VertexCalc!X"&amp;Local)*Interfaces!Xnorm+INDIRECT("VertexCalc!Y"&amp;Local)*Interfaces!Ynorm+INDIRECT("VertexCalc!Z"&amp;Local)*Interfaces!Znorm))</f>
        <v>0</v>
      </c>
      <c r="O35" s="83">
        <f ca="1" t="shared" si="6"/>
        <v>-6.971070059254094</v>
      </c>
      <c r="P35" s="84">
        <f ca="1" t="shared" si="6"/>
        <v>-3.9906500318741463E-16</v>
      </c>
      <c r="Q35" s="85">
        <f ca="1" t="shared" si="6"/>
        <v>0</v>
      </c>
      <c r="R35" s="84">
        <f ca="1">IF(OR(Flag="Ignore",Flag="Det",Flag="Hole"),"",INDIRECT("VertexCalc!X"&amp;Local)*Interfaces!Xsag+INDIRECT("VertexCalc!Y"&amp;Local)*Interfaces!Ysag+INDIRECT("VertexCalc!Z"&amp;Local)*Interfaces!Zsag)</f>
        <v>5.724587470723463E-17</v>
      </c>
      <c r="S35" s="84">
        <f ca="1">IF(OR(Flag="Ignore",Flag="Det",Flag="Hole"),"",INDIRECT("VertexCalc!X"&amp;Local)*Interfaces!Xsag+INDIRECT("VertexCalc!Y"&amp;Local)*Interfaces!Ysag+INDIRECT("VertexCalc!Z"&amp;Local)*Interfaces!Zsag)</f>
        <v>1</v>
      </c>
      <c r="T35" s="84">
        <f ca="1">IF(OR(Flag="Ignore",Flag="Det",Flag="Hole"),"",INDIRECT("VertexCalc!X"&amp;Local)*Interfaces!Xsag+INDIRECT("VertexCalc!Y"&amp;Local)*Interfaces!Ysag+INDIRECT("VertexCalc!Z"&amp;Local)*Interfaces!Zsag)</f>
        <v>1.3877787807814457E-17</v>
      </c>
      <c r="U35" s="83">
        <f ca="1" t="shared" si="7"/>
        <v>-6.971070059254095</v>
      </c>
      <c r="V35" s="84">
        <f ca="1" t="shared" si="7"/>
        <v>-11.950405815864162</v>
      </c>
      <c r="W35" s="85">
        <f ca="1" t="shared" si="7"/>
        <v>-1.6584519612983464E-16</v>
      </c>
      <c r="X35" s="20">
        <f t="shared" si="4"/>
        <v>89.99999999999999</v>
      </c>
      <c r="Y35" s="113" t="str">
        <f t="shared" si="3"/>
        <v>SM12A</v>
      </c>
    </row>
    <row r="36" spans="3:25" ht="12.75">
      <c r="C36" s="18">
        <f ca="1" t="shared" si="5"/>
      </c>
      <c r="D36" s="19" t="str">
        <f ca="1" t="shared" si="5"/>
        <v>SFLA</v>
      </c>
      <c r="E36" s="19" t="str">
        <f ca="1" t="shared" si="5"/>
        <v>Spec</v>
      </c>
      <c r="F36" s="20"/>
      <c r="G36" s="20">
        <f>IF(Interfaces!DowlDir="","",Interfaces!DowlDir)</f>
        <v>-1</v>
      </c>
      <c r="H36" s="19" t="str">
        <f>IF(AND(System="Phot",OR(CompName="CM3",CompName="CM5")),CompName&amp;"Cent",IF(SurfaceList!Flag="Mirror","Vertex",SurfaceList!Flag))</f>
        <v>Hole</v>
      </c>
      <c r="I36" s="83">
        <f ca="1">IF(OR(Flag="Ignore",Flag="Det",Flag="Hole"),"",INDIRECT("VertexCalc!X"&amp;Local)*(Interfaces!Xmirr-VertexCalc!Xmirr)+INDIRECT("VertexCalc!Y"&amp;Local)*(Interfaces!Ymirr-VertexCalc!Ymirr)+INDIRECT("VertexCalc!Z"&amp;Local)*(Interfaces!Zmirr-VertexCalc!Zmirr))</f>
      </c>
      <c r="J36" s="84">
        <f ca="1">IF(OR(Flag="Ignore",Flag="Det",Flag="Hole"),"",INDIRECT("VertexCalc!X"&amp;Local)*(Interfaces!Xmirr-VertexCalc!Xmirr)+INDIRECT("VertexCalc!Y"&amp;Local)*(Interfaces!Ymirr-VertexCalc!Ymirr)+INDIRECT("VertexCalc!Z"&amp;Local)*(Interfaces!Zmirr-VertexCalc!Zmirr))</f>
      </c>
      <c r="K36" s="85">
        <f ca="1">IF(OR(Flag="Ignore",Flag="Det",Flag="Hole"),"",INDIRECT("VertexCalc!X"&amp;Local)*(Interfaces!Xmirr-VertexCalc!Xmirr)+INDIRECT("VertexCalc!Y"&amp;Local)*(Interfaces!Ymirr-VertexCalc!Ymirr)+INDIRECT("VertexCalc!Z"&amp;Local)*(Interfaces!Zmirr-VertexCalc!Zmirr))</f>
      </c>
      <c r="L36" s="84">
        <f ca="1">IF(OR(Flag="Ignore",Flag="Det",Flag="Hole"),"",(INDIRECT("VertexCalc!X"&amp;Local)*Interfaces!Xnorm+INDIRECT("VertexCalc!Y"&amp;Local)*Interfaces!Ynorm+INDIRECT("VertexCalc!Z"&amp;Local)*Interfaces!Znorm))</f>
      </c>
      <c r="M36" s="84">
        <f ca="1">IF(OR(Flag="Ignore",Flag="Det",Flag="Hole"),"",(INDIRECT("VertexCalc!X"&amp;Local)*Interfaces!Xnorm+INDIRECT("VertexCalc!Y"&amp;Local)*Interfaces!Ynorm+INDIRECT("VertexCalc!Z"&amp;Local)*Interfaces!Znorm))</f>
      </c>
      <c r="N36" s="84">
        <f ca="1">IF(OR(Flag="Ignore",Flag="Det",Flag="Hole"),"",(INDIRECT("VertexCalc!X"&amp;Local)*Interfaces!Xnorm+INDIRECT("VertexCalc!Y"&amp;Local)*Interfaces!Ynorm+INDIRECT("VertexCalc!Z"&amp;Local)*Interfaces!Znorm))</f>
      </c>
      <c r="O36" s="83">
        <f ca="1" t="shared" si="6"/>
      </c>
      <c r="P36" s="84">
        <f ca="1" t="shared" si="6"/>
      </c>
      <c r="Q36" s="85">
        <f ca="1" t="shared" si="6"/>
      </c>
      <c r="R36" s="84">
        <f ca="1">IF(OR(Flag="Ignore",Flag="Det",Flag="Hole"),"",INDIRECT("VertexCalc!X"&amp;Local)*Interfaces!Xsag+INDIRECT("VertexCalc!Y"&amp;Local)*Interfaces!Ysag+INDIRECT("VertexCalc!Z"&amp;Local)*Interfaces!Zsag)</f>
      </c>
      <c r="S36" s="84">
        <f ca="1">IF(OR(Flag="Ignore",Flag="Det",Flag="Hole"),"",INDIRECT("VertexCalc!X"&amp;Local)*Interfaces!Xsag+INDIRECT("VertexCalc!Y"&amp;Local)*Interfaces!Ysag+INDIRECT("VertexCalc!Z"&amp;Local)*Interfaces!Zsag)</f>
      </c>
      <c r="T36" s="84">
        <f ca="1">IF(OR(Flag="Ignore",Flag="Det",Flag="Hole"),"",INDIRECT("VertexCalc!X"&amp;Local)*Interfaces!Xsag+INDIRECT("VertexCalc!Y"&amp;Local)*Interfaces!Ysag+INDIRECT("VertexCalc!Z"&amp;Local)*Interfaces!Zsag)</f>
      </c>
      <c r="U36" s="83">
        <f ca="1" t="shared" si="7"/>
      </c>
      <c r="V36" s="84">
        <f ca="1" t="shared" si="7"/>
      </c>
      <c r="W36" s="85">
        <f ca="1" t="shared" si="7"/>
      </c>
      <c r="X36" s="20">
        <f t="shared" si="4"/>
      </c>
      <c r="Y36" s="113" t="str">
        <f t="shared" si="3"/>
        <v>SFLA</v>
      </c>
    </row>
    <row r="37" spans="3:25" ht="13.5" thickBot="1">
      <c r="C37" s="14">
        <f ca="1" t="shared" si="5"/>
      </c>
      <c r="D37" s="15" t="str">
        <f ca="1" t="shared" si="5"/>
        <v>SSW</v>
      </c>
      <c r="E37" s="15" t="str">
        <f ca="1" t="shared" si="5"/>
        <v>Spec</v>
      </c>
      <c r="F37" s="16"/>
      <c r="G37" s="16">
        <f>IF(Interfaces!DowlDir="","",Interfaces!DowlDir)</f>
      </c>
      <c r="H37" s="15" t="str">
        <f>IF(AND(System="Phot",OR(CompName="CM3",CompName="CM5")),CompName&amp;"Cent",IF(SurfaceList!Flag="Mirror","Vertex",SurfaceList!Flag))</f>
        <v>Det</v>
      </c>
      <c r="I37" s="90">
        <f ca="1">IF(OR(Flag="Ignore",Flag="Det",Flag="Hole"),"",INDIRECT("VertexCalc!X"&amp;Local)*(Interfaces!Xmirr-VertexCalc!Xmirr)+INDIRECT("VertexCalc!Y"&amp;Local)*(Interfaces!Ymirr-VertexCalc!Ymirr)+INDIRECT("VertexCalc!Z"&amp;Local)*(Interfaces!Zmirr-VertexCalc!Zmirr))</f>
      </c>
      <c r="J37" s="91">
        <f ca="1">IF(OR(Flag="Ignore",Flag="Det",Flag="Hole"),"",INDIRECT("VertexCalc!X"&amp;Local)*(Interfaces!Xmirr-VertexCalc!Xmirr)+INDIRECT("VertexCalc!Y"&amp;Local)*(Interfaces!Ymirr-VertexCalc!Ymirr)+INDIRECT("VertexCalc!Z"&amp;Local)*(Interfaces!Zmirr-VertexCalc!Zmirr))</f>
      </c>
      <c r="K37" s="92">
        <f ca="1">IF(OR(Flag="Ignore",Flag="Det",Flag="Hole"),"",INDIRECT("VertexCalc!X"&amp;Local)*(Interfaces!Xmirr-VertexCalc!Xmirr)+INDIRECT("VertexCalc!Y"&amp;Local)*(Interfaces!Ymirr-VertexCalc!Ymirr)+INDIRECT("VertexCalc!Z"&amp;Local)*(Interfaces!Zmirr-VertexCalc!Zmirr))</f>
      </c>
      <c r="L37" s="91">
        <f ca="1">IF(OR(Flag="Ignore",Flag="Det",Flag="Hole"),"",(INDIRECT("VertexCalc!X"&amp;Local)*Interfaces!Xnorm+INDIRECT("VertexCalc!Y"&amp;Local)*Interfaces!Ynorm+INDIRECT("VertexCalc!Z"&amp;Local)*Interfaces!Znorm))</f>
      </c>
      <c r="M37" s="91">
        <f ca="1">IF(OR(Flag="Ignore",Flag="Det",Flag="Hole"),"",(INDIRECT("VertexCalc!X"&amp;Local)*Interfaces!Xnorm+INDIRECT("VertexCalc!Y"&amp;Local)*Interfaces!Ynorm+INDIRECT("VertexCalc!Z"&amp;Local)*Interfaces!Znorm))</f>
      </c>
      <c r="N37" s="91">
        <f ca="1">IF(OR(Flag="Ignore",Flag="Det",Flag="Hole"),"",(INDIRECT("VertexCalc!X"&amp;Local)*Interfaces!Xnorm+INDIRECT("VertexCalc!Y"&amp;Local)*Interfaces!Ynorm+INDIRECT("VertexCalc!Z"&amp;Local)*Interfaces!Znorm))</f>
      </c>
      <c r="O37" s="90">
        <f ca="1" t="shared" si="6"/>
      </c>
      <c r="P37" s="91">
        <f ca="1" t="shared" si="6"/>
      </c>
      <c r="Q37" s="92">
        <f ca="1" t="shared" si="6"/>
      </c>
      <c r="R37" s="91">
        <f ca="1">IF(OR(Flag="Ignore",Flag="Det",Flag="Hole"),"",INDIRECT("VertexCalc!X"&amp;Local)*Interfaces!Xsag+INDIRECT("VertexCalc!Y"&amp;Local)*Interfaces!Ysag+INDIRECT("VertexCalc!Z"&amp;Local)*Interfaces!Zsag)</f>
      </c>
      <c r="S37" s="91">
        <f ca="1">IF(OR(Flag="Ignore",Flag="Det",Flag="Hole"),"",INDIRECT("VertexCalc!X"&amp;Local)*Interfaces!Xsag+INDIRECT("VertexCalc!Y"&amp;Local)*Interfaces!Ysag+INDIRECT("VertexCalc!Z"&amp;Local)*Interfaces!Zsag)</f>
      </c>
      <c r="T37" s="91">
        <f ca="1">IF(OR(Flag="Ignore",Flag="Det",Flag="Hole"),"",INDIRECT("VertexCalc!X"&amp;Local)*Interfaces!Xsag+INDIRECT("VertexCalc!Y"&amp;Local)*Interfaces!Ysag+INDIRECT("VertexCalc!Z"&amp;Local)*Interfaces!Zsag)</f>
      </c>
      <c r="U37" s="90">
        <f ca="1" t="shared" si="7"/>
      </c>
      <c r="V37" s="91">
        <f ca="1" t="shared" si="7"/>
      </c>
      <c r="W37" s="92">
        <f ca="1" t="shared" si="7"/>
      </c>
      <c r="X37" s="16">
        <f t="shared" si="4"/>
      </c>
      <c r="Y37" s="112" t="str">
        <f t="shared" si="3"/>
        <v>SSW</v>
      </c>
    </row>
    <row r="38" spans="1:25" ht="12.75">
      <c r="A38" s="23"/>
      <c r="C38" s="10" t="str">
        <f ca="1" t="shared" si="5"/>
        <v>Lower arm</v>
      </c>
      <c r="D38" s="11" t="str">
        <f ca="1" t="shared" si="5"/>
        <v>SCAL</v>
      </c>
      <c r="E38" s="11" t="str">
        <f ca="1" t="shared" si="5"/>
        <v>Spec</v>
      </c>
      <c r="F38" s="20"/>
      <c r="G38" s="20">
        <f>IF(Interfaces!DowlDir="","",Interfaces!DowlDir)</f>
      </c>
      <c r="H38" s="19" t="str">
        <f>IF(AND(System="Phot",OR(CompName="CM3",CompName="CM5")),CompName&amp;"Cent",IF(SurfaceList!Flag="Mirror","Vertex",SurfaceList!Flag))</f>
        <v>Hole</v>
      </c>
      <c r="I38" s="83">
        <f ca="1">IF(OR(Flag="Ignore",Flag="Det",Flag="Hole"),"",INDIRECT("VertexCalc!X"&amp;Local)*(Interfaces!Xmirr-VertexCalc!Xmirr)+INDIRECT("VertexCalc!Y"&amp;Local)*(Interfaces!Ymirr-VertexCalc!Ymirr)+INDIRECT("VertexCalc!Z"&amp;Local)*(Interfaces!Zmirr-VertexCalc!Zmirr))</f>
      </c>
      <c r="J38" s="84">
        <f ca="1">IF(OR(Flag="Ignore",Flag="Det",Flag="Hole"),"",INDIRECT("VertexCalc!X"&amp;Local)*(Interfaces!Xmirr-VertexCalc!Xmirr)+INDIRECT("VertexCalc!Y"&amp;Local)*(Interfaces!Ymirr-VertexCalc!Ymirr)+INDIRECT("VertexCalc!Z"&amp;Local)*(Interfaces!Zmirr-VertexCalc!Zmirr))</f>
      </c>
      <c r="K38" s="85">
        <f ca="1">IF(OR(Flag="Ignore",Flag="Det",Flag="Hole"),"",INDIRECT("VertexCalc!X"&amp;Local)*(Interfaces!Xmirr-VertexCalc!Xmirr)+INDIRECT("VertexCalc!Y"&amp;Local)*(Interfaces!Ymirr-VertexCalc!Ymirr)+INDIRECT("VertexCalc!Z"&amp;Local)*(Interfaces!Zmirr-VertexCalc!Zmirr))</f>
      </c>
      <c r="L38" s="84">
        <f ca="1">IF(OR(Flag="Ignore",Flag="Det",Flag="Hole"),"",(INDIRECT("VertexCalc!X"&amp;Local)*Interfaces!Xnorm+INDIRECT("VertexCalc!Y"&amp;Local)*Interfaces!Ynorm+INDIRECT("VertexCalc!Z"&amp;Local)*Interfaces!Znorm))</f>
      </c>
      <c r="M38" s="84">
        <f ca="1">IF(OR(Flag="Ignore",Flag="Det",Flag="Hole"),"",(INDIRECT("VertexCalc!X"&amp;Local)*Interfaces!Xnorm+INDIRECT("VertexCalc!Y"&amp;Local)*Interfaces!Ynorm+INDIRECT("VertexCalc!Z"&amp;Local)*Interfaces!Znorm))</f>
      </c>
      <c r="N38" s="84">
        <f ca="1">IF(OR(Flag="Ignore",Flag="Det",Flag="Hole"),"",(INDIRECT("VertexCalc!X"&amp;Local)*Interfaces!Xnorm+INDIRECT("VertexCalc!Y"&amp;Local)*Interfaces!Ynorm+INDIRECT("VertexCalc!Z"&amp;Local)*Interfaces!Znorm))</f>
      </c>
      <c r="O38" s="83">
        <f ca="1" t="shared" si="6"/>
      </c>
      <c r="P38" s="84">
        <f ca="1" t="shared" si="6"/>
      </c>
      <c r="Q38" s="85">
        <f ca="1" t="shared" si="6"/>
      </c>
      <c r="R38" s="84">
        <f ca="1">IF(OR(Flag="Ignore",Flag="Det",Flag="Hole"),"",INDIRECT("VertexCalc!X"&amp;Local)*Interfaces!Xsag+INDIRECT("VertexCalc!Y"&amp;Local)*Interfaces!Ysag+INDIRECT("VertexCalc!Z"&amp;Local)*Interfaces!Zsag)</f>
      </c>
      <c r="S38" s="84">
        <f ca="1">IF(OR(Flag="Ignore",Flag="Det",Flag="Hole"),"",INDIRECT("VertexCalc!X"&amp;Local)*Interfaces!Xsag+INDIRECT("VertexCalc!Y"&amp;Local)*Interfaces!Ysag+INDIRECT("VertexCalc!Z"&amp;Local)*Interfaces!Zsag)</f>
      </c>
      <c r="T38" s="84">
        <f ca="1">IF(OR(Flag="Ignore",Flag="Det",Flag="Hole"),"",INDIRECT("VertexCalc!X"&amp;Local)*Interfaces!Xsag+INDIRECT("VertexCalc!Y"&amp;Local)*Interfaces!Ysag+INDIRECT("VertexCalc!Z"&amp;Local)*Interfaces!Zsag)</f>
      </c>
      <c r="U38" s="83">
        <f ca="1" t="shared" si="7"/>
      </c>
      <c r="V38" s="84">
        <f ca="1" t="shared" si="7"/>
      </c>
      <c r="W38" s="85">
        <f ca="1" t="shared" si="7"/>
      </c>
      <c r="X38" s="20">
        <f t="shared" si="4"/>
      </c>
      <c r="Y38" s="19" t="str">
        <f t="shared" si="3"/>
        <v>SCAL</v>
      </c>
    </row>
    <row r="39" spans="3:25" ht="12.75">
      <c r="C39" s="18">
        <f ca="1" t="shared" si="5"/>
      </c>
      <c r="D39" s="19" t="str">
        <f ca="1" t="shared" si="5"/>
        <v>SM8B</v>
      </c>
      <c r="E39" s="19" t="str">
        <f ca="1" t="shared" si="5"/>
        <v>Spec</v>
      </c>
      <c r="F39" s="20"/>
      <c r="G39" s="20">
        <f>IF(Interfaces!DowlDir="","",Interfaces!DowlDir)</f>
        <v>-1</v>
      </c>
      <c r="H39" s="19" t="str">
        <f>IF(AND(System="Phot",OR(CompName="CM3",CompName="CM5")),CompName&amp;"Cent",IF(SurfaceList!Flag="Mirror","Vertex",SurfaceList!Flag))</f>
        <v>Vertex</v>
      </c>
      <c r="I39" s="83">
        <f ca="1">IF(OR(Flag="Ignore",Flag="Det",Flag="Hole"),"",INDIRECT("VertexCalc!X"&amp;Local)*(Interfaces!Xmirr-VertexCalc!Xmirr)+INDIRECT("VertexCalc!Y"&amp;Local)*(Interfaces!Ymirr-VertexCalc!Ymirr)+INDIRECT("VertexCalc!Z"&amp;Local)*(Interfaces!Zmirr-VertexCalc!Zmirr))</f>
        <v>0</v>
      </c>
      <c r="J39" s="84">
        <f ca="1">IF(OR(Flag="Ignore",Flag="Det",Flag="Hole"),"",INDIRECT("VertexCalc!X"&amp;Local)*(Interfaces!Xmirr-VertexCalc!Xmirr)+INDIRECT("VertexCalc!Y"&amp;Local)*(Interfaces!Ymirr-VertexCalc!Ymirr)+INDIRECT("VertexCalc!Z"&amp;Local)*(Interfaces!Zmirr-VertexCalc!Zmirr))</f>
        <v>0</v>
      </c>
      <c r="K39" s="85">
        <f ca="1">IF(OR(Flag="Ignore",Flag="Det",Flag="Hole"),"",INDIRECT("VertexCalc!X"&amp;Local)*(Interfaces!Xmirr-VertexCalc!Xmirr)+INDIRECT("VertexCalc!Y"&amp;Local)*(Interfaces!Ymirr-VertexCalc!Ymirr)+INDIRECT("VertexCalc!Z"&amp;Local)*(Interfaces!Zmirr-VertexCalc!Zmirr))</f>
        <v>0</v>
      </c>
      <c r="L39" s="84">
        <f ca="1">IF(OR(Flag="Ignore",Flag="Det",Flag="Hole"),"",(INDIRECT("VertexCalc!X"&amp;Local)*Interfaces!Xnorm+INDIRECT("VertexCalc!Y"&amp;Local)*Interfaces!Ynorm+INDIRECT("VertexCalc!Z"&amp;Local)*Interfaces!Znorm))</f>
        <v>0.9999999999999999</v>
      </c>
      <c r="M39" s="84">
        <f ca="1">IF(OR(Flag="Ignore",Flag="Det",Flag="Hole"),"",(INDIRECT("VertexCalc!X"&amp;Local)*Interfaces!Xnorm+INDIRECT("VertexCalc!Y"&amp;Local)*Interfaces!Ynorm+INDIRECT("VertexCalc!Z"&amp;Local)*Interfaces!Znorm))</f>
        <v>0</v>
      </c>
      <c r="N39" s="84">
        <f ca="1">IF(OR(Flag="Ignore",Flag="Det",Flag="Hole"),"",(INDIRECT("VertexCalc!X"&amp;Local)*Interfaces!Xnorm+INDIRECT("VertexCalc!Y"&amp;Local)*Interfaces!Ynorm+INDIRECT("VertexCalc!Z"&amp;Local)*Interfaces!Znorm))</f>
        <v>2.7755575615628914E-17</v>
      </c>
      <c r="O39" s="83">
        <f ca="1" t="shared" si="6"/>
        <v>-6.971070059254094</v>
      </c>
      <c r="P39" s="84">
        <f ca="1" t="shared" si="6"/>
        <v>0</v>
      </c>
      <c r="Q39" s="85">
        <f ca="1" t="shared" si="6"/>
        <v>-1.9348606215147377E-16</v>
      </c>
      <c r="R39" s="84">
        <f ca="1">IF(OR(Flag="Ignore",Flag="Det",Flag="Hole"),"",INDIRECT("VertexCalc!X"&amp;Local)*Interfaces!Xsag+INDIRECT("VertexCalc!Y"&amp;Local)*Interfaces!Ysag+INDIRECT("VertexCalc!Z"&amp;Local)*Interfaces!Zsag)</f>
        <v>0</v>
      </c>
      <c r="S39" s="84">
        <f ca="1">IF(OR(Flag="Ignore",Flag="Det",Flag="Hole"),"",INDIRECT("VertexCalc!X"&amp;Local)*Interfaces!Xsag+INDIRECT("VertexCalc!Y"&amp;Local)*Interfaces!Ysag+INDIRECT("VertexCalc!Z"&amp;Local)*Interfaces!Zsag)</f>
        <v>0.9999999999999999</v>
      </c>
      <c r="T39" s="84">
        <f ca="1">IF(OR(Flag="Ignore",Flag="Det",Flag="Hole"),"",INDIRECT("VertexCalc!X"&amp;Local)*Interfaces!Xsag+INDIRECT("VertexCalc!Y"&amp;Local)*Interfaces!Ysag+INDIRECT("VertexCalc!Z"&amp;Local)*Interfaces!Zsag)</f>
        <v>-1.3877787807814457E-17</v>
      </c>
      <c r="U39" s="83">
        <f ca="1" t="shared" si="7"/>
        <v>-6.971070059254094</v>
      </c>
      <c r="V39" s="84">
        <f ca="1" t="shared" si="7"/>
        <v>-11.95040581586416</v>
      </c>
      <c r="W39" s="85">
        <f ca="1" t="shared" si="7"/>
        <v>-2.7640866021639124E-17</v>
      </c>
      <c r="X39" s="20">
        <f t="shared" si="4"/>
        <v>90</v>
      </c>
      <c r="Y39" s="113" t="str">
        <f t="shared" si="3"/>
        <v>SM8B</v>
      </c>
    </row>
    <row r="40" spans="3:25" ht="12.75">
      <c r="C40" s="18">
        <f ca="1" t="shared" si="5"/>
      </c>
      <c r="D40" s="19" t="str">
        <f ca="1" t="shared" si="5"/>
        <v>SBS1</v>
      </c>
      <c r="E40" s="19" t="str">
        <f ca="1" t="shared" si="5"/>
        <v>Spec</v>
      </c>
      <c r="F40" s="20"/>
      <c r="G40" s="20">
        <f>IF(Interfaces!DowlDir="","",Interfaces!DowlDir)</f>
      </c>
      <c r="H40" s="19" t="str">
        <f>IF(AND(System="Phot",OR(CompName="CM3",CompName="CM5")),CompName&amp;"Cent",IF(SurfaceList!Flag="Mirror","Vertex",SurfaceList!Flag))</f>
        <v>Hole</v>
      </c>
      <c r="I40" s="83">
        <f ca="1">IF(OR(Flag="Ignore",Flag="Det",Flag="Hole"),"",INDIRECT("VertexCalc!X"&amp;Local)*(Interfaces!Xmirr-VertexCalc!Xmirr)+INDIRECT("VertexCalc!Y"&amp;Local)*(Interfaces!Ymirr-VertexCalc!Ymirr)+INDIRECT("VertexCalc!Z"&amp;Local)*(Interfaces!Zmirr-VertexCalc!Zmirr))</f>
      </c>
      <c r="J40" s="84">
        <f ca="1">IF(OR(Flag="Ignore",Flag="Det",Flag="Hole"),"",INDIRECT("VertexCalc!X"&amp;Local)*(Interfaces!Xmirr-VertexCalc!Xmirr)+INDIRECT("VertexCalc!Y"&amp;Local)*(Interfaces!Ymirr-VertexCalc!Ymirr)+INDIRECT("VertexCalc!Z"&amp;Local)*(Interfaces!Zmirr-VertexCalc!Zmirr))</f>
      </c>
      <c r="K40" s="85">
        <f ca="1">IF(OR(Flag="Ignore",Flag="Det",Flag="Hole"),"",INDIRECT("VertexCalc!X"&amp;Local)*(Interfaces!Xmirr-VertexCalc!Xmirr)+INDIRECT("VertexCalc!Y"&amp;Local)*(Interfaces!Ymirr-VertexCalc!Ymirr)+INDIRECT("VertexCalc!Z"&amp;Local)*(Interfaces!Zmirr-VertexCalc!Zmirr))</f>
      </c>
      <c r="L40" s="84">
        <f ca="1">IF(OR(Flag="Ignore",Flag="Det",Flag="Hole"),"",(INDIRECT("VertexCalc!X"&amp;Local)*Interfaces!Xnorm+INDIRECT("VertexCalc!Y"&amp;Local)*Interfaces!Ynorm+INDIRECT("VertexCalc!Z"&amp;Local)*Interfaces!Znorm))</f>
      </c>
      <c r="M40" s="84">
        <f ca="1">IF(OR(Flag="Ignore",Flag="Det",Flag="Hole"),"",(INDIRECT("VertexCalc!X"&amp;Local)*Interfaces!Xnorm+INDIRECT("VertexCalc!Y"&amp;Local)*Interfaces!Ynorm+INDIRECT("VertexCalc!Z"&amp;Local)*Interfaces!Znorm))</f>
      </c>
      <c r="N40" s="84">
        <f ca="1">IF(OR(Flag="Ignore",Flag="Det",Flag="Hole"),"",(INDIRECT("VertexCalc!X"&amp;Local)*Interfaces!Xnorm+INDIRECT("VertexCalc!Y"&amp;Local)*Interfaces!Ynorm+INDIRECT("VertexCalc!Z"&amp;Local)*Interfaces!Znorm))</f>
      </c>
      <c r="O40" s="83">
        <f ca="1" t="shared" si="6"/>
      </c>
      <c r="P40" s="84">
        <f ca="1" t="shared" si="6"/>
      </c>
      <c r="Q40" s="85">
        <f ca="1" t="shared" si="6"/>
      </c>
      <c r="R40" s="84">
        <f ca="1">IF(OR(Flag="Ignore",Flag="Det",Flag="Hole"),"",INDIRECT("VertexCalc!X"&amp;Local)*Interfaces!Xsag+INDIRECT("VertexCalc!Y"&amp;Local)*Interfaces!Ysag+INDIRECT("VertexCalc!Z"&amp;Local)*Interfaces!Zsag)</f>
      </c>
      <c r="S40" s="84">
        <f ca="1">IF(OR(Flag="Ignore",Flag="Det",Flag="Hole"),"",INDIRECT("VertexCalc!X"&amp;Local)*Interfaces!Xsag+INDIRECT("VertexCalc!Y"&amp;Local)*Interfaces!Ysag+INDIRECT("VertexCalc!Z"&amp;Local)*Interfaces!Zsag)</f>
      </c>
      <c r="T40" s="84">
        <f ca="1">IF(OR(Flag="Ignore",Flag="Det",Flag="Hole"),"",INDIRECT("VertexCalc!X"&amp;Local)*Interfaces!Xsag+INDIRECT("VertexCalc!Y"&amp;Local)*Interfaces!Ysag+INDIRECT("VertexCalc!Z"&amp;Local)*Interfaces!Zsag)</f>
      </c>
      <c r="U40" s="83">
        <f ca="1" t="shared" si="7"/>
      </c>
      <c r="V40" s="84">
        <f ca="1" t="shared" si="7"/>
      </c>
      <c r="W40" s="85">
        <f ca="1" t="shared" si="7"/>
      </c>
      <c r="X40" s="20">
        <f t="shared" si="4"/>
      </c>
      <c r="Y40" s="113" t="str">
        <f t="shared" si="3"/>
        <v>SBS1</v>
      </c>
    </row>
    <row r="41" spans="3:25" ht="12.75">
      <c r="C41" s="18">
        <f ca="1" t="shared" si="5"/>
      </c>
      <c r="D41" s="19" t="str">
        <f ca="1" t="shared" si="5"/>
        <v>SM9B</v>
      </c>
      <c r="E41" s="19" t="str">
        <f ca="1" t="shared" si="5"/>
        <v>Spec</v>
      </c>
      <c r="F41" s="20"/>
      <c r="G41" s="20">
        <f>IF(Interfaces!DowlDir="","",Interfaces!DowlDir)</f>
        <v>-1</v>
      </c>
      <c r="H41" s="19" t="str">
        <f>IF(AND(System="Phot",OR(CompName="CM3",CompName="CM5")),CompName&amp;"Cent",IF(SurfaceList!Flag="Mirror","Vertex",SurfaceList!Flag))</f>
        <v>Vertex</v>
      </c>
      <c r="I41" s="83">
        <f ca="1">IF(OR(Flag="Ignore",Flag="Det",Flag="Hole"),"",INDIRECT("VertexCalc!X"&amp;Local)*(Interfaces!Xmirr-VertexCalc!Xmirr)+INDIRECT("VertexCalc!Y"&amp;Local)*(Interfaces!Ymirr-VertexCalc!Ymirr)+INDIRECT("VertexCalc!Z"&amp;Local)*(Interfaces!Zmirr-VertexCalc!Zmirr))</f>
        <v>0</v>
      </c>
      <c r="J41" s="84">
        <f ca="1">IF(OR(Flag="Ignore",Flag="Det",Flag="Hole"),"",INDIRECT("VertexCalc!X"&amp;Local)*(Interfaces!Xmirr-VertexCalc!Xmirr)+INDIRECT("VertexCalc!Y"&amp;Local)*(Interfaces!Ymirr-VertexCalc!Ymirr)+INDIRECT("VertexCalc!Z"&amp;Local)*(Interfaces!Zmirr-VertexCalc!Zmirr))</f>
        <v>0</v>
      </c>
      <c r="K41" s="85">
        <f ca="1">IF(OR(Flag="Ignore",Flag="Det",Flag="Hole"),"",INDIRECT("VertexCalc!X"&amp;Local)*(Interfaces!Xmirr-VertexCalc!Xmirr)+INDIRECT("VertexCalc!Y"&amp;Local)*(Interfaces!Ymirr-VertexCalc!Ymirr)+INDIRECT("VertexCalc!Z"&amp;Local)*(Interfaces!Zmirr-VertexCalc!Zmirr))</f>
        <v>0</v>
      </c>
      <c r="L41" s="84">
        <f ca="1">IF(OR(Flag="Ignore",Flag="Det",Flag="Hole"),"",(INDIRECT("VertexCalc!X"&amp;Local)*Interfaces!Xnorm+INDIRECT("VertexCalc!Y"&amp;Local)*Interfaces!Ynorm+INDIRECT("VertexCalc!Z"&amp;Local)*Interfaces!Znorm))</f>
        <v>1</v>
      </c>
      <c r="M41" s="84">
        <f ca="1">IF(OR(Flag="Ignore",Flag="Det",Flag="Hole"),"",(INDIRECT("VertexCalc!X"&amp;Local)*Interfaces!Xnorm+INDIRECT("VertexCalc!Y"&amp;Local)*Interfaces!Ynorm+INDIRECT("VertexCalc!Z"&amp;Local)*Interfaces!Znorm))</f>
        <v>0</v>
      </c>
      <c r="N41" s="84">
        <f ca="1">IF(OR(Flag="Ignore",Flag="Det",Flag="Hole"),"",(INDIRECT("VertexCalc!X"&amp;Local)*Interfaces!Xnorm+INDIRECT("VertexCalc!Y"&amp;Local)*Interfaces!Ynorm+INDIRECT("VertexCalc!Z"&amp;Local)*Interfaces!Znorm))</f>
        <v>0</v>
      </c>
      <c r="O41" s="83">
        <f ca="1" t="shared" si="6"/>
        <v>-6.971070059254095</v>
      </c>
      <c r="P41" s="84">
        <f ca="1" t="shared" si="6"/>
        <v>0</v>
      </c>
      <c r="Q41" s="85">
        <f ca="1" t="shared" si="6"/>
        <v>0</v>
      </c>
      <c r="R41" s="84">
        <f ca="1">IF(OR(Flag="Ignore",Flag="Det",Flag="Hole"),"",INDIRECT("VertexCalc!X"&amp;Local)*Interfaces!Xsag+INDIRECT("VertexCalc!Y"&amp;Local)*Interfaces!Ysag+INDIRECT("VertexCalc!Z"&amp;Local)*Interfaces!Zsag)</f>
        <v>0</v>
      </c>
      <c r="S41" s="84">
        <f ca="1">IF(OR(Flag="Ignore",Flag="Det",Flag="Hole"),"",INDIRECT("VertexCalc!X"&amp;Local)*Interfaces!Xsag+INDIRECT("VertexCalc!Y"&amp;Local)*Interfaces!Ysag+INDIRECT("VertexCalc!Z"&amp;Local)*Interfaces!Zsag)</f>
        <v>1</v>
      </c>
      <c r="T41" s="84">
        <f ca="1">IF(OR(Flag="Ignore",Flag="Det",Flag="Hole"),"",INDIRECT("VertexCalc!X"&amp;Local)*Interfaces!Xsag+INDIRECT("VertexCalc!Y"&amp;Local)*Interfaces!Ysag+INDIRECT("VertexCalc!Z"&amp;Local)*Interfaces!Zsag)</f>
        <v>0</v>
      </c>
      <c r="U41" s="83">
        <f ca="1" t="shared" si="7"/>
        <v>-6.971070059254095</v>
      </c>
      <c r="V41" s="84">
        <f ca="1" t="shared" si="7"/>
        <v>-11.950405815864162</v>
      </c>
      <c r="W41" s="85">
        <f ca="1" t="shared" si="7"/>
        <v>0</v>
      </c>
      <c r="X41" s="20">
        <f t="shared" si="4"/>
        <v>90</v>
      </c>
      <c r="Y41" s="113" t="str">
        <f t="shared" si="3"/>
        <v>SM9B</v>
      </c>
    </row>
    <row r="42" spans="3:25" ht="12.75">
      <c r="C42" s="18">
        <f aca="true" ca="1" t="shared" si="8" ref="C42:E49">IF(INDIRECT("SurfaceList!"&amp;ThisCol)="","",INDIRECT("SurfaceList!"&amp;ThisCol))</f>
      </c>
      <c r="D42" s="19" t="str">
        <f ca="1" t="shared" si="8"/>
        <v>SRTB1</v>
      </c>
      <c r="E42" s="19" t="str">
        <f ca="1" t="shared" si="8"/>
        <v>Spec</v>
      </c>
      <c r="F42" s="20"/>
      <c r="G42" s="20">
        <f>IF(Interfaces!DowlDir="","",Interfaces!DowlDir)</f>
        <v>-1</v>
      </c>
      <c r="H42" s="19" t="str">
        <f>IF(AND(System="Phot",OR(CompName="CM3",CompName="CM5")),CompName&amp;"Cent",IF(SurfaceList!Flag="Mirror","Vertex",SurfaceList!Flag))</f>
        <v>Vertex</v>
      </c>
      <c r="I42" s="83">
        <f ca="1">IF(OR(Flag="Ignore",Flag="Det",Flag="Hole"),"",INDIRECT("VertexCalc!X"&amp;Local)*(Interfaces!Xmirr-VertexCalc!Xmirr)+INDIRECT("VertexCalc!Y"&amp;Local)*(Interfaces!Ymirr-VertexCalc!Ymirr)+INDIRECT("VertexCalc!Z"&amp;Local)*(Interfaces!Zmirr-VertexCalc!Zmirr))</f>
        <v>0</v>
      </c>
      <c r="J42" s="84">
        <f ca="1">IF(OR(Flag="Ignore",Flag="Det",Flag="Hole"),"",INDIRECT("VertexCalc!X"&amp;Local)*(Interfaces!Xmirr-VertexCalc!Xmirr)+INDIRECT("VertexCalc!Y"&amp;Local)*(Interfaces!Ymirr-VertexCalc!Ymirr)+INDIRECT("VertexCalc!Z"&amp;Local)*(Interfaces!Zmirr-VertexCalc!Zmirr))</f>
        <v>0</v>
      </c>
      <c r="K42" s="85">
        <f ca="1">IF(OR(Flag="Ignore",Flag="Det",Flag="Hole"),"",INDIRECT("VertexCalc!X"&amp;Local)*(Interfaces!Xmirr-VertexCalc!Xmirr)+INDIRECT("VertexCalc!Y"&amp;Local)*(Interfaces!Ymirr-VertexCalc!Ymirr)+INDIRECT("VertexCalc!Z"&amp;Local)*(Interfaces!Zmirr-VertexCalc!Zmirr))</f>
        <v>0</v>
      </c>
      <c r="L42" s="84">
        <f ca="1">IF(OR(Flag="Ignore",Flag="Det",Flag="Hole"),"",(INDIRECT("VertexCalc!X"&amp;Local)*Interfaces!Xnorm+INDIRECT("VertexCalc!Y"&amp;Local)*Interfaces!Ynorm+INDIRECT("VertexCalc!Z"&amp;Local)*Interfaces!Znorm))</f>
        <v>1</v>
      </c>
      <c r="M42" s="84">
        <f ca="1">IF(OR(Flag="Ignore",Flag="Det",Flag="Hole"),"",(INDIRECT("VertexCalc!X"&amp;Local)*Interfaces!Xnorm+INDIRECT("VertexCalc!Y"&amp;Local)*Interfaces!Ynorm+INDIRECT("VertexCalc!Z"&amp;Local)*Interfaces!Znorm))</f>
        <v>0</v>
      </c>
      <c r="N42" s="84">
        <f ca="1">IF(OR(Flag="Ignore",Flag="Det",Flag="Hole"),"",(INDIRECT("VertexCalc!X"&amp;Local)*Interfaces!Xnorm+INDIRECT("VertexCalc!Y"&amp;Local)*Interfaces!Ynorm+INDIRECT("VertexCalc!Z"&amp;Local)*Interfaces!Znorm))</f>
        <v>0</v>
      </c>
      <c r="O42" s="83">
        <f aca="true" ca="1" t="shared" si="9" ref="O42:Q46">IF(OR(Flag="Ignore",Flag="Det",Flag="Hole"),"",INDIRECT(Axe&amp;"mirr")+IF(ThMirr="Thick",Thick,Thin)*INDIRECT(Axe&amp;"norm"))</f>
        <v>-6.971070059254095</v>
      </c>
      <c r="P42" s="84">
        <f ca="1" t="shared" si="9"/>
        <v>0</v>
      </c>
      <c r="Q42" s="85">
        <f ca="1" t="shared" si="9"/>
        <v>0</v>
      </c>
      <c r="R42" s="84">
        <f ca="1">IF(OR(Flag="Ignore",Flag="Det",Flag="Hole"),"",INDIRECT("VertexCalc!X"&amp;Local)*Interfaces!Xsag+INDIRECT("VertexCalc!Y"&amp;Local)*Interfaces!Ysag+INDIRECT("VertexCalc!Z"&amp;Local)*Interfaces!Zsag)</f>
        <v>0</v>
      </c>
      <c r="S42" s="84">
        <f ca="1">IF(OR(Flag="Ignore",Flag="Det",Flag="Hole"),"",INDIRECT("VertexCalc!X"&amp;Local)*Interfaces!Xsag+INDIRECT("VertexCalc!Y"&amp;Local)*Interfaces!Ysag+INDIRECT("VertexCalc!Z"&amp;Local)*Interfaces!Zsag)</f>
        <v>1</v>
      </c>
      <c r="T42" s="84">
        <f ca="1">IF(OR(Flag="Ignore",Flag="Det",Flag="Hole"),"",INDIRECT("VertexCalc!X"&amp;Local)*Interfaces!Xsag+INDIRECT("VertexCalc!Y"&amp;Local)*Interfaces!Ysag+INDIRECT("VertexCalc!Z"&amp;Local)*Interfaces!Zsag)</f>
        <v>0</v>
      </c>
      <c r="U42" s="83">
        <f aca="true" ca="1" t="shared" si="10" ref="U42:W48">IF(OR(Flag="Ignore",Flag="Det",Flag="Hole"),"",INDIRECT(Axe&amp;"spig")+DowlSep*DowlDir*INDIRECT(Axe&amp;"sag"))</f>
        <v>-6.971070059254095</v>
      </c>
      <c r="V42" s="84">
        <f ca="1" t="shared" si="10"/>
        <v>-11.950405815864162</v>
      </c>
      <c r="W42" s="85">
        <f ca="1" t="shared" si="10"/>
        <v>0</v>
      </c>
      <c r="X42" s="20">
        <f t="shared" si="4"/>
        <v>90</v>
      </c>
      <c r="Y42" s="113" t="str">
        <f t="shared" si="3"/>
        <v>SRTB1</v>
      </c>
    </row>
    <row r="43" spans="3:25" ht="12.75">
      <c r="C43" s="18">
        <f ca="1" t="shared" si="8"/>
      </c>
      <c r="D43" s="19" t="str">
        <f ca="1" t="shared" si="8"/>
        <v>SRTB2</v>
      </c>
      <c r="E43" s="19" t="str">
        <f ca="1" t="shared" si="8"/>
        <v>Spec</v>
      </c>
      <c r="F43" s="20"/>
      <c r="G43" s="20">
        <f>IF(Interfaces!DowlDir="","",Interfaces!DowlDir)</f>
        <v>-1</v>
      </c>
      <c r="H43" s="19" t="str">
        <f>IF(AND(System="Phot",OR(CompName="CM3",CompName="CM5")),CompName&amp;"Cent",IF(SurfaceList!Flag="Mirror","Vertex",SurfaceList!Flag))</f>
        <v>Vertex</v>
      </c>
      <c r="I43" s="83">
        <f ca="1">IF(OR(Flag="Ignore",Flag="Det",Flag="Hole"),"",INDIRECT("VertexCalc!X"&amp;Local)*(Interfaces!Xmirr-VertexCalc!Xmirr)+INDIRECT("VertexCalc!Y"&amp;Local)*(Interfaces!Ymirr-VertexCalc!Ymirr)+INDIRECT("VertexCalc!Z"&amp;Local)*(Interfaces!Zmirr-VertexCalc!Zmirr))</f>
        <v>0</v>
      </c>
      <c r="J43" s="84">
        <f ca="1">IF(OR(Flag="Ignore",Flag="Det",Flag="Hole"),"",INDIRECT("VertexCalc!X"&amp;Local)*(Interfaces!Xmirr-VertexCalc!Xmirr)+INDIRECT("VertexCalc!Y"&amp;Local)*(Interfaces!Ymirr-VertexCalc!Ymirr)+INDIRECT("VertexCalc!Z"&amp;Local)*(Interfaces!Zmirr-VertexCalc!Zmirr))</f>
        <v>0</v>
      </c>
      <c r="K43" s="85">
        <f ca="1">IF(OR(Flag="Ignore",Flag="Det",Flag="Hole"),"",INDIRECT("VertexCalc!X"&amp;Local)*(Interfaces!Xmirr-VertexCalc!Xmirr)+INDIRECT("VertexCalc!Y"&amp;Local)*(Interfaces!Ymirr-VertexCalc!Ymirr)+INDIRECT("VertexCalc!Z"&amp;Local)*(Interfaces!Zmirr-VertexCalc!Zmirr))</f>
        <v>0</v>
      </c>
      <c r="L43" s="84">
        <f ca="1">IF(OR(Flag="Ignore",Flag="Det",Flag="Hole"),"",(INDIRECT("VertexCalc!X"&amp;Local)*Interfaces!Xnorm+INDIRECT("VertexCalc!Y"&amp;Local)*Interfaces!Ynorm+INDIRECT("VertexCalc!Z"&amp;Local)*Interfaces!Znorm))</f>
        <v>1</v>
      </c>
      <c r="M43" s="84">
        <f ca="1">IF(OR(Flag="Ignore",Flag="Det",Flag="Hole"),"",(INDIRECT("VertexCalc!X"&amp;Local)*Interfaces!Xnorm+INDIRECT("VertexCalc!Y"&amp;Local)*Interfaces!Ynorm+INDIRECT("VertexCalc!Z"&amp;Local)*Interfaces!Znorm))</f>
        <v>0</v>
      </c>
      <c r="N43" s="84">
        <f ca="1">IF(OR(Flag="Ignore",Flag="Det",Flag="Hole"),"",(INDIRECT("VertexCalc!X"&amp;Local)*Interfaces!Xnorm+INDIRECT("VertexCalc!Y"&amp;Local)*Interfaces!Ynorm+INDIRECT("VertexCalc!Z"&amp;Local)*Interfaces!Znorm))</f>
        <v>0</v>
      </c>
      <c r="O43" s="83">
        <f ca="1" t="shared" si="9"/>
        <v>-6.971070059254095</v>
      </c>
      <c r="P43" s="84">
        <f ca="1" t="shared" si="9"/>
        <v>0</v>
      </c>
      <c r="Q43" s="85">
        <f ca="1" t="shared" si="9"/>
        <v>0</v>
      </c>
      <c r="R43" s="84">
        <f ca="1">IF(OR(Flag="Ignore",Flag="Det",Flag="Hole"),"",INDIRECT("VertexCalc!X"&amp;Local)*Interfaces!Xsag+INDIRECT("VertexCalc!Y"&amp;Local)*Interfaces!Ysag+INDIRECT("VertexCalc!Z"&amp;Local)*Interfaces!Zsag)</f>
        <v>0</v>
      </c>
      <c r="S43" s="84">
        <f ca="1">IF(OR(Flag="Ignore",Flag="Det",Flag="Hole"),"",INDIRECT("VertexCalc!X"&amp;Local)*Interfaces!Xsag+INDIRECT("VertexCalc!Y"&amp;Local)*Interfaces!Ysag+INDIRECT("VertexCalc!Z"&amp;Local)*Interfaces!Zsag)</f>
        <v>1</v>
      </c>
      <c r="T43" s="84">
        <f ca="1">IF(OR(Flag="Ignore",Flag="Det",Flag="Hole"),"",INDIRECT("VertexCalc!X"&amp;Local)*Interfaces!Xsag+INDIRECT("VertexCalc!Y"&amp;Local)*Interfaces!Ysag+INDIRECT("VertexCalc!Z"&amp;Local)*Interfaces!Zsag)</f>
        <v>0</v>
      </c>
      <c r="U43" s="83">
        <f ca="1" t="shared" si="10"/>
        <v>-6.971070059254095</v>
      </c>
      <c r="V43" s="84">
        <f ca="1" t="shared" si="10"/>
        <v>-11.950405815864162</v>
      </c>
      <c r="W43" s="85">
        <f ca="1" t="shared" si="10"/>
        <v>0</v>
      </c>
      <c r="X43" s="20">
        <f t="shared" si="4"/>
        <v>90</v>
      </c>
      <c r="Y43" s="113" t="str">
        <f t="shared" si="3"/>
        <v>SRTB2</v>
      </c>
    </row>
    <row r="44" spans="3:25" ht="12.75">
      <c r="C44" s="18">
        <f ca="1" t="shared" si="8"/>
      </c>
      <c r="D44" s="19" t="str">
        <f ca="1" t="shared" si="8"/>
        <v>SM10B</v>
      </c>
      <c r="E44" s="19" t="str">
        <f ca="1" t="shared" si="8"/>
        <v>Spec</v>
      </c>
      <c r="F44" s="20"/>
      <c r="G44" s="20">
        <f>IF(Interfaces!DowlDir="","",Interfaces!DowlDir)</f>
        <v>-1</v>
      </c>
      <c r="H44" s="19" t="str">
        <f>IF(AND(System="Phot",OR(CompName="CM3",CompName="CM5")),CompName&amp;"Cent",IF(SurfaceList!Flag="Mirror","Vertex",SurfaceList!Flag))</f>
        <v>Vertex</v>
      </c>
      <c r="I44" s="83">
        <f ca="1">IF(OR(Flag="Ignore",Flag="Det",Flag="Hole"),"",INDIRECT("VertexCalc!X"&amp;Local)*(Interfaces!Xmirr-VertexCalc!Xmirr)+INDIRECT("VertexCalc!Y"&amp;Local)*(Interfaces!Ymirr-VertexCalc!Ymirr)+INDIRECT("VertexCalc!Z"&amp;Local)*(Interfaces!Zmirr-VertexCalc!Zmirr))</f>
        <v>0</v>
      </c>
      <c r="J44" s="84">
        <f ca="1">IF(OR(Flag="Ignore",Flag="Det",Flag="Hole"),"",INDIRECT("VertexCalc!X"&amp;Local)*(Interfaces!Xmirr-VertexCalc!Xmirr)+INDIRECT("VertexCalc!Y"&amp;Local)*(Interfaces!Ymirr-VertexCalc!Ymirr)+INDIRECT("VertexCalc!Z"&amp;Local)*(Interfaces!Zmirr-VertexCalc!Zmirr))</f>
        <v>0</v>
      </c>
      <c r="K44" s="85">
        <f ca="1">IF(OR(Flag="Ignore",Flag="Det",Flag="Hole"),"",INDIRECT("VertexCalc!X"&amp;Local)*(Interfaces!Xmirr-VertexCalc!Xmirr)+INDIRECT("VertexCalc!Y"&amp;Local)*(Interfaces!Ymirr-VertexCalc!Ymirr)+INDIRECT("VertexCalc!Z"&amp;Local)*(Interfaces!Zmirr-VertexCalc!Zmirr))</f>
        <v>0</v>
      </c>
      <c r="L44" s="84">
        <f ca="1">IF(OR(Flag="Ignore",Flag="Det",Flag="Hole"),"",(INDIRECT("VertexCalc!X"&amp;Local)*Interfaces!Xnorm+INDIRECT("VertexCalc!Y"&amp;Local)*Interfaces!Ynorm+INDIRECT("VertexCalc!Z"&amp;Local)*Interfaces!Znorm))</f>
        <v>1</v>
      </c>
      <c r="M44" s="84">
        <f ca="1">IF(OR(Flag="Ignore",Flag="Det",Flag="Hole"),"",(INDIRECT("VertexCalc!X"&amp;Local)*Interfaces!Xnorm+INDIRECT("VertexCalc!Y"&amp;Local)*Interfaces!Ynorm+INDIRECT("VertexCalc!Z"&amp;Local)*Interfaces!Znorm))</f>
        <v>0</v>
      </c>
      <c r="N44" s="84">
        <f ca="1">IF(OR(Flag="Ignore",Flag="Det",Flag="Hole"),"",(INDIRECT("VertexCalc!X"&amp;Local)*Interfaces!Xnorm+INDIRECT("VertexCalc!Y"&amp;Local)*Interfaces!Ynorm+INDIRECT("VertexCalc!Z"&amp;Local)*Interfaces!Znorm))</f>
        <v>0</v>
      </c>
      <c r="O44" s="83">
        <f ca="1" t="shared" si="9"/>
        <v>-6.971070059254095</v>
      </c>
      <c r="P44" s="84">
        <f ca="1" t="shared" si="9"/>
        <v>0</v>
      </c>
      <c r="Q44" s="85">
        <f ca="1" t="shared" si="9"/>
        <v>0</v>
      </c>
      <c r="R44" s="84">
        <f ca="1">IF(OR(Flag="Ignore",Flag="Det",Flag="Hole"),"",INDIRECT("VertexCalc!X"&amp;Local)*Interfaces!Xsag+INDIRECT("VertexCalc!Y"&amp;Local)*Interfaces!Ysag+INDIRECT("VertexCalc!Z"&amp;Local)*Interfaces!Zsag)</f>
        <v>0</v>
      </c>
      <c r="S44" s="84">
        <f ca="1">IF(OR(Flag="Ignore",Flag="Det",Flag="Hole"),"",INDIRECT("VertexCalc!X"&amp;Local)*Interfaces!Xsag+INDIRECT("VertexCalc!Y"&amp;Local)*Interfaces!Ysag+INDIRECT("VertexCalc!Z"&amp;Local)*Interfaces!Zsag)</f>
        <v>1</v>
      </c>
      <c r="T44" s="84">
        <f ca="1">IF(OR(Flag="Ignore",Flag="Det",Flag="Hole"),"",INDIRECT("VertexCalc!X"&amp;Local)*Interfaces!Xsag+INDIRECT("VertexCalc!Y"&amp;Local)*Interfaces!Ysag+INDIRECT("VertexCalc!Z"&amp;Local)*Interfaces!Zsag)</f>
        <v>0</v>
      </c>
      <c r="U44" s="83">
        <f ca="1" t="shared" si="10"/>
        <v>-6.971070059254095</v>
      </c>
      <c r="V44" s="84">
        <f ca="1" t="shared" si="10"/>
        <v>-11.950405815864162</v>
      </c>
      <c r="W44" s="85">
        <f ca="1" t="shared" si="10"/>
        <v>0</v>
      </c>
      <c r="X44" s="20">
        <f t="shared" si="4"/>
        <v>90</v>
      </c>
      <c r="Y44" s="113" t="str">
        <f t="shared" si="3"/>
        <v>SM10B</v>
      </c>
    </row>
    <row r="45" spans="3:25" ht="12.75">
      <c r="C45" s="18">
        <f ca="1" t="shared" si="8"/>
      </c>
      <c r="D45" s="19" t="str">
        <f ca="1" t="shared" si="8"/>
        <v>SBS2</v>
      </c>
      <c r="E45" s="19" t="str">
        <f ca="1" t="shared" si="8"/>
        <v>Spec</v>
      </c>
      <c r="F45" s="20"/>
      <c r="G45" s="20">
        <f>IF(Interfaces!DowlDir="","",Interfaces!DowlDir)</f>
      </c>
      <c r="H45" s="19" t="str">
        <f>IF(AND(System="Phot",OR(CompName="CM3",CompName="CM5")),CompName&amp;"Cent",IF(SurfaceList!Flag="Mirror","Vertex",SurfaceList!Flag))</f>
        <v>Hole</v>
      </c>
      <c r="I45" s="83">
        <f ca="1">IF(OR(Flag="Ignore",Flag="Det",Flag="Hole"),"",INDIRECT("VertexCalc!X"&amp;Local)*(Interfaces!Xmirr-VertexCalc!Xmirr)+INDIRECT("VertexCalc!Y"&amp;Local)*(Interfaces!Ymirr-VertexCalc!Ymirr)+INDIRECT("VertexCalc!Z"&amp;Local)*(Interfaces!Zmirr-VertexCalc!Zmirr))</f>
      </c>
      <c r="J45" s="84">
        <f ca="1">IF(OR(Flag="Ignore",Flag="Det",Flag="Hole"),"",INDIRECT("VertexCalc!X"&amp;Local)*(Interfaces!Xmirr-VertexCalc!Xmirr)+INDIRECT("VertexCalc!Y"&amp;Local)*(Interfaces!Ymirr-VertexCalc!Ymirr)+INDIRECT("VertexCalc!Z"&amp;Local)*(Interfaces!Zmirr-VertexCalc!Zmirr))</f>
      </c>
      <c r="K45" s="85">
        <f ca="1">IF(OR(Flag="Ignore",Flag="Det",Flag="Hole"),"",INDIRECT("VertexCalc!X"&amp;Local)*(Interfaces!Xmirr-VertexCalc!Xmirr)+INDIRECT("VertexCalc!Y"&amp;Local)*(Interfaces!Ymirr-VertexCalc!Ymirr)+INDIRECT("VertexCalc!Z"&amp;Local)*(Interfaces!Zmirr-VertexCalc!Zmirr))</f>
      </c>
      <c r="L45" s="84">
        <f ca="1">IF(OR(Flag="Ignore",Flag="Det",Flag="Hole"),"",(INDIRECT("VertexCalc!X"&amp;Local)*Interfaces!Xnorm+INDIRECT("VertexCalc!Y"&amp;Local)*Interfaces!Ynorm+INDIRECT("VertexCalc!Z"&amp;Local)*Interfaces!Znorm))</f>
      </c>
      <c r="M45" s="84">
        <f ca="1">IF(OR(Flag="Ignore",Flag="Det",Flag="Hole"),"",(INDIRECT("VertexCalc!X"&amp;Local)*Interfaces!Xnorm+INDIRECT("VertexCalc!Y"&amp;Local)*Interfaces!Ynorm+INDIRECT("VertexCalc!Z"&amp;Local)*Interfaces!Znorm))</f>
      </c>
      <c r="N45" s="84">
        <f ca="1">IF(OR(Flag="Ignore",Flag="Det",Flag="Hole"),"",(INDIRECT("VertexCalc!X"&amp;Local)*Interfaces!Xnorm+INDIRECT("VertexCalc!Y"&amp;Local)*Interfaces!Ynorm+INDIRECT("VertexCalc!Z"&amp;Local)*Interfaces!Znorm))</f>
      </c>
      <c r="O45" s="83">
        <f ca="1" t="shared" si="9"/>
      </c>
      <c r="P45" s="84">
        <f ca="1" t="shared" si="9"/>
      </c>
      <c r="Q45" s="85">
        <f ca="1" t="shared" si="9"/>
      </c>
      <c r="R45" s="84">
        <f ca="1">IF(OR(Flag="Ignore",Flag="Det",Flag="Hole"),"",INDIRECT("VertexCalc!X"&amp;Local)*Interfaces!Xsag+INDIRECT("VertexCalc!Y"&amp;Local)*Interfaces!Ysag+INDIRECT("VertexCalc!Z"&amp;Local)*Interfaces!Zsag)</f>
      </c>
      <c r="S45" s="84">
        <f ca="1">IF(OR(Flag="Ignore",Flag="Det",Flag="Hole"),"",INDIRECT("VertexCalc!X"&amp;Local)*Interfaces!Xsag+INDIRECT("VertexCalc!Y"&amp;Local)*Interfaces!Ysag+INDIRECT("VertexCalc!Z"&amp;Local)*Interfaces!Zsag)</f>
      </c>
      <c r="T45" s="84">
        <f ca="1">IF(OR(Flag="Ignore",Flag="Det",Flag="Hole"),"",INDIRECT("VertexCalc!X"&amp;Local)*Interfaces!Xsag+INDIRECT("VertexCalc!Y"&amp;Local)*Interfaces!Ysag+INDIRECT("VertexCalc!Z"&amp;Local)*Interfaces!Zsag)</f>
      </c>
      <c r="U45" s="83">
        <f ca="1" t="shared" si="10"/>
      </c>
      <c r="V45" s="84">
        <f ca="1" t="shared" si="10"/>
      </c>
      <c r="W45" s="85">
        <f ca="1" t="shared" si="10"/>
      </c>
      <c r="X45" s="20">
        <f t="shared" si="4"/>
      </c>
      <c r="Y45" s="113" t="str">
        <f t="shared" si="3"/>
        <v>SBS2</v>
      </c>
    </row>
    <row r="46" spans="3:25" ht="12.75">
      <c r="C46" s="18">
        <f ca="1" t="shared" si="8"/>
      </c>
      <c r="D46" s="19" t="str">
        <f ca="1" t="shared" si="8"/>
        <v>SM11B</v>
      </c>
      <c r="E46" s="19" t="str">
        <f ca="1" t="shared" si="8"/>
        <v>Spec</v>
      </c>
      <c r="F46" s="20"/>
      <c r="G46" s="20">
        <f>IF(Interfaces!DowlDir="","",Interfaces!DowlDir)</f>
        <v>-1</v>
      </c>
      <c r="H46" s="19" t="str">
        <f>IF(AND(System="Phot",OR(CompName="CM3",CompName="CM5")),CompName&amp;"Cent",IF(SurfaceList!Flag="Mirror","Vertex",SurfaceList!Flag))</f>
        <v>Vertex</v>
      </c>
      <c r="I46" s="83">
        <f ca="1">IF(OR(Flag="Ignore",Flag="Det",Flag="Hole"),"",INDIRECT("VertexCalc!X"&amp;Local)*(Interfaces!Xmirr-VertexCalc!Xmirr)+INDIRECT("VertexCalc!Y"&amp;Local)*(Interfaces!Ymirr-VertexCalc!Ymirr)+INDIRECT("VertexCalc!Z"&amp;Local)*(Interfaces!Zmirr-VertexCalc!Zmirr))</f>
        <v>0</v>
      </c>
      <c r="J46" s="84">
        <f ca="1">IF(OR(Flag="Ignore",Flag="Det",Flag="Hole"),"",INDIRECT("VertexCalc!X"&amp;Local)*(Interfaces!Xmirr-VertexCalc!Xmirr)+INDIRECT("VertexCalc!Y"&amp;Local)*(Interfaces!Ymirr-VertexCalc!Ymirr)+INDIRECT("VertexCalc!Z"&amp;Local)*(Interfaces!Zmirr-VertexCalc!Zmirr))</f>
        <v>0</v>
      </c>
      <c r="K46" s="85">
        <f ca="1">IF(OR(Flag="Ignore",Flag="Det",Flag="Hole"),"",INDIRECT("VertexCalc!X"&amp;Local)*(Interfaces!Xmirr-VertexCalc!Xmirr)+INDIRECT("VertexCalc!Y"&amp;Local)*(Interfaces!Ymirr-VertexCalc!Ymirr)+INDIRECT("VertexCalc!Z"&amp;Local)*(Interfaces!Zmirr-VertexCalc!Zmirr))</f>
        <v>0</v>
      </c>
      <c r="L46" s="84">
        <f ca="1">IF(OR(Flag="Ignore",Flag="Det",Flag="Hole"),"",(INDIRECT("VertexCalc!X"&amp;Local)*Interfaces!Xnorm+INDIRECT("VertexCalc!Y"&amp;Local)*Interfaces!Ynorm+INDIRECT("VertexCalc!Z"&amp;Local)*Interfaces!Znorm))</f>
        <v>0.9999999999999999</v>
      </c>
      <c r="M46" s="84">
        <f ca="1">IF(OR(Flag="Ignore",Flag="Det",Flag="Hole"),"",(INDIRECT("VertexCalc!X"&amp;Local)*Interfaces!Xnorm+INDIRECT("VertexCalc!Y"&amp;Local)*Interfaces!Ynorm+INDIRECT("VertexCalc!Z"&amp;Local)*Interfaces!Znorm))</f>
        <v>0</v>
      </c>
      <c r="N46" s="84">
        <f ca="1">IF(OR(Flag="Ignore",Flag="Det",Flag="Hole"),"",(INDIRECT("VertexCalc!X"&amp;Local)*Interfaces!Xnorm+INDIRECT("VertexCalc!Y"&amp;Local)*Interfaces!Ynorm+INDIRECT("VertexCalc!Z"&amp;Local)*Interfaces!Znorm))</f>
        <v>0</v>
      </c>
      <c r="O46" s="83">
        <f ca="1" t="shared" si="9"/>
        <v>-6.971070059254094</v>
      </c>
      <c r="P46" s="84">
        <f ca="1" t="shared" si="9"/>
        <v>0</v>
      </c>
      <c r="Q46" s="85">
        <f ca="1" t="shared" si="9"/>
        <v>0</v>
      </c>
      <c r="R46" s="84">
        <f ca="1">IF(OR(Flag="Ignore",Flag="Det",Flag="Hole"),"",INDIRECT("VertexCalc!X"&amp;Local)*Interfaces!Xsag+INDIRECT("VertexCalc!Y"&amp;Local)*Interfaces!Ysag+INDIRECT("VertexCalc!Z"&amp;Local)*Interfaces!Zsag)</f>
        <v>0</v>
      </c>
      <c r="S46" s="84">
        <f ca="1">IF(OR(Flag="Ignore",Flag="Det",Flag="Hole"),"",INDIRECT("VertexCalc!X"&amp;Local)*Interfaces!Xsag+INDIRECT("VertexCalc!Y"&amp;Local)*Interfaces!Ysag+INDIRECT("VertexCalc!Z"&amp;Local)*Interfaces!Zsag)</f>
        <v>1</v>
      </c>
      <c r="T46" s="84">
        <f ca="1">IF(OR(Flag="Ignore",Flag="Det",Flag="Hole"),"",INDIRECT("VertexCalc!X"&amp;Local)*Interfaces!Xsag+INDIRECT("VertexCalc!Y"&amp;Local)*Interfaces!Ysag+INDIRECT("VertexCalc!Z"&amp;Local)*Interfaces!Zsag)</f>
        <v>0</v>
      </c>
      <c r="U46" s="83">
        <f ca="1" t="shared" si="10"/>
        <v>-6.971070059254094</v>
      </c>
      <c r="V46" s="84">
        <f ca="1" t="shared" si="10"/>
        <v>-11.950405815864162</v>
      </c>
      <c r="W46" s="85">
        <f ca="1" t="shared" si="10"/>
        <v>0</v>
      </c>
      <c r="X46" s="20">
        <f t="shared" si="4"/>
        <v>90</v>
      </c>
      <c r="Y46" s="113" t="str">
        <f t="shared" si="3"/>
        <v>SM11B</v>
      </c>
    </row>
    <row r="47" spans="3:25" ht="12.75">
      <c r="C47" s="18">
        <f ca="1" t="shared" si="8"/>
      </c>
      <c r="D47" s="19" t="str">
        <f ca="1" t="shared" si="8"/>
        <v>SM12B</v>
      </c>
      <c r="E47" s="19" t="str">
        <f ca="1" t="shared" si="8"/>
        <v>Spec</v>
      </c>
      <c r="F47" s="20"/>
      <c r="G47" s="20">
        <f>IF(Interfaces!DowlDir="","",Interfaces!DowlDir)</f>
        <v>-1</v>
      </c>
      <c r="H47" s="19" t="str">
        <f>IF(AND(System="Phot",OR(CompName="CM3",CompName="CM5")),CompName&amp;"Cent",IF(SurfaceList!Flag="Mirror","Vertex",SurfaceList!Flag))</f>
        <v>Vertex</v>
      </c>
      <c r="I47" s="83">
        <f ca="1">IF(OR(Flag="Ignore",Flag="Det",Flag="Hole"),"",INDIRECT("VertexCalc!X"&amp;Local)*(Interfaces!Xmirr-VertexCalc!Xmirr)+INDIRECT("VertexCalc!Y"&amp;Local)*(Interfaces!Ymirr-VertexCalc!Ymirr)+INDIRECT("VertexCalc!Z"&amp;Local)*(Interfaces!Zmirr-VertexCalc!Zmirr))</f>
        <v>0</v>
      </c>
      <c r="J47" s="84">
        <f ca="1">IF(OR(Flag="Ignore",Flag="Det",Flag="Hole"),"",INDIRECT("VertexCalc!X"&amp;Local)*(Interfaces!Xmirr-VertexCalc!Xmirr)+INDIRECT("VertexCalc!Y"&amp;Local)*(Interfaces!Ymirr-VertexCalc!Ymirr)+INDIRECT("VertexCalc!Z"&amp;Local)*(Interfaces!Zmirr-VertexCalc!Zmirr))</f>
        <v>0</v>
      </c>
      <c r="K47" s="85">
        <f ca="1">IF(OR(Flag="Ignore",Flag="Det",Flag="Hole"),"",INDIRECT("VertexCalc!X"&amp;Local)*(Interfaces!Xmirr-VertexCalc!Xmirr)+INDIRECT("VertexCalc!Y"&amp;Local)*(Interfaces!Ymirr-VertexCalc!Ymirr)+INDIRECT("VertexCalc!Z"&amp;Local)*(Interfaces!Zmirr-VertexCalc!Zmirr))</f>
        <v>0</v>
      </c>
      <c r="L47" s="84">
        <f ca="1">IF(OR(Flag="Ignore",Flag="Det",Flag="Hole"),"",(INDIRECT("VertexCalc!X"&amp;Local)*Interfaces!Xnorm+INDIRECT("VertexCalc!Y"&amp;Local)*Interfaces!Ynorm+INDIRECT("VertexCalc!Z"&amp;Local)*Interfaces!Znorm))</f>
        <v>0.9999999999999999</v>
      </c>
      <c r="M47" s="84">
        <f ca="1">IF(OR(Flag="Ignore",Flag="Det",Flag="Hole"),"",(INDIRECT("VertexCalc!X"&amp;Local)*Interfaces!Xnorm+INDIRECT("VertexCalc!Y"&amp;Local)*Interfaces!Ynorm+INDIRECT("VertexCalc!Z"&amp;Local)*Interfaces!Znorm))</f>
        <v>5.724587470723463E-17</v>
      </c>
      <c r="N47" s="84">
        <f ca="1">IF(OR(Flag="Ignore",Flag="Det",Flag="Hole"),"",(INDIRECT("VertexCalc!X"&amp;Local)*Interfaces!Xnorm+INDIRECT("VertexCalc!Y"&amp;Local)*Interfaces!Ynorm+INDIRECT("VertexCalc!Z"&amp;Local)*Interfaces!Znorm))</f>
        <v>0</v>
      </c>
      <c r="O47" s="83">
        <f aca="true" ca="1" t="shared" si="11" ref="O47:Q49">IF(OR(Flag="Ignore",Flag="Det",Flag="Hole"),"",INDIRECT(Axe&amp;"mirr")+IF(ThMirr="Thick",Thick,Thin)*INDIRECT(Axe&amp;"norm"))</f>
        <v>-6.971070059254094</v>
      </c>
      <c r="P47" s="84">
        <f ca="1" t="shared" si="11"/>
        <v>-3.9906500318741463E-16</v>
      </c>
      <c r="Q47" s="85">
        <f ca="1" t="shared" si="11"/>
        <v>0</v>
      </c>
      <c r="R47" s="84">
        <f ca="1">IF(OR(Flag="Ignore",Flag="Det",Flag="Hole"),"",INDIRECT("VertexCalc!X"&amp;Local)*Interfaces!Xsag+INDIRECT("VertexCalc!Y"&amp;Local)*Interfaces!Ysag+INDIRECT("VertexCalc!Z"&amp;Local)*Interfaces!Zsag)</f>
        <v>5.724587470723463E-17</v>
      </c>
      <c r="S47" s="84">
        <f ca="1">IF(OR(Flag="Ignore",Flag="Det",Flag="Hole"),"",INDIRECT("VertexCalc!X"&amp;Local)*Interfaces!Xsag+INDIRECT("VertexCalc!Y"&amp;Local)*Interfaces!Ysag+INDIRECT("VertexCalc!Z"&amp;Local)*Interfaces!Zsag)</f>
        <v>1</v>
      </c>
      <c r="T47" s="84">
        <f ca="1">IF(OR(Flag="Ignore",Flag="Det",Flag="Hole"),"",INDIRECT("VertexCalc!X"&amp;Local)*Interfaces!Xsag+INDIRECT("VertexCalc!Y"&amp;Local)*Interfaces!Ysag+INDIRECT("VertexCalc!Z"&amp;Local)*Interfaces!Zsag)</f>
        <v>-1.3877787807814457E-17</v>
      </c>
      <c r="U47" s="83">
        <f ca="1" t="shared" si="10"/>
        <v>-6.971070059254095</v>
      </c>
      <c r="V47" s="84">
        <f ca="1" t="shared" si="10"/>
        <v>-11.950405815864162</v>
      </c>
      <c r="W47" s="85">
        <f ca="1" t="shared" si="10"/>
        <v>1.6584519612983464E-16</v>
      </c>
      <c r="X47" s="20">
        <f t="shared" si="4"/>
        <v>89.99999999999999</v>
      </c>
      <c r="Y47" s="113" t="str">
        <f t="shared" si="3"/>
        <v>SM12B</v>
      </c>
    </row>
    <row r="48" spans="3:25" ht="12.75">
      <c r="C48" s="18"/>
      <c r="D48" s="19" t="str">
        <f ca="1" t="shared" si="8"/>
        <v>SFLB</v>
      </c>
      <c r="E48" s="19" t="str">
        <f ca="1" t="shared" si="8"/>
        <v>Spec</v>
      </c>
      <c r="F48" s="20"/>
      <c r="G48" s="20">
        <f>IF(Interfaces!DowlDir="","",Interfaces!DowlDir)</f>
      </c>
      <c r="H48" s="19" t="str">
        <f>IF(AND(System="Phot",OR(CompName="CM3",CompName="CM5")),CompName&amp;"Cent",IF(SurfaceList!Flag="Mirror","Vertex",SurfaceList!Flag))</f>
        <v>Hole</v>
      </c>
      <c r="I48" s="83">
        <f ca="1">IF(OR(Flag="Ignore",Flag="Det",Flag="Hole"),"",INDIRECT("VertexCalc!X"&amp;Local)*(Interfaces!Xmirr-VertexCalc!Xmirr)+INDIRECT("VertexCalc!Y"&amp;Local)*(Interfaces!Ymirr-VertexCalc!Ymirr)+INDIRECT("VertexCalc!Z"&amp;Local)*(Interfaces!Zmirr-VertexCalc!Zmirr))</f>
      </c>
      <c r="J48" s="84">
        <f ca="1">IF(OR(Flag="Ignore",Flag="Det",Flag="Hole"),"",INDIRECT("VertexCalc!X"&amp;Local)*(Interfaces!Xmirr-VertexCalc!Xmirr)+INDIRECT("VertexCalc!Y"&amp;Local)*(Interfaces!Ymirr-VertexCalc!Ymirr)+INDIRECT("VertexCalc!Z"&amp;Local)*(Interfaces!Zmirr-VertexCalc!Zmirr))</f>
      </c>
      <c r="K48" s="85">
        <f ca="1">IF(OR(Flag="Ignore",Flag="Det",Flag="Hole"),"",INDIRECT("VertexCalc!X"&amp;Local)*(Interfaces!Xmirr-VertexCalc!Xmirr)+INDIRECT("VertexCalc!Y"&amp;Local)*(Interfaces!Ymirr-VertexCalc!Ymirr)+INDIRECT("VertexCalc!Z"&amp;Local)*(Interfaces!Zmirr-VertexCalc!Zmirr))</f>
      </c>
      <c r="L48" s="84">
        <f ca="1">IF(OR(Flag="Ignore",Flag="Det",Flag="Hole"),"",(INDIRECT("VertexCalc!X"&amp;Local)*Interfaces!Xnorm+INDIRECT("VertexCalc!Y"&amp;Local)*Interfaces!Ynorm+INDIRECT("VertexCalc!Z"&amp;Local)*Interfaces!Znorm))</f>
      </c>
      <c r="M48" s="84">
        <f ca="1">IF(OR(Flag="Ignore",Flag="Det",Flag="Hole"),"",(INDIRECT("VertexCalc!X"&amp;Local)*Interfaces!Xnorm+INDIRECT("VertexCalc!Y"&amp;Local)*Interfaces!Ynorm+INDIRECT("VertexCalc!Z"&amp;Local)*Interfaces!Znorm))</f>
      </c>
      <c r="N48" s="84">
        <f ca="1">IF(OR(Flag="Ignore",Flag="Det",Flag="Hole"),"",(INDIRECT("VertexCalc!X"&amp;Local)*Interfaces!Xnorm+INDIRECT("VertexCalc!Y"&amp;Local)*Interfaces!Ynorm+INDIRECT("VertexCalc!Z"&amp;Local)*Interfaces!Znorm))</f>
      </c>
      <c r="O48" s="83">
        <f ca="1" t="shared" si="11"/>
      </c>
      <c r="P48" s="84">
        <f ca="1" t="shared" si="11"/>
      </c>
      <c r="Q48" s="85">
        <f ca="1" t="shared" si="11"/>
      </c>
      <c r="R48" s="84">
        <f ca="1">IF(OR(Flag="Ignore",Flag="Det",Flag="Hole"),"",INDIRECT("VertexCalc!X"&amp;Local)*Interfaces!Xsag+INDIRECT("VertexCalc!Y"&amp;Local)*Interfaces!Ysag+INDIRECT("VertexCalc!Z"&amp;Local)*Interfaces!Zsag)</f>
      </c>
      <c r="S48" s="84">
        <f ca="1">IF(OR(Flag="Ignore",Flag="Det",Flag="Hole"),"",INDIRECT("VertexCalc!X"&amp;Local)*Interfaces!Xsag+INDIRECT("VertexCalc!Y"&amp;Local)*Interfaces!Ysag+INDIRECT("VertexCalc!Z"&amp;Local)*Interfaces!Zsag)</f>
      </c>
      <c r="T48" s="84">
        <f ca="1">IF(OR(Flag="Ignore",Flag="Det",Flag="Hole"),"",INDIRECT("VertexCalc!X"&amp;Local)*Interfaces!Xsag+INDIRECT("VertexCalc!Y"&amp;Local)*Interfaces!Ysag+INDIRECT("VertexCalc!Z"&amp;Local)*Interfaces!Zsag)</f>
      </c>
      <c r="U48" s="83">
        <f ca="1" t="shared" si="10"/>
      </c>
      <c r="V48" s="84">
        <f ca="1" t="shared" si="10"/>
      </c>
      <c r="W48" s="85">
        <f ca="1" t="shared" si="10"/>
      </c>
      <c r="X48" s="20">
        <f t="shared" si="4"/>
      </c>
      <c r="Y48" s="113" t="str">
        <f t="shared" si="3"/>
        <v>SFLB</v>
      </c>
    </row>
    <row r="49" spans="3:25" ht="13.5" thickBot="1">
      <c r="C49" s="14">
        <f ca="1" t="shared" si="8"/>
      </c>
      <c r="D49" s="15" t="str">
        <f ca="1" t="shared" si="8"/>
        <v>SLW</v>
      </c>
      <c r="E49" s="15" t="str">
        <f ca="1" t="shared" si="8"/>
        <v>Spec</v>
      </c>
      <c r="F49" s="16"/>
      <c r="G49" s="16">
        <f>IF(Interfaces!DowlDir="","",Interfaces!DowlDir)</f>
      </c>
      <c r="H49" s="15" t="str">
        <f>IF(AND(System="Phot",OR(CompName="CM3",CompName="CM5")),CompName&amp;"Cent",IF(SurfaceList!Flag="Mirror","Vertex",SurfaceList!Flag))</f>
        <v>Det</v>
      </c>
      <c r="I49" s="90">
        <f ca="1">IF(OR(Flag="Ignore",Flag="Det",Flag="Hole"),"",INDIRECT("VertexCalc!X"&amp;Local)*(Interfaces!Xmirr-VertexCalc!Xmirr)+INDIRECT("VertexCalc!Y"&amp;Local)*(Interfaces!Ymirr-VertexCalc!Ymirr)+INDIRECT("VertexCalc!Z"&amp;Local)*(Interfaces!Zmirr-VertexCalc!Zmirr))</f>
      </c>
      <c r="J49" s="91">
        <f ca="1">IF(OR(Flag="Ignore",Flag="Det",Flag="Hole"),"",INDIRECT("VertexCalc!X"&amp;Local)*(Interfaces!Xmirr-VertexCalc!Xmirr)+INDIRECT("VertexCalc!Y"&amp;Local)*(Interfaces!Ymirr-VertexCalc!Ymirr)+INDIRECT("VertexCalc!Z"&amp;Local)*(Interfaces!Zmirr-VertexCalc!Zmirr))</f>
      </c>
      <c r="K49" s="92">
        <f ca="1">IF(OR(Flag="Ignore",Flag="Det",Flag="Hole"),"",INDIRECT("VertexCalc!X"&amp;Local)*(Interfaces!Xmirr-VertexCalc!Xmirr)+INDIRECT("VertexCalc!Y"&amp;Local)*(Interfaces!Ymirr-VertexCalc!Ymirr)+INDIRECT("VertexCalc!Z"&amp;Local)*(Interfaces!Zmirr-VertexCalc!Zmirr))</f>
      </c>
      <c r="L49" s="91">
        <f ca="1">IF(OR(Flag="Ignore",Flag="Det",Flag="Hole"),"",(INDIRECT("VertexCalc!X"&amp;Local)*Interfaces!Xnorm+INDIRECT("VertexCalc!Y"&amp;Local)*Interfaces!Ynorm+INDIRECT("VertexCalc!Z"&amp;Local)*Interfaces!Znorm))</f>
      </c>
      <c r="M49" s="91">
        <f ca="1">IF(OR(Flag="Ignore",Flag="Det",Flag="Hole"),"",(INDIRECT("VertexCalc!X"&amp;Local)*Interfaces!Xnorm+INDIRECT("VertexCalc!Y"&amp;Local)*Interfaces!Ynorm+INDIRECT("VertexCalc!Z"&amp;Local)*Interfaces!Znorm))</f>
      </c>
      <c r="N49" s="91">
        <f ca="1">IF(OR(Flag="Ignore",Flag="Det",Flag="Hole"),"",(INDIRECT("VertexCalc!X"&amp;Local)*Interfaces!Xnorm+INDIRECT("VertexCalc!Y"&amp;Local)*Interfaces!Ynorm+INDIRECT("VertexCalc!Z"&amp;Local)*Interfaces!Znorm))</f>
      </c>
      <c r="O49" s="90">
        <f ca="1" t="shared" si="11"/>
      </c>
      <c r="P49" s="91">
        <f ca="1" t="shared" si="11"/>
      </c>
      <c r="Q49" s="92">
        <f ca="1" t="shared" si="11"/>
      </c>
      <c r="R49" s="91">
        <f ca="1">IF(OR(Flag="Ignore",Flag="Det",Flag="Hole"),"",INDIRECT("VertexCalc!X"&amp;Local)*Interfaces!Xsag+INDIRECT("VertexCalc!Y"&amp;Local)*Interfaces!Ysag+INDIRECT("VertexCalc!Z"&amp;Local)*Interfaces!Zsag)</f>
      </c>
      <c r="S49" s="91">
        <f ca="1">IF(OR(Flag="Ignore",Flag="Det",Flag="Hole"),"",INDIRECT("VertexCalc!X"&amp;Local)*Interfaces!Xsag+INDIRECT("VertexCalc!Y"&amp;Local)*Interfaces!Ysag+INDIRECT("VertexCalc!Z"&amp;Local)*Interfaces!Zsag)</f>
      </c>
      <c r="T49" s="91">
        <f ca="1">IF(OR(Flag="Ignore",Flag="Det",Flag="Hole"),"",INDIRECT("VertexCalc!X"&amp;Local)*Interfaces!Xsag+INDIRECT("VertexCalc!Y"&amp;Local)*Interfaces!Ysag+INDIRECT("VertexCalc!Z"&amp;Local)*Interfaces!Zsag)</f>
      </c>
      <c r="U49" s="90">
        <f ca="1">IF(OR(Flag="Ignore",Flag="Det",Flag="Hole"),"",INDIRECT(Axe&amp;"spig")+DowlSep*DowlDir*INDIRECT(Axe&amp;"sag"))</f>
      </c>
      <c r="V49" s="91">
        <f ca="1">IF(OR(Flag="Ignore",Flag="Det",Flag="Hole"),"",INDIRECT(Axe&amp;"spig")+DowlSep*DowlDir*INDIRECT(Axe&amp;"sag"))</f>
      </c>
      <c r="W49" s="92">
        <f ca="1">IF(OR(Flag="Ignore",Flag="Det",Flag="Hole"),"",INDIRECT(Axe&amp;"spig")+DowlSep*DowlDir*INDIRECT(Axe&amp;"sag"))</f>
      </c>
      <c r="X49" s="16">
        <f t="shared" si="4"/>
      </c>
      <c r="Y49" s="112" t="str">
        <f t="shared" si="3"/>
        <v>SLW</v>
      </c>
    </row>
    <row r="50" spans="1:25" ht="13.5" thickBot="1">
      <c r="A50" s="5" t="s">
        <v>442</v>
      </c>
      <c r="C50" s="19"/>
      <c r="D50" s="19"/>
      <c r="E50" s="19"/>
      <c r="F50" s="20"/>
      <c r="G50" s="20"/>
      <c r="H50" s="19"/>
      <c r="I50" s="90" t="s">
        <v>439</v>
      </c>
      <c r="J50" s="91" t="s">
        <v>440</v>
      </c>
      <c r="K50" s="92" t="s">
        <v>441</v>
      </c>
      <c r="L50" s="84" t="s">
        <v>439</v>
      </c>
      <c r="M50" s="84" t="s">
        <v>440</v>
      </c>
      <c r="N50" s="84" t="s">
        <v>441</v>
      </c>
      <c r="O50" s="90" t="s">
        <v>439</v>
      </c>
      <c r="P50" s="91" t="s">
        <v>440</v>
      </c>
      <c r="Q50" s="92" t="s">
        <v>441</v>
      </c>
      <c r="R50" s="84" t="s">
        <v>439</v>
      </c>
      <c r="S50" s="84" t="s">
        <v>440</v>
      </c>
      <c r="T50" s="84" t="s">
        <v>441</v>
      </c>
      <c r="U50" s="90" t="s">
        <v>439</v>
      </c>
      <c r="V50" s="91" t="s">
        <v>440</v>
      </c>
      <c r="W50" s="92" t="s">
        <v>441</v>
      </c>
      <c r="Y50" s="19"/>
    </row>
    <row r="51" spans="1:25" ht="12.75">
      <c r="A51" s="5" t="s">
        <v>456</v>
      </c>
      <c r="C51" s="19"/>
      <c r="D51" s="19"/>
      <c r="E51" s="19"/>
      <c r="F51" s="20"/>
      <c r="G51" s="20"/>
      <c r="H51" s="19"/>
      <c r="I51" s="84" t="s">
        <v>339</v>
      </c>
      <c r="J51" s="84" t="s">
        <v>340</v>
      </c>
      <c r="K51" s="84" t="s">
        <v>341</v>
      </c>
      <c r="L51" s="84" t="s">
        <v>339</v>
      </c>
      <c r="M51" s="84" t="s">
        <v>340</v>
      </c>
      <c r="N51" s="84" t="s">
        <v>341</v>
      </c>
      <c r="O51" s="84" t="s">
        <v>339</v>
      </c>
      <c r="P51" s="84" t="s">
        <v>340</v>
      </c>
      <c r="Q51" s="84" t="s">
        <v>341</v>
      </c>
      <c r="R51" s="84" t="s">
        <v>339</v>
      </c>
      <c r="S51" s="84" t="s">
        <v>340</v>
      </c>
      <c r="T51" s="84" t="s">
        <v>341</v>
      </c>
      <c r="U51" s="84" t="s">
        <v>339</v>
      </c>
      <c r="V51" s="84" t="s">
        <v>340</v>
      </c>
      <c r="W51" s="84" t="s">
        <v>341</v>
      </c>
      <c r="Y51" s="19"/>
    </row>
    <row r="52" spans="3:23" ht="12.75">
      <c r="C52" s="23" t="s">
        <v>124</v>
      </c>
      <c r="I52" s="45"/>
      <c r="J52" s="45"/>
      <c r="K52" s="45"/>
      <c r="L52" s="45"/>
      <c r="M52" s="45"/>
      <c r="N52" s="45"/>
      <c r="O52" s="84"/>
      <c r="P52" s="84"/>
      <c r="Q52" s="84"/>
      <c r="R52" s="45"/>
      <c r="S52" s="45"/>
      <c r="T52" s="45"/>
      <c r="U52" s="84"/>
      <c r="V52" s="84"/>
      <c r="W52" s="84"/>
    </row>
    <row r="53" spans="3:23" ht="12.75">
      <c r="C53" s="1" t="s">
        <v>14</v>
      </c>
      <c r="D53" s="1" t="str">
        <f>"-Zsyno"</f>
        <v>-Zsyno</v>
      </c>
      <c r="E53" s="1" t="s">
        <v>117</v>
      </c>
      <c r="F53" s="29" t="s">
        <v>343</v>
      </c>
      <c r="G53" s="100"/>
      <c r="I53" s="45"/>
      <c r="J53" s="45"/>
      <c r="K53" s="45"/>
      <c r="L53" s="45"/>
      <c r="M53" s="45"/>
      <c r="N53" s="45"/>
      <c r="O53" s="84"/>
      <c r="P53" s="84"/>
      <c r="Q53" s="84"/>
      <c r="R53" s="45"/>
      <c r="S53" s="45"/>
      <c r="T53" s="45"/>
      <c r="U53" s="84"/>
      <c r="V53" s="84"/>
      <c r="W53" s="84"/>
    </row>
    <row r="54" spans="3:23" ht="12.75">
      <c r="C54" s="1" t="s">
        <v>69</v>
      </c>
      <c r="D54" s="1" t="s">
        <v>120</v>
      </c>
      <c r="E54" s="1" t="s">
        <v>118</v>
      </c>
      <c r="F54" s="19" t="s">
        <v>117</v>
      </c>
      <c r="G54" s="20"/>
      <c r="I54" s="45"/>
      <c r="J54" s="45"/>
      <c r="K54" s="45"/>
      <c r="L54" s="45"/>
      <c r="M54" s="45"/>
      <c r="N54" s="45"/>
      <c r="O54" s="84"/>
      <c r="P54" s="84"/>
      <c r="Q54" s="84"/>
      <c r="R54" s="45"/>
      <c r="S54" s="45"/>
      <c r="T54" s="45"/>
      <c r="U54" s="84"/>
      <c r="V54" s="84"/>
      <c r="W54" s="84"/>
    </row>
    <row r="55" spans="3:23" ht="12.75">
      <c r="C55" s="1" t="s">
        <v>70</v>
      </c>
      <c r="D55" s="1" t="s">
        <v>121</v>
      </c>
      <c r="E55" s="1" t="s">
        <v>119</v>
      </c>
      <c r="F55" s="19" t="s">
        <v>118</v>
      </c>
      <c r="G55" s="20"/>
      <c r="I55" s="45"/>
      <c r="J55" s="45"/>
      <c r="K55" s="45"/>
      <c r="L55" s="45"/>
      <c r="M55" s="45"/>
      <c r="N55" s="45"/>
      <c r="O55" s="84"/>
      <c r="P55" s="84"/>
      <c r="Q55" s="84"/>
      <c r="R55" s="45"/>
      <c r="S55" s="45"/>
      <c r="T55" s="45"/>
      <c r="U55" s="84"/>
      <c r="V55" s="84"/>
      <c r="W55" s="84"/>
    </row>
    <row r="56" spans="3:23" ht="12.75">
      <c r="C56" s="19"/>
      <c r="D56" s="19"/>
      <c r="E56" s="19"/>
      <c r="F56" s="19" t="s">
        <v>119</v>
      </c>
      <c r="G56" s="20"/>
      <c r="H56" s="19"/>
      <c r="I56" s="45"/>
      <c r="J56" s="45"/>
      <c r="K56" s="45"/>
      <c r="L56" s="45"/>
      <c r="M56" s="45"/>
      <c r="N56" s="45"/>
      <c r="O56" s="84"/>
      <c r="P56" s="84"/>
      <c r="Q56" s="84"/>
      <c r="R56" s="45"/>
      <c r="S56" s="45"/>
      <c r="T56" s="45"/>
      <c r="U56" s="84"/>
      <c r="V56" s="84"/>
      <c r="W56" s="84"/>
    </row>
    <row r="57" spans="3:23" ht="12.75">
      <c r="C57" s="29" t="s">
        <v>35</v>
      </c>
      <c r="D57" s="29" t="s">
        <v>342</v>
      </c>
      <c r="E57" s="29" t="s">
        <v>236</v>
      </c>
      <c r="F57" s="20"/>
      <c r="G57" s="20"/>
      <c r="I57" s="45"/>
      <c r="J57" s="45"/>
      <c r="K57" s="45"/>
      <c r="L57" s="45"/>
      <c r="M57" s="45"/>
      <c r="N57" s="45"/>
      <c r="O57" s="84"/>
      <c r="P57" s="84"/>
      <c r="Q57" s="84"/>
      <c r="R57" s="45"/>
      <c r="S57" s="45"/>
      <c r="T57" s="45"/>
      <c r="U57" s="84"/>
      <c r="V57" s="84"/>
      <c r="W57" s="84"/>
    </row>
    <row r="58" spans="3:23" ht="12.75">
      <c r="C58" s="19" t="s">
        <v>14</v>
      </c>
      <c r="D58" s="19" t="str">
        <f>"-Zsyno"</f>
        <v>-Zsyno</v>
      </c>
      <c r="E58" s="19" t="s">
        <v>339</v>
      </c>
      <c r="F58" s="20"/>
      <c r="G58" s="20"/>
      <c r="I58" s="45"/>
      <c r="J58" s="45"/>
      <c r="K58" s="45"/>
      <c r="L58" s="45"/>
      <c r="M58" s="45"/>
      <c r="N58" s="45"/>
      <c r="O58" s="84"/>
      <c r="P58" s="84"/>
      <c r="Q58" s="84"/>
      <c r="R58" s="45"/>
      <c r="S58" s="45"/>
      <c r="T58" s="45"/>
      <c r="U58" s="84"/>
      <c r="V58" s="84"/>
      <c r="W58" s="84"/>
    </row>
    <row r="59" spans="3:23" ht="12.75">
      <c r="C59" s="19" t="s">
        <v>69</v>
      </c>
      <c r="D59" s="19" t="s">
        <v>120</v>
      </c>
      <c r="E59" s="19" t="s">
        <v>340</v>
      </c>
      <c r="F59" s="20"/>
      <c r="G59" s="20"/>
      <c r="I59" s="45"/>
      <c r="J59" s="45"/>
      <c r="K59" s="45"/>
      <c r="L59" s="45"/>
      <c r="M59" s="45"/>
      <c r="N59" s="45"/>
      <c r="O59" s="84"/>
      <c r="P59" s="84"/>
      <c r="Q59" s="84"/>
      <c r="R59" s="45"/>
      <c r="S59" s="45"/>
      <c r="T59" s="45"/>
      <c r="U59" s="84"/>
      <c r="V59" s="84"/>
      <c r="W59" s="84"/>
    </row>
    <row r="60" spans="3:23" ht="12.75">
      <c r="C60" s="19" t="s">
        <v>70</v>
      </c>
      <c r="D60" s="19" t="s">
        <v>121</v>
      </c>
      <c r="E60" s="19" t="s">
        <v>341</v>
      </c>
      <c r="G60" s="20"/>
      <c r="I60" s="45"/>
      <c r="J60" s="45"/>
      <c r="K60" s="45"/>
      <c r="L60" s="45"/>
      <c r="M60" s="45"/>
      <c r="N60" s="45"/>
      <c r="O60" s="84"/>
      <c r="P60" s="84"/>
      <c r="Q60" s="84"/>
      <c r="R60" s="45"/>
      <c r="S60" s="45"/>
      <c r="T60" s="45"/>
      <c r="U60" s="84"/>
      <c r="V60" s="84"/>
      <c r="W60" s="84"/>
    </row>
    <row r="61" spans="3:20" ht="12.75">
      <c r="C61" s="19"/>
      <c r="D61" s="19"/>
      <c r="E61" s="19"/>
      <c r="H61" s="19"/>
      <c r="I61" s="45"/>
      <c r="J61" s="45"/>
      <c r="K61" s="45"/>
      <c r="L61" s="45"/>
      <c r="M61" s="45"/>
      <c r="N61" s="45"/>
      <c r="R61" s="45"/>
      <c r="S61" s="45"/>
      <c r="T61" s="45"/>
    </row>
    <row r="62" spans="3:20" ht="12.75">
      <c r="C62" s="19" t="s">
        <v>333</v>
      </c>
      <c r="D62" s="19">
        <v>-1</v>
      </c>
      <c r="E62" s="19"/>
      <c r="H62" s="19"/>
      <c r="I62" s="45"/>
      <c r="J62" s="45"/>
      <c r="K62" s="45"/>
      <c r="L62" s="45"/>
      <c r="M62" s="45"/>
      <c r="N62" s="45"/>
      <c r="R62" s="45"/>
      <c r="S62" s="45"/>
      <c r="T62" s="45"/>
    </row>
    <row r="63" spans="3:20" ht="12.75">
      <c r="C63" s="19" t="s">
        <v>334</v>
      </c>
      <c r="D63" s="19">
        <v>-1</v>
      </c>
      <c r="E63" s="19"/>
      <c r="H63" s="19"/>
      <c r="I63" s="45"/>
      <c r="J63" s="45"/>
      <c r="K63" s="45"/>
      <c r="L63" s="45"/>
      <c r="M63" s="45"/>
      <c r="N63" s="45"/>
      <c r="R63" s="45"/>
      <c r="S63" s="45"/>
      <c r="T63" s="45"/>
    </row>
    <row r="64" spans="3:20" ht="12.75">
      <c r="C64" s="19"/>
      <c r="D64" s="19"/>
      <c r="H64" s="19"/>
      <c r="I64" s="45"/>
      <c r="J64" s="45"/>
      <c r="K64" s="45"/>
      <c r="L64" s="45"/>
      <c r="M64" s="45"/>
      <c r="N64" s="45"/>
      <c r="R64" s="45"/>
      <c r="S64" s="45"/>
      <c r="T64" s="45"/>
    </row>
    <row r="65" spans="9:20" ht="12.75">
      <c r="I65" s="45"/>
      <c r="J65" s="45"/>
      <c r="K65" s="45"/>
      <c r="L65" s="45"/>
      <c r="M65" s="45"/>
      <c r="N65" s="45"/>
      <c r="R65" s="45"/>
      <c r="S65" s="45"/>
      <c r="T65" s="45"/>
    </row>
  </sheetData>
  <printOptions/>
  <pageMargins left="0.31" right="0.33" top="0.984251968503937" bottom="0.984251968503937" header="0.5118110236220472" footer="0.5118110236220472"/>
  <pageSetup fitToHeight="1" fitToWidth="1" horizontalDpi="600" verticalDpi="600" orientation="landscape" paperSize="9" scale="46" r:id="rId1"/>
  <headerFooter alignWithMargins="0">
    <oddHeader>&amp;L&amp;F, &amp;A&amp;R&amp;T, &amp;D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DOHLEN Kjetil</dc:creator>
  <cp:keywords/>
  <dc:description/>
  <cp:lastModifiedBy>Dohlen</cp:lastModifiedBy>
  <cp:lastPrinted>2002-01-16T14:12:27Z</cp:lastPrinted>
  <dcterms:created xsi:type="dcterms:W3CDTF">2001-01-11T13:17:14Z</dcterms:created>
  <dcterms:modified xsi:type="dcterms:W3CDTF">2002-01-16T14:12:33Z</dcterms:modified>
  <cp:category/>
  <cp:version/>
  <cp:contentType/>
  <cp:contentStatus/>
</cp:coreProperties>
</file>