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555" windowWidth="18465" windowHeight="11160" tabRatio="864" firstSheet="2" activeTab="4"/>
  </bookViews>
  <sheets>
    <sheet name="Introduction" sheetId="1" r:id="rId1"/>
    <sheet name="History" sheetId="2" r:id="rId2"/>
    <sheet name="Theory" sheetId="3" r:id="rId3"/>
    <sheet name="Variables" sheetId="4" r:id="rId4"/>
    <sheet name="GutRayImpacts" sheetId="5" r:id="rId5"/>
    <sheet name="Interfaces" sheetId="6" r:id="rId6"/>
    <sheet name="SurfDef" sheetId="7" r:id="rId7"/>
    <sheet name="GutCalc" sheetId="8" r:id="rId8"/>
    <sheet name="M3CentCalc" sheetId="9" r:id="rId9"/>
    <sheet name="M5CentCalc" sheetId="10" r:id="rId10"/>
    <sheet name="VertexCalc" sheetId="11" r:id="rId11"/>
    <sheet name="VerticesSyno" sheetId="12" r:id="rId12"/>
    <sheet name="RayImpacts" sheetId="13" r:id="rId13"/>
    <sheet name="RayImpactsSyno" sheetId="14" r:id="rId14"/>
    <sheet name="PhotGlob" sheetId="15" r:id="rId15"/>
    <sheet name="SpecUpGlob" sheetId="16" r:id="rId16"/>
    <sheet name="SpecLoGlob" sheetId="17" r:id="rId17"/>
    <sheet name="PhotGutRay" sheetId="18" r:id="rId18"/>
    <sheet name="SpecUpGutRay" sheetId="19" r:id="rId19"/>
    <sheet name="SpecLoGutRay" sheetId="20" r:id="rId20"/>
    <sheet name="M3CentRay" sheetId="21" r:id="rId21"/>
    <sheet name="M5CentRay" sheetId="22" r:id="rId22"/>
  </sheets>
  <externalReferences>
    <externalReference r:id="rId25"/>
  </externalReferences>
  <definedNames>
    <definedName name="_1_cos_theta">'M5CentCalc'!$X$2:$X$65536</definedName>
    <definedName name="aCol">'VerticesSyno'!$B$12</definedName>
    <definedName name="aEuler" localSheetId="10">'VertexCalc'!#REF!</definedName>
    <definedName name="aEuler" localSheetId="11">'VerticesSyno'!$L$2:$L$65536</definedName>
    <definedName name="aEuler">'Variables'!$B$49</definedName>
    <definedName name="Arm" localSheetId="13">'RayImpactsSyno'!$F$2:$F$65536</definedName>
    <definedName name="Arm" localSheetId="11">'VerticesSyno'!$E$2:$E$65536</definedName>
    <definedName name="Axe" localSheetId="7">'GutCalc'!$B$49:$IV$49</definedName>
    <definedName name="Axe" localSheetId="4">'GutRayImpacts'!$B$49:$IV$49</definedName>
    <definedName name="Axe" localSheetId="5">'Interfaces'!$B$50:$IV$50</definedName>
    <definedName name="Axe" localSheetId="12">'RayImpacts'!$G$49:$U$49</definedName>
    <definedName name="Axe" localSheetId="13">'RayImpactsSyno'!$H$49:$AL$49</definedName>
    <definedName name="Axe" localSheetId="6">'SurfDef'!$B$50:$IV$50</definedName>
    <definedName name="Axe" localSheetId="10">'VertexCalc'!$B$49:$IV$49</definedName>
    <definedName name="Axe">'Variables'!$B$11</definedName>
    <definedName name="AxeSyno" localSheetId="12">'RayImpacts'!$G$52:$U$52</definedName>
    <definedName name="AxeSyno" localSheetId="10">'VertexCalc'!$B$50:$IV$50</definedName>
    <definedName name="AxeSyno">'Variables'!$B$12</definedName>
    <definedName name="bCol">'VerticesSyno'!$B$13</definedName>
    <definedName name="bEuler" localSheetId="10">'VertexCalc'!#REF!</definedName>
    <definedName name="bEuler" localSheetId="11">'VerticesSyno'!$M$2:$M$65536</definedName>
    <definedName name="bEuler">'Variables'!$B$50</definedName>
    <definedName name="cCol">'VerticesSyno'!$B$14</definedName>
    <definedName name="cEuler" localSheetId="10">'VertexCalc'!#REF!</definedName>
    <definedName name="cEuler" localSheetId="11">'VerticesSyno'!$N$2:$N$65536</definedName>
    <definedName name="cEuler">'Variables'!$B$51</definedName>
    <definedName name="Check">'Interfaces'!$X$2:$X$65536</definedName>
    <definedName name="CompName" localSheetId="7">'GutCalc'!$D$2:$D$65536</definedName>
    <definedName name="CompName" localSheetId="4">'GutRayImpacts'!$D$2:$D$65536</definedName>
    <definedName name="CompName" localSheetId="5">'Interfaces'!$D$2:$D$65536</definedName>
    <definedName name="CompName" localSheetId="8">'M3CentCalc'!$D$2:$D$65536</definedName>
    <definedName name="CompName" localSheetId="9">'M5CentCalc'!$D$2:$D$65536</definedName>
    <definedName name="CompName" localSheetId="12">'RayImpacts'!$D$2:$D$65536</definedName>
    <definedName name="CompName" localSheetId="13">'RayImpactsSyno'!$D$2:$D$65536</definedName>
    <definedName name="CompName" localSheetId="6">'SurfDef'!$D$2:$D$65536</definedName>
    <definedName name="CompName" localSheetId="11">'VerticesSyno'!$D$2:$D$65536</definedName>
    <definedName name="CompName">'Variables'!$B$4</definedName>
    <definedName name="Description">'Variables'!$B$3:$B$65536</definedName>
    <definedName name="DiffMod" localSheetId="8">'M3CentCalc'!$L$2:$L$65536</definedName>
    <definedName name="DiffMod" localSheetId="9">'M5CentCalc'!$L$2:$L$65536</definedName>
    <definedName name="DiffMod" localSheetId="3">'Variables'!$B$98</definedName>
    <definedName name="DiffMod">'GutCalc'!$M$2:$M$65536</definedName>
    <definedName name="DowlDir" localSheetId="5">'Interfaces'!$G$2:$G$65536</definedName>
    <definedName name="DowlDir" localSheetId="6">'SurfDef'!$G$2:$G$65536</definedName>
    <definedName name="DowlDir">'Variables'!$B$24</definedName>
    <definedName name="DowlSep" localSheetId="5">'Interfaces'!$B$14</definedName>
    <definedName name="DowlSep" localSheetId="6">'SurfDef'!$B$12</definedName>
    <definedName name="DowlSep">'Variables'!$B$18</definedName>
    <definedName name="drayMod" localSheetId="8">'M3CentCalc'!$S$2:$S$65536</definedName>
    <definedName name="drayMod" localSheetId="9">'M5CentCalc'!$S$2:$S$65536</definedName>
    <definedName name="dRayMod" localSheetId="3">'Variables'!$B$105</definedName>
    <definedName name="drayMod">'GutCalc'!$T$2:$T$65536</definedName>
    <definedName name="dXray" localSheetId="8">'M3CentCalc'!$P$2:$P$65536</definedName>
    <definedName name="dXray" localSheetId="9">'M5CentCalc'!$P$2:$P$65536</definedName>
    <definedName name="dXray" localSheetId="3">'Variables'!$B$102</definedName>
    <definedName name="dXray">'GutCalc'!$Q$2:$Q$65536</definedName>
    <definedName name="dYray" localSheetId="8">'M3CentCalc'!$Q$2:$Q$65536</definedName>
    <definedName name="dYray" localSheetId="9">'M5CentCalc'!$Q$2:$Q$65536</definedName>
    <definedName name="dYray" localSheetId="3">'Variables'!$B$103</definedName>
    <definedName name="dYray">'GutCalc'!$R$2:$R$65536</definedName>
    <definedName name="dZray" localSheetId="8">'M3CentCalc'!$R$2:$R$65536</definedName>
    <definedName name="dZray" localSheetId="9">'M5CentCalc'!$R$2:$R$65536</definedName>
    <definedName name="dZray" localSheetId="3">'Variables'!$B$104</definedName>
    <definedName name="dZray">'GutCalc'!$S$2:$S$65536</definedName>
    <definedName name="Flag" localSheetId="7">'GutCalc'!$F$2:$F$65536</definedName>
    <definedName name="Flag" localSheetId="4">'GutRayImpacts'!$F$2:$F$65536</definedName>
    <definedName name="Flag" localSheetId="5">'Interfaces'!$H$2:$H$65536</definedName>
    <definedName name="Flag" localSheetId="8">'M3CentCalc'!$E$2:$E$65536</definedName>
    <definedName name="Flag" localSheetId="9">'M5CentCalc'!$E$2:$E$65536</definedName>
    <definedName name="Flag" localSheetId="12">'RayImpacts'!$F$2:$F$65536</definedName>
    <definedName name="Flag" localSheetId="6">'SurfDef'!$H$2:$H$65536</definedName>
    <definedName name="Flag" localSheetId="10">'VertexCalc'!$F$2:$F$65536</definedName>
    <definedName name="Flag" localSheetId="11">'VerticesSyno'!$F$2:$F$65536</definedName>
    <definedName name="Flag">'Variables'!$B$6</definedName>
    <definedName name="ID" localSheetId="8">'M3CentCalc'!$B$2</definedName>
    <definedName name="ID" localSheetId="9">'M5CentCalc'!$B$2</definedName>
    <definedName name="ID" localSheetId="3">'Variables'!$B$2</definedName>
    <definedName name="ID" localSheetId="10">'VertexCalc'!$B$2</definedName>
    <definedName name="ID">'GutCalc'!$C$2</definedName>
    <definedName name="LeftHandCorr" localSheetId="5">'Interfaces'!$D$57</definedName>
    <definedName name="LeftHandCorr" localSheetId="6">'SurfDef'!$D$62</definedName>
    <definedName name="LeftHandCorr" localSheetId="10">'VertexCalc'!$D$59</definedName>
    <definedName name="LeftHandCorr">'Variables'!$B$21</definedName>
    <definedName name="Line" localSheetId="3">'Variables'!$B$8</definedName>
    <definedName name="Line" localSheetId="11">'VerticesSyno'!$H$2:$H$65536</definedName>
    <definedName name="Line">'RayImpactsSyno'!$H$2:$H$65536</definedName>
    <definedName name="Line0" localSheetId="3">'Variables'!$B$82</definedName>
    <definedName name="Line0" localSheetId="11">'VerticesSyno'!$B$4</definedName>
    <definedName name="Line0">'RayImpactsSyno'!$B$7</definedName>
    <definedName name="Line0Phot" localSheetId="11">'VerticesSyno'!$B$4</definedName>
    <definedName name="Line0Phot">'Variables'!$B$83</definedName>
    <definedName name="Line0SpecLo" localSheetId="11">'VerticesSyno'!$B$6</definedName>
    <definedName name="Line0SpecLo">'Variables'!$B$85</definedName>
    <definedName name="Line0SpecUp" localSheetId="11">'VerticesSyno'!$B$5</definedName>
    <definedName name="Line0SpecUp">'Variables'!$B$84</definedName>
    <definedName name="Local" localSheetId="6">'SurfDef'!$B$51:$IV$51</definedName>
    <definedName name="Local" localSheetId="10">'VertexCalc'!$B$51:$IV$51</definedName>
    <definedName name="Local">'Variables'!$B$13</definedName>
    <definedName name="Name">'Variables'!$B$1</definedName>
    <definedName name="NormDir" localSheetId="10">'VertexCalc'!$M$2:$M$65536</definedName>
    <definedName name="NormDir">'Variables'!$B$23</definedName>
    <definedName name="NormDirCorr" localSheetId="6">'SurfDef'!$D$63</definedName>
    <definedName name="NormDirCorr" localSheetId="10">'VertexCalc'!$D$60</definedName>
    <definedName name="NormDirCorr">'Variables'!$B$22</definedName>
    <definedName name="normDOTsag">'M5CentCalc'!$AB$2:$AB$65536</definedName>
    <definedName name="Ray" localSheetId="7">'GutCalc'!$B$5</definedName>
    <definedName name="Ray" localSheetId="8">'M3CentCalc'!$B$5</definedName>
    <definedName name="Ray" localSheetId="9">'M5CentCalc'!$B$5</definedName>
    <definedName name="Ray" localSheetId="12">'RayImpacts'!$G$51:$U$51</definedName>
    <definedName name="Ray" localSheetId="13">'RayImpactsSyno'!$H$51:$AL$51</definedName>
    <definedName name="Ray">'Variables'!$B$9</definedName>
    <definedName name="SpigLength" localSheetId="5">'Interfaces'!$B$7</definedName>
    <definedName name="SpigLength" localSheetId="6">'SurfDef'!$B$7</definedName>
    <definedName name="SpigLength">'Variables'!$B$17</definedName>
    <definedName name="SurfNum" localSheetId="3">'Variables'!$B$7</definedName>
    <definedName name="SurfNum" localSheetId="11">'VerticesSyno'!$G$2:$G$65536</definedName>
    <definedName name="SurfNum">'RayImpactsSyno'!$G$2:$G$65536</definedName>
    <definedName name="Syst" localSheetId="7">'GutCalc'!$B$50:$IV$50</definedName>
    <definedName name="Syst" localSheetId="12">'RayImpacts'!$G$50:$U$50</definedName>
    <definedName name="Syst" localSheetId="13">'RayImpactsSyno'!$H$50:$AL$50</definedName>
    <definedName name="Syst">'Variables'!$B$10</definedName>
    <definedName name="System" localSheetId="7">'GutCalc'!$E$2:$E$65536</definedName>
    <definedName name="System" localSheetId="4">'GutRayImpacts'!$E$2:$E$65536</definedName>
    <definedName name="System" localSheetId="12">'RayImpacts'!$E$2:$E$65536</definedName>
    <definedName name="System" localSheetId="13">'RayImpactsSyno'!$E$2:$E$65536</definedName>
    <definedName name="System" localSheetId="11">'VerticesSyno'!$E$2:$E$65536</definedName>
    <definedName name="System">'Variables'!$B$5</definedName>
    <definedName name="System_Part">'RayImpactsSyno'!$C$2:$C$65536</definedName>
    <definedName name="SystemPart" localSheetId="7">'GutCalc'!$C$2:$C$65536</definedName>
    <definedName name="SystemPart" localSheetId="4">'GutRayImpacts'!$C$2:$C$65536</definedName>
    <definedName name="SystemPart" localSheetId="5">'Interfaces'!$C$2:$C$65536</definedName>
    <definedName name="SystemPart" localSheetId="8">'M3CentCalc'!$C$2:$C$65536</definedName>
    <definedName name="SystemPart" localSheetId="9">'M5CentCalc'!$C$2:$C$65536</definedName>
    <definedName name="SystemPart" localSheetId="12">'RayImpacts'!$C$2:$C$65536</definedName>
    <definedName name="SystemPart" localSheetId="6">'SurfDef'!$C$2:$C$65536</definedName>
    <definedName name="SystemPart" localSheetId="11">'VerticesSyno'!$C$2:$C$65536</definedName>
    <definedName name="SystemPart">'Variables'!$B$3</definedName>
    <definedName name="Theta" localSheetId="9">'M5CentCalc'!$W$2:$W$65536</definedName>
    <definedName name="Theta" localSheetId="3">'Variables'!$B$19</definedName>
    <definedName name="Theta">'M3CentCalc'!$W$2:$W$65536</definedName>
    <definedName name="Thick" localSheetId="6">'SurfDef'!$B$8</definedName>
    <definedName name="Thick">'Interfaces'!$B$10</definedName>
    <definedName name="Thin" localSheetId="6">'SurfDef'!$B$9</definedName>
    <definedName name="Thin">'Interfaces'!$B$11</definedName>
    <definedName name="ThMirr" localSheetId="5">'Interfaces'!$F$2:$F$65536</definedName>
    <definedName name="ThMirr" localSheetId="6">'SurfDef'!$F$2:$F$65536</definedName>
    <definedName name="ThMirr">'Variables'!$B$14</definedName>
    <definedName name="UpFlag" localSheetId="7">'GutCalc'!$X$2:$X$65536</definedName>
    <definedName name="UpFlag">'Variables'!$B$20</definedName>
    <definedName name="X0" localSheetId="12">'RayImpacts'!$B$10</definedName>
    <definedName name="X0" localSheetId="10">'VertexCalc'!$B$14</definedName>
    <definedName name="X0">'Variables'!$B$92</definedName>
    <definedName name="Xax">'Variables'!$B$52</definedName>
    <definedName name="xAxis" localSheetId="10">'VertexCalc'!$J$2:$J$65536</definedName>
    <definedName name="Xaxis">'Variables'!$B$52</definedName>
    <definedName name="Xcol" localSheetId="13">'RayImpactsSyno'!$B$9</definedName>
    <definedName name="Xcol" localSheetId="11">'VerticesSyno'!$B$9</definedName>
    <definedName name="Xcol">'Variables'!$B$86</definedName>
    <definedName name="Xdiff" localSheetId="8">'M3CentCalc'!$I$2:$I$65536</definedName>
    <definedName name="Xdiff" localSheetId="9">'M5CentCalc'!$I$2:$I$65536</definedName>
    <definedName name="Xdiff" localSheetId="3">'Variables'!$B$95</definedName>
    <definedName name="Xdiff">'GutCalc'!$J$2:$J$65536</definedName>
    <definedName name="Xdowl" localSheetId="5">'Interfaces'!$U$2:$U$65536</definedName>
    <definedName name="Xdowl" localSheetId="6">'SurfDef'!$U$2:$U$65536</definedName>
    <definedName name="Xdowl">'Variables'!$B$79</definedName>
    <definedName name="Xfact" localSheetId="12">'RayImpacts'!$B$13</definedName>
    <definedName name="Xfact" localSheetId="16">'[1]Variables'!#REF!</definedName>
    <definedName name="Xfact" localSheetId="19">'[1]Variables'!#REF!</definedName>
    <definedName name="Xfact" localSheetId="15">'[1]Variables'!#REF!</definedName>
    <definedName name="Xfact" localSheetId="18">'[1]Variables'!#REF!</definedName>
    <definedName name="Xfact" localSheetId="10">'VertexCalc'!$B$17</definedName>
    <definedName name="Xfact">'Variables'!$B$89</definedName>
    <definedName name="Xgut" localSheetId="7">'GutCalc'!$G$2:$G$65536</definedName>
    <definedName name="Xgut" localSheetId="12">'RayImpacts'!$V$2:$V$65536</definedName>
    <definedName name="Xgut" localSheetId="13">'RayImpactsSyno'!$I$2:$I$65536</definedName>
    <definedName name="Xgut">'Variables'!$B$34</definedName>
    <definedName name="XGutPhot" localSheetId="13">'RayImpactsSyno'!$I$2:$I$65536</definedName>
    <definedName name="XgutPhot">'Variables'!$B$34</definedName>
    <definedName name="XGutSpecLo" localSheetId="13">'RayImpactsSyno'!$O$2:$O$65536</definedName>
    <definedName name="XGutSpecLo">'Variables'!$B$40</definedName>
    <definedName name="XGutSpecUp" localSheetId="13">'RayImpactsSyno'!$L$2:$L$65536</definedName>
    <definedName name="XGutSpecUp">'Variables'!$B$37</definedName>
    <definedName name="XM3Cent" localSheetId="8">'M3CentCalc'!$F$2:$F$65536</definedName>
    <definedName name="XM3Cent" localSheetId="9">'M5CentCalc'!$F$2:$F$65536</definedName>
    <definedName name="XM3Cent" localSheetId="12">'RayImpacts'!$P$2:$P$65536</definedName>
    <definedName name="XM3Cent" localSheetId="13">'RayImpactsSyno'!$R$2:$R$65536</definedName>
    <definedName name="XM3cent">'Variables'!$B$43</definedName>
    <definedName name="XM5Cent" localSheetId="9">'M5CentCalc'!$F$2:$F$65536</definedName>
    <definedName name="XM5Cent" localSheetId="12">'RayImpacts'!$S$2:$S$65536</definedName>
    <definedName name="XM5Cent" localSheetId="13">'RayImpactsSyno'!$U$2:$U$65536</definedName>
    <definedName name="XM5cent">'Variables'!$B$46</definedName>
    <definedName name="Xmirr" localSheetId="5">'Interfaces'!$I$2:$I$65536</definedName>
    <definedName name="Xmirr" localSheetId="6">'SurfDef'!$I$2:$I$65536</definedName>
    <definedName name="Xmirr" localSheetId="10">'VertexCalc'!$G$2:$G$65536</definedName>
    <definedName name="Xmirr">'Variables'!$B$64</definedName>
    <definedName name="Xnorm" localSheetId="7">'GutCalc'!$U$2:$U$65536</definedName>
    <definedName name="Xnorm" localSheetId="5">'Interfaces'!$L$2:$L$65536</definedName>
    <definedName name="Xnorm" localSheetId="8">'M3CentCalc'!$T$2:$T$65536</definedName>
    <definedName name="Xnorm" localSheetId="9">'M5CentCalc'!$T$2:$T$65536</definedName>
    <definedName name="Xnorm" localSheetId="6">'SurfDef'!$L$2:$L$65536</definedName>
    <definedName name="Xnorm" localSheetId="10">'VertexCalc'!$N$2:$N$65536</definedName>
    <definedName name="xNorm" localSheetId="11">'VerticesSyno'!$O$2:$O$65536</definedName>
    <definedName name="Xnorm">'Variables'!$B$70</definedName>
    <definedName name="XnormP">'VertexCalc'!$J$2:$J$65536</definedName>
    <definedName name="XPhotGut" localSheetId="12">'RayImpacts'!$G$2:$G$65536</definedName>
    <definedName name="XPhotGut" localSheetId="13">'RayImpactsSyno'!$I$2:$I$65536</definedName>
    <definedName name="XPhotGut">'Variables'!$B$25:$IV$25</definedName>
    <definedName name="Xray" localSheetId="8">'M3CentCalc'!$M$2:$M$65536</definedName>
    <definedName name="Xray" localSheetId="9">'M5CentCalc'!$M$2:$M$65536</definedName>
    <definedName name="Xray" localSheetId="3">'Variables'!$B$99</definedName>
    <definedName name="Xray">'GutCalc'!$N$2:$N$65536</definedName>
    <definedName name="Xsag" localSheetId="5">'Interfaces'!$R$2:$R$65536</definedName>
    <definedName name="Xsag" localSheetId="8">'M3CentCalc'!$Y$2:$Y$65536</definedName>
    <definedName name="Xsag" localSheetId="9">'M5CentCalc'!$Y$2:$Y$65536</definedName>
    <definedName name="Xsag" localSheetId="6">'SurfDef'!$R$2:$R$65536</definedName>
    <definedName name="Xsag" localSheetId="10">'VertexCalc'!$Q$2:$Q$65536</definedName>
    <definedName name="xSag" localSheetId="11">'VerticesSyno'!$U$2:$U$65536</definedName>
    <definedName name="Xsag">'Variables'!$B$61</definedName>
    <definedName name="XsagM">'Variables'!$B$76</definedName>
    <definedName name="XSpecLoGut" localSheetId="12">'RayImpacts'!$M$2:$M$65536</definedName>
    <definedName name="XSpecLoGut" localSheetId="13">'RayImpactsSyno'!$O$2:$O$65536</definedName>
    <definedName name="XSpecLoGut">'Variables'!$B$31:$IV$31</definedName>
    <definedName name="XSpecUpGut" localSheetId="12">'RayImpacts'!$J$2:$J$65536</definedName>
    <definedName name="XSpecUpGut" localSheetId="13">'RayImpactsSyno'!$L$2:$L$65536</definedName>
    <definedName name="XSpecUpGut">'Variables'!$B$28:$IV$28</definedName>
    <definedName name="Xspig" localSheetId="5">'Interfaces'!$O$2:$O$65536</definedName>
    <definedName name="Xspig" localSheetId="6">'SurfDef'!$O$2:$O$65536</definedName>
    <definedName name="Xspig">'Variables'!$B$73</definedName>
    <definedName name="Xspire" localSheetId="16">'[1]GutCalc'!#REF!</definedName>
    <definedName name="Xspire" localSheetId="19">'[1]GutCalc'!#REF!</definedName>
    <definedName name="Xspire" localSheetId="15">'[1]GutCalc'!#REF!</definedName>
    <definedName name="Xspire" localSheetId="18">'[1]GutCalc'!#REF!</definedName>
    <definedName name="Xspire">'GutCalc'!#REF!</definedName>
    <definedName name="Xsyn">'GutCalc'!$G$2:$G$65536</definedName>
    <definedName name="Xtang" localSheetId="10">'VertexCalc'!$T$2:$T$65536</definedName>
    <definedName name="xTang" localSheetId="11">'VerticesSyno'!$R$2:$R$65536</definedName>
    <definedName name="Xtang">'Variables'!$B$58</definedName>
    <definedName name="Xvert" localSheetId="16">'[1]Variables'!#REF!</definedName>
    <definedName name="Xvert" localSheetId="19">'[1]Variables'!#REF!</definedName>
    <definedName name="Xvert" localSheetId="15">'[1]Variables'!#REF!</definedName>
    <definedName name="Xvert" localSheetId="18">'[1]Variables'!#REF!</definedName>
    <definedName name="Xvert" localSheetId="11">'VerticesSyno'!$I$2:$I$65536</definedName>
    <definedName name="Xvert">'Variables'!#REF!</definedName>
    <definedName name="Xvertex" localSheetId="16">'[1]Variables'!#REF!</definedName>
    <definedName name="Xvertex" localSheetId="19">'[1]Variables'!#REF!</definedName>
    <definedName name="Xvertex" localSheetId="15">'[1]Variables'!#REF!</definedName>
    <definedName name="Xvertex" localSheetId="18">'[1]Variables'!#REF!</definedName>
    <definedName name="Xvertex" localSheetId="10">'VertexCalc'!$G$2:$G$65536</definedName>
    <definedName name="Xvertex">'Variables'!$B$55</definedName>
    <definedName name="Y0" localSheetId="12">'RayImpacts'!$B$11</definedName>
    <definedName name="Y0" localSheetId="10">'VertexCalc'!$B$15</definedName>
    <definedName name="Y0">'Variables'!$B$93</definedName>
    <definedName name="Yax">'Variables'!$B$53</definedName>
    <definedName name="yAxis" localSheetId="10">'VertexCalc'!$K$2:$K$65536</definedName>
    <definedName name="Yaxis">'Variables'!$B$53</definedName>
    <definedName name="Ycol" localSheetId="13">'RayImpactsSyno'!$B$10</definedName>
    <definedName name="Ycol" localSheetId="11">'VerticesSyno'!$B$10</definedName>
    <definedName name="Ycol">'Variables'!$B$87</definedName>
    <definedName name="Ydiff" localSheetId="8">'M3CentCalc'!$J$2:$J$65536</definedName>
    <definedName name="Ydiff" localSheetId="9">'M5CentCalc'!$J$2:$J$65536</definedName>
    <definedName name="Ydiff" localSheetId="3">'Variables'!$B$96</definedName>
    <definedName name="Ydiff">'GutCalc'!$K$2:$K$65536</definedName>
    <definedName name="Ydowl" localSheetId="5">'Interfaces'!$V$2:$V$65536</definedName>
    <definedName name="Ydowl" localSheetId="6">'SurfDef'!$V$2:$V$65536</definedName>
    <definedName name="Ydowl">'Variables'!$B$80</definedName>
    <definedName name="Yfact" localSheetId="12">'RayImpacts'!$B$14</definedName>
    <definedName name="Yfact" localSheetId="16">'[1]Variables'!#REF!</definedName>
    <definedName name="Yfact" localSheetId="19">'[1]Variables'!#REF!</definedName>
    <definedName name="Yfact" localSheetId="15">'[1]Variables'!#REF!</definedName>
    <definedName name="Yfact" localSheetId="18">'[1]Variables'!#REF!</definedName>
    <definedName name="Yfact" localSheetId="10">'VertexCalc'!$B$18</definedName>
    <definedName name="Yfact">'Variables'!$B$90</definedName>
    <definedName name="Ygut" localSheetId="7">'GutCalc'!$H$2:$H$65536</definedName>
    <definedName name="Ygut" localSheetId="12">'RayImpacts'!$W$2:$W$65536</definedName>
    <definedName name="Ygut" localSheetId="13">'RayImpactsSyno'!$J$2:$J$65536</definedName>
    <definedName name="Ygut">'Variables'!$B$35</definedName>
    <definedName name="YGutPhot" localSheetId="13">'RayImpactsSyno'!$J$2:$J$65536</definedName>
    <definedName name="YgutPhot">'Variables'!$B$35</definedName>
    <definedName name="YGutSpecLo" localSheetId="13">'RayImpactsSyno'!$P$2:$P$65536</definedName>
    <definedName name="YGutSpecLo">'Variables'!$B$41</definedName>
    <definedName name="YGutSpecUp" localSheetId="13">'RayImpactsSyno'!$M$2:$M$65536</definedName>
    <definedName name="YGutSpecUp">'Variables'!$B$38</definedName>
    <definedName name="YM3Cent" localSheetId="8">'M3CentCalc'!$G$2:$G$65536</definedName>
    <definedName name="YM3Cent" localSheetId="9">'M5CentCalc'!$G$2:$G$65536</definedName>
    <definedName name="YM3Cent" localSheetId="12">'RayImpacts'!$Q$2:$Q$65536</definedName>
    <definedName name="YM3Cent" localSheetId="13">'RayImpactsSyno'!$S$2:$S$65536</definedName>
    <definedName name="YM3cent">'Variables'!$B$44</definedName>
    <definedName name="YM5Cent" localSheetId="9">'M5CentCalc'!$G$2:$G$65536</definedName>
    <definedName name="YM5Cent" localSheetId="12">'RayImpacts'!$T$2:$T$65536</definedName>
    <definedName name="YM5Cent" localSheetId="13">'RayImpactsSyno'!$V$2:$V$65536</definedName>
    <definedName name="YM5cent">'Variables'!$B$47</definedName>
    <definedName name="Ymirr" localSheetId="5">'Interfaces'!$J$2:$J$65536</definedName>
    <definedName name="Ymirr" localSheetId="6">'SurfDef'!$J$2:$J$65536</definedName>
    <definedName name="Ymirr" localSheetId="10">'VertexCalc'!$H$2:$H$65536</definedName>
    <definedName name="Ymirr">'Variables'!$B$65</definedName>
    <definedName name="Ynorm" localSheetId="7">'GutCalc'!$V$2:$V$65536</definedName>
    <definedName name="Ynorm" localSheetId="5">'Interfaces'!$M$2:$M$65536</definedName>
    <definedName name="Ynorm" localSheetId="8">'M3CentCalc'!$U$2:$U$65536</definedName>
    <definedName name="Ynorm" localSheetId="9">'M5CentCalc'!$U$2:$U$65536</definedName>
    <definedName name="Ynorm" localSheetId="6">'SurfDef'!$M$2:$M$65536</definedName>
    <definedName name="Ynorm" localSheetId="10">'VertexCalc'!$O$2:$O$65536</definedName>
    <definedName name="yNorm" localSheetId="11">'VerticesSyno'!$P$2:$P$65536</definedName>
    <definedName name="Ynorm">'Variables'!$B$71</definedName>
    <definedName name="YnormP">'VertexCalc'!$K$2:$K$65536</definedName>
    <definedName name="YPhotGut" localSheetId="12">'RayImpacts'!$H$2:$H$65536</definedName>
    <definedName name="YPhotGut" localSheetId="13">'RayImpactsSyno'!$J$2:$J$65536</definedName>
    <definedName name="YPhotGut">'Variables'!$B$26:$IV$26</definedName>
    <definedName name="Yray" localSheetId="8">'M3CentCalc'!$N$2:$N$65536</definedName>
    <definedName name="Yray" localSheetId="9">'M5CentCalc'!$N$2:$N$65536</definedName>
    <definedName name="Yray" localSheetId="3">'Variables'!$B$100</definedName>
    <definedName name="Yray">'GutCalc'!$O$2:$O$65536</definedName>
    <definedName name="Ysag" localSheetId="5">'Interfaces'!$S$2:$S$65536</definedName>
    <definedName name="Ysag" localSheetId="8">'M3CentCalc'!$Z$2:$Z$65536</definedName>
    <definedName name="Ysag" localSheetId="9">'M5CentCalc'!$Z$2:$Z$65536</definedName>
    <definedName name="Ysag" localSheetId="6">'SurfDef'!$S$2:$S$65536</definedName>
    <definedName name="Ysag" localSheetId="10">'VertexCalc'!$R$2:$R$65536</definedName>
    <definedName name="ySag" localSheetId="11">'VerticesSyno'!$V$2:$V$65536</definedName>
    <definedName name="Ysag">'Variables'!$B$62</definedName>
    <definedName name="YsagM">'Variables'!$B$77</definedName>
    <definedName name="YSpecLoGut" localSheetId="12">'RayImpacts'!$N$2:$N$65536</definedName>
    <definedName name="YSpecLoGut" localSheetId="13">'RayImpactsSyno'!$P$2:$P$65536</definedName>
    <definedName name="YSpecLoGut">'Variables'!$B$32:$IV$32</definedName>
    <definedName name="YSpecUpGut" localSheetId="12">'RayImpacts'!$K$2:$K$65536</definedName>
    <definedName name="YSpecUpGut" localSheetId="13">'RayImpactsSyno'!$M$2:$M$65536</definedName>
    <definedName name="YSpecUpGut">'Variables'!$B$29:$IV$29</definedName>
    <definedName name="Yspig" localSheetId="5">'Interfaces'!$P$2:$P$65536</definedName>
    <definedName name="Yspig" localSheetId="6">'SurfDef'!$P$2:$P$65536</definedName>
    <definedName name="Yspig">'Variables'!$B$74</definedName>
    <definedName name="Yspire" localSheetId="16">'[1]GutCalc'!#REF!</definedName>
    <definedName name="Yspire" localSheetId="19">'[1]GutCalc'!#REF!</definedName>
    <definedName name="Yspire" localSheetId="15">'[1]GutCalc'!#REF!</definedName>
    <definedName name="Yspire" localSheetId="18">'[1]GutCalc'!#REF!</definedName>
    <definedName name="Yspire">'GutCalc'!#REF!</definedName>
    <definedName name="Ysyn">'GutCalc'!$H$2:$H$65536</definedName>
    <definedName name="Ytang" localSheetId="10">'VertexCalc'!$U$2:$U$65536</definedName>
    <definedName name="yTang" localSheetId="11">'VerticesSyno'!$S$2:$S$65536</definedName>
    <definedName name="Ytang">'Variables'!$B$59</definedName>
    <definedName name="Yvert" localSheetId="16">'[1]Variables'!#REF!</definedName>
    <definedName name="Yvert" localSheetId="19">'[1]Variables'!#REF!</definedName>
    <definedName name="Yvert" localSheetId="15">'[1]Variables'!#REF!</definedName>
    <definedName name="Yvert" localSheetId="18">'[1]Variables'!#REF!</definedName>
    <definedName name="Yvert" localSheetId="11">'VerticesSyno'!$J$2:$J$65536</definedName>
    <definedName name="Yvert">'Variables'!#REF!</definedName>
    <definedName name="Yvertex" localSheetId="16">'[1]Variables'!#REF!</definedName>
    <definedName name="Yvertex" localSheetId="19">'[1]Variables'!#REF!</definedName>
    <definedName name="Yvertex" localSheetId="15">'[1]Variables'!#REF!</definedName>
    <definedName name="Yvertex" localSheetId="18">'[1]Variables'!#REF!</definedName>
    <definedName name="Yvertex" localSheetId="10">'VertexCalc'!$H$2:$H$65536</definedName>
    <definedName name="Yvertex">'Variables'!$B$56</definedName>
    <definedName name="Z0" localSheetId="12">'RayImpacts'!$B$12</definedName>
    <definedName name="Z0" localSheetId="10">'VertexCalc'!$B$16</definedName>
    <definedName name="Z0">'Variables'!$B$94</definedName>
    <definedName name="Zax">'Variables'!$B$54</definedName>
    <definedName name="zAxis" localSheetId="10">'VertexCalc'!$L$2:$L$65536</definedName>
    <definedName name="Zaxis">'Variables'!$B$54</definedName>
    <definedName name="Zcol" localSheetId="13">'RayImpactsSyno'!$B$11</definedName>
    <definedName name="Zcol" localSheetId="11">'VerticesSyno'!$B$11</definedName>
    <definedName name="Zcol">'Variables'!$B$88</definedName>
    <definedName name="Zdiff" localSheetId="8">'M3CentCalc'!$K$2:$K$65536</definedName>
    <definedName name="Zdiff" localSheetId="9">'M5CentCalc'!$K$2:$K$65536</definedName>
    <definedName name="Zdiff" localSheetId="3">'Variables'!$B$97</definedName>
    <definedName name="Zdiff">'GutCalc'!$L$2:$L$65536</definedName>
    <definedName name="Zdowl" localSheetId="5">'Interfaces'!$W$2:$W$65536</definedName>
    <definedName name="Zdowl" localSheetId="6">'SurfDef'!$W$2:$W$65536</definedName>
    <definedName name="Zdowl">'Variables'!$B$81</definedName>
    <definedName name="Zfact" localSheetId="12">'RayImpacts'!$B$15</definedName>
    <definedName name="Zfact" localSheetId="16">'[1]Variables'!#REF!</definedName>
    <definedName name="Zfact" localSheetId="19">'[1]Variables'!#REF!</definedName>
    <definedName name="Zfact" localSheetId="15">'[1]Variables'!#REF!</definedName>
    <definedName name="Zfact" localSheetId="18">'[1]Variables'!#REF!</definedName>
    <definedName name="Zfact" localSheetId="10">'VertexCalc'!$B$19</definedName>
    <definedName name="Zfact">'Variables'!$B$91</definedName>
    <definedName name="Zgut" localSheetId="7">'GutCalc'!$I$2:$I$65536</definedName>
    <definedName name="Zgut" localSheetId="12">'RayImpacts'!$X$2:$X$65536</definedName>
    <definedName name="Zgut" localSheetId="13">'RayImpactsSyno'!$K$2:$K$65536</definedName>
    <definedName name="Zgut">'Variables'!$B$36</definedName>
    <definedName name="ZGutPhot" localSheetId="13">'RayImpactsSyno'!$K$2:$K$65536</definedName>
    <definedName name="ZgutPhot">'Variables'!$B$36</definedName>
    <definedName name="ZGutSpecLo" localSheetId="13">'RayImpactsSyno'!$Q$2:$Q$65536</definedName>
    <definedName name="ZGutSpecLo">'Variables'!$B$42</definedName>
    <definedName name="ZGutSpecUp" localSheetId="13">'RayImpactsSyno'!$N$2:$N$65536</definedName>
    <definedName name="ZGutSpecUp">'Variables'!$B$39</definedName>
    <definedName name="ZM3Cent" localSheetId="8">'M3CentCalc'!$H$2:$H$65536</definedName>
    <definedName name="ZM3Cent" localSheetId="9">'M5CentCalc'!$H$2:$H$65536</definedName>
    <definedName name="ZM3Cent" localSheetId="12">'RayImpacts'!$R$2:$R$65536</definedName>
    <definedName name="ZM3Cent" localSheetId="13">'RayImpactsSyno'!$T$2:$T$65536</definedName>
    <definedName name="ZM3cent">'Variables'!$B$45</definedName>
    <definedName name="ZM5Cent" localSheetId="9">'M5CentCalc'!$H$2:$H$65536</definedName>
    <definedName name="ZM5Cent" localSheetId="12">'RayImpacts'!$U$2:$U$65536</definedName>
    <definedName name="ZM5Cent" localSheetId="13">'RayImpactsSyno'!$W$2:$W$65536</definedName>
    <definedName name="ZM5cent">'Variables'!$B$48</definedName>
    <definedName name="Zmirr" localSheetId="5">'Interfaces'!$K$2:$K$65536</definedName>
    <definedName name="Zmirr" localSheetId="6">'SurfDef'!$K$2:$K$65536</definedName>
    <definedName name="Zmirr" localSheetId="10">'VertexCalc'!$I$2:$I$65536</definedName>
    <definedName name="Zmirr">'Variables'!$B$66</definedName>
    <definedName name="Znorm" localSheetId="7">'GutCalc'!$W$2:$W$65536</definedName>
    <definedName name="Znorm" localSheetId="5">'Interfaces'!$N$2:$N$65536</definedName>
    <definedName name="Znorm" localSheetId="8">'M3CentCalc'!$V$2:$V$65536</definedName>
    <definedName name="Znorm" localSheetId="9">'M5CentCalc'!$V$2:$V$65536</definedName>
    <definedName name="Znorm" localSheetId="6">'SurfDef'!$N$2:$N$65536</definedName>
    <definedName name="Znorm" localSheetId="10">'VertexCalc'!$P$2:$P$65536</definedName>
    <definedName name="zNorm" localSheetId="11">'VerticesSyno'!$Q$2:$Q$65536</definedName>
    <definedName name="Znorm">'Variables'!$B$72</definedName>
    <definedName name="ZnormP">'VertexCalc'!$L$2:$L$65536</definedName>
    <definedName name="ZPhotGut" localSheetId="12">'RayImpacts'!$I$2:$I$65536</definedName>
    <definedName name="ZPhotGut" localSheetId="13">'RayImpactsSyno'!$K$2:$K$65536</definedName>
    <definedName name="ZPhotGut">'Variables'!$B$27:$IV$27</definedName>
    <definedName name="Zray" localSheetId="8">'M3CentCalc'!$O$2:$O$65536</definedName>
    <definedName name="Zray" localSheetId="9">'M5CentCalc'!$O$2:$O$65536</definedName>
    <definedName name="Zray" localSheetId="3">'Variables'!$B$101</definedName>
    <definedName name="Zray">'GutCalc'!$P$2:$P$65536</definedName>
    <definedName name="Zsag" localSheetId="5">'Interfaces'!$T$2:$T$65536</definedName>
    <definedName name="zSag" localSheetId="8">'M3CentCalc'!$AA$2:$AA$65536</definedName>
    <definedName name="Zsag" localSheetId="9">'M5CentCalc'!$AA$2:$AA$65536</definedName>
    <definedName name="Zsag" localSheetId="6">'SurfDef'!$T$2:$T$65536</definedName>
    <definedName name="Zsag" localSheetId="10">'VertexCalc'!$S$2:$S$65536</definedName>
    <definedName name="zSag" localSheetId="11">'VerticesSyno'!$W$2:$W$65536</definedName>
    <definedName name="Zsag">'Variables'!$B$63</definedName>
    <definedName name="ZsagM">'Variables'!$B$78</definedName>
    <definedName name="ZSpecLoGut" localSheetId="12">'RayImpacts'!$O$2:$O$65536</definedName>
    <definedName name="ZSpecLoGut" localSheetId="13">'RayImpactsSyno'!$Q$2:$Q$65536</definedName>
    <definedName name="ZSpecLoGut">'Variables'!$B$33:$IV$33</definedName>
    <definedName name="ZSpecUpGut" localSheetId="12">'RayImpacts'!$L$2:$L$65536</definedName>
    <definedName name="ZSpecUpGut" localSheetId="13">'RayImpactsSyno'!$N$2:$N$65536</definedName>
    <definedName name="ZSpecUpGut">'Variables'!$B$30:$IV$30</definedName>
    <definedName name="Zspig" localSheetId="5">'Interfaces'!$Q$2:$Q$65536</definedName>
    <definedName name="Zspig" localSheetId="6">'SurfDef'!$Q$2:$Q$65536</definedName>
    <definedName name="Zspig">'Variables'!$B$75</definedName>
    <definedName name="Zspire" localSheetId="16">'[1]GutCalc'!#REF!</definedName>
    <definedName name="Zspire" localSheetId="19">'[1]GutCalc'!#REF!</definedName>
    <definedName name="Zspire" localSheetId="15">'[1]GutCalc'!#REF!</definedName>
    <definedName name="Zspire" localSheetId="18">'[1]GutCalc'!#REF!</definedName>
    <definedName name="Zspire">'GutCalc'!#REF!</definedName>
    <definedName name="Zsyn">'GutCalc'!$I$2:$I$65536</definedName>
    <definedName name="Ztang" localSheetId="10">'VertexCalc'!$V$2:$V$65536</definedName>
    <definedName name="zTang" localSheetId="11">'VerticesSyno'!$T$2:$T$65536</definedName>
    <definedName name="Ztang">'Variables'!$B$60</definedName>
    <definedName name="Zvert" localSheetId="16">'[1]Variables'!#REF!</definedName>
    <definedName name="Zvert" localSheetId="19">'[1]Variables'!#REF!</definedName>
    <definedName name="Zvert" localSheetId="15">'[1]Variables'!#REF!</definedName>
    <definedName name="Zvert" localSheetId="18">'[1]Variables'!#REF!</definedName>
    <definedName name="Zvert" localSheetId="11">'VerticesSyno'!$K$2:$K$65536</definedName>
    <definedName name="Zvert">'Variables'!#REF!</definedName>
    <definedName name="Zvertex" localSheetId="16">'[1]Variables'!#REF!</definedName>
    <definedName name="Zvertex" localSheetId="19">'[1]Variables'!#REF!</definedName>
    <definedName name="Zvertex" localSheetId="15">'[1]Variables'!#REF!</definedName>
    <definedName name="Zvertex" localSheetId="18">'[1]Variables'!#REF!</definedName>
    <definedName name="Zvertex" localSheetId="10">'VertexCalc'!$I$2:$I$65536</definedName>
    <definedName name="Zvertex">'Variables'!$B$57</definedName>
  </definedNames>
  <calcPr fullCalcOnLoad="1"/>
</workbook>
</file>

<file path=xl/sharedStrings.xml><?xml version="1.0" encoding="utf-8"?>
<sst xmlns="http://schemas.openxmlformats.org/spreadsheetml/2006/main" count="4378" uniqueCount="604">
  <si>
    <t>Name</t>
  </si>
  <si>
    <t>Description</t>
  </si>
  <si>
    <t>CompName</t>
  </si>
  <si>
    <t>Ray</t>
  </si>
  <si>
    <t>Xgut</t>
  </si>
  <si>
    <t>Ygut</t>
  </si>
  <si>
    <t>Zgut</t>
  </si>
  <si>
    <t>Xvert</t>
  </si>
  <si>
    <t>Yvert</t>
  </si>
  <si>
    <t>Zvert</t>
  </si>
  <si>
    <t>Gut ray impact coordinates</t>
  </si>
  <si>
    <t>Xspig</t>
  </si>
  <si>
    <t>Yspig</t>
  </si>
  <si>
    <t>Zspig</t>
  </si>
  <si>
    <t>Xnorm</t>
  </si>
  <si>
    <t>Ynorm</t>
  </si>
  <si>
    <t>Znorm</t>
  </si>
  <si>
    <t>X</t>
  </si>
  <si>
    <t>Xmirr</t>
  </si>
  <si>
    <t>Ymirr</t>
  </si>
  <si>
    <t>Zmirr</t>
  </si>
  <si>
    <t>Xsag</t>
  </si>
  <si>
    <t>Ysag</t>
  </si>
  <si>
    <t>Zsag</t>
  </si>
  <si>
    <t>Xdowl</t>
  </si>
  <si>
    <t>Ydowl</t>
  </si>
  <si>
    <t>Zdowl</t>
  </si>
  <si>
    <t>Mirror normal vector (spigot vector)</t>
  </si>
  <si>
    <t>Point along spigot vector</t>
  </si>
  <si>
    <t>Mirror sagittal vector (pointing towards dowl)</t>
  </si>
  <si>
    <t>Point in direction of dowl</t>
  </si>
  <si>
    <t>XM3cent</t>
  </si>
  <si>
    <t>YM3cent</t>
  </si>
  <si>
    <t>ZM3cent</t>
  </si>
  <si>
    <t>XM5cent</t>
  </si>
  <si>
    <t>YM5cent</t>
  </si>
  <si>
    <t>ZM5cent</t>
  </si>
  <si>
    <t>Ray centred on M3, impact coordinates</t>
  </si>
  <si>
    <t>Ray centred on M5, impact coordinates</t>
  </si>
  <si>
    <t>---</t>
  </si>
  <si>
    <t>ID?</t>
  </si>
  <si>
    <t>The</t>
  </si>
  <si>
    <t>current</t>
  </si>
  <si>
    <t>lens</t>
  </si>
  <si>
    <t>ID</t>
  </si>
  <si>
    <t>is:</t>
  </si>
  <si>
    <t>SPIRE</t>
  </si>
  <si>
    <t>PHOT</t>
  </si>
  <si>
    <t>TIME</t>
  </si>
  <si>
    <t>GRAY</t>
  </si>
  <si>
    <t>SURF</t>
  </si>
  <si>
    <t>Z1</t>
  </si>
  <si>
    <t>GLOBAL</t>
  </si>
  <si>
    <t>RAYTRACE</t>
  </si>
  <si>
    <t>ANALYSIS</t>
  </si>
  <si>
    <t>RAY</t>
  </si>
  <si>
    <t>DATA</t>
  </si>
  <si>
    <t>IN</t>
  </si>
  <si>
    <t>COORDINATE</t>
  </si>
  <si>
    <t>SYSTEM</t>
  </si>
  <si>
    <t>OF</t>
  </si>
  <si>
    <t>SURFACE</t>
  </si>
  <si>
    <t>NO.</t>
  </si>
  <si>
    <t>FRACT.</t>
  </si>
  <si>
    <t>OBJECT</t>
  </si>
  <si>
    <t>HEIGHT</t>
  </si>
  <si>
    <t>HBAR</t>
  </si>
  <si>
    <t>GBAR</t>
  </si>
  <si>
    <t>ENTRANCE</t>
  </si>
  <si>
    <t>PUPIL</t>
  </si>
  <si>
    <t>COORD.</t>
  </si>
  <si>
    <t>YEN</t>
  </si>
  <si>
    <t>XEN</t>
  </si>
  <si>
    <t>COLOR</t>
  </si>
  <si>
    <t>NUMBER</t>
  </si>
  <si>
    <t>VECTORS</t>
  </si>
  <si>
    <t>(X</t>
  </si>
  <si>
    <t>DIR</t>
  </si>
  <si>
    <t>TAN)</t>
  </si>
  <si>
    <t>(Y</t>
  </si>
  <si>
    <t>Y</t>
  </si>
  <si>
    <t>Z</t>
  </si>
  <si>
    <t>ZZ</t>
  </si>
  <si>
    <t>HH</t>
  </si>
  <si>
    <t>__________________________________________________________________________</t>
  </si>
  <si>
    <t>POF</t>
  </si>
  <si>
    <t>C</t>
  </si>
  <si>
    <t>Z2</t>
  </si>
  <si>
    <t>Z3</t>
  </si>
  <si>
    <t>SurfNum</t>
  </si>
  <si>
    <t>Line</t>
  </si>
  <si>
    <t>Dummy</t>
  </si>
  <si>
    <t>M1</t>
  </si>
  <si>
    <t>M2</t>
  </si>
  <si>
    <t>CFP</t>
  </si>
  <si>
    <t>CM3</t>
  </si>
  <si>
    <t>Line0</t>
  </si>
  <si>
    <t>CM4</t>
  </si>
  <si>
    <t>CM5</t>
  </si>
  <si>
    <t>Xcol</t>
  </si>
  <si>
    <t>c</t>
  </si>
  <si>
    <t>PM6</t>
  </si>
  <si>
    <t>Ycol</t>
  </si>
  <si>
    <t>d</t>
  </si>
  <si>
    <t>PM7</t>
  </si>
  <si>
    <t>Zcol</t>
  </si>
  <si>
    <t>e</t>
  </si>
  <si>
    <t>PM8</t>
  </si>
  <si>
    <t>PCS</t>
  </si>
  <si>
    <t>PM9</t>
  </si>
  <si>
    <t>X0</t>
  </si>
  <si>
    <t>PDIC1</t>
  </si>
  <si>
    <t>Y0</t>
  </si>
  <si>
    <t>PM10</t>
  </si>
  <si>
    <t>Z0</t>
  </si>
  <si>
    <t>PSW</t>
  </si>
  <si>
    <t>PDIC2</t>
  </si>
  <si>
    <t>PMW</t>
  </si>
  <si>
    <t>PM11</t>
  </si>
  <si>
    <t>PLW</t>
  </si>
  <si>
    <t>Telescope</t>
  </si>
  <si>
    <t>Common optics</t>
  </si>
  <si>
    <t>Photometer optics</t>
  </si>
  <si>
    <t>Short wave</t>
  </si>
  <si>
    <t>Medium wave</t>
  </si>
  <si>
    <t>Long wave</t>
  </si>
  <si>
    <t>Ignore</t>
  </si>
  <si>
    <t>SystemPart</t>
  </si>
  <si>
    <t>Tow. tel</t>
  </si>
  <si>
    <t>Tow. Spectro</t>
  </si>
  <si>
    <t>Tow. PAX</t>
  </si>
  <si>
    <t>Xsyno</t>
  </si>
  <si>
    <t>Ysyno</t>
  </si>
  <si>
    <t>SPIRE coordinates</t>
  </si>
  <si>
    <t>where:</t>
  </si>
  <si>
    <t>Axis directions:</t>
  </si>
  <si>
    <t>Xdiff</t>
  </si>
  <si>
    <t>Ydiff</t>
  </si>
  <si>
    <t>Zdiff</t>
  </si>
  <si>
    <t>DiffMod</t>
  </si>
  <si>
    <t>Xray</t>
  </si>
  <si>
    <t>Yray</t>
  </si>
  <si>
    <t>Zray</t>
  </si>
  <si>
    <t>dXray</t>
  </si>
  <si>
    <t>dYray</t>
  </si>
  <si>
    <t>dZray</t>
  </si>
  <si>
    <t>drayMod</t>
  </si>
  <si>
    <t>Gut</t>
  </si>
  <si>
    <t>dRayMod</t>
  </si>
  <si>
    <t>Line of first surface in listing</t>
  </si>
  <si>
    <t>Column of each coordinate in listing</t>
  </si>
  <si>
    <t>Offset of SPIRE origin with respect to Synopsys origin</t>
  </si>
  <si>
    <t>Difference between ray impact coordinates</t>
  </si>
  <si>
    <t>Modulo of difference vector</t>
  </si>
  <si>
    <t>Unit ray vector</t>
  </si>
  <si>
    <t>Difference between unit ray vectors</t>
  </si>
  <si>
    <t>Flag</t>
  </si>
  <si>
    <t>Hole</t>
  </si>
  <si>
    <t>Det</t>
  </si>
  <si>
    <t>M3Cent</t>
  </si>
  <si>
    <t>M5Cent</t>
  </si>
  <si>
    <t>!GRAY</t>
  </si>
  <si>
    <t>SPEC</t>
  </si>
  <si>
    <t>GLOB</t>
  </si>
  <si>
    <t>LENS</t>
  </si>
  <si>
    <t>SPECIFICATIONS:</t>
  </si>
  <si>
    <t>SPECIFICATIONS</t>
  </si>
  <si>
    <t>______________________________________________________________________________</t>
  </si>
  <si>
    <t>DISTANCE</t>
  </si>
  <si>
    <t>(TH0)</t>
  </si>
  <si>
    <t>INFINITE</t>
  </si>
  <si>
    <t>FOCAL</t>
  </si>
  <si>
    <t>LENGTH</t>
  </si>
  <si>
    <t>(FOCL)</t>
  </si>
  <si>
    <t>(YPP0)</t>
  </si>
  <si>
    <t>BACK</t>
  </si>
  <si>
    <t>MARG</t>
  </si>
  <si>
    <t>(YMP1)</t>
  </si>
  <si>
    <t>IMAGE</t>
  </si>
  <si>
    <t>(BACK)</t>
  </si>
  <si>
    <t>ANGLE</t>
  </si>
  <si>
    <t>(UMP0)</t>
  </si>
  <si>
    <t>CELL</t>
  </si>
  <si>
    <t>(TOTL)</t>
  </si>
  <si>
    <t>CHIEF</t>
  </si>
  <si>
    <t>(YPP1)</t>
  </si>
  <si>
    <t>F/NUMBER</t>
  </si>
  <si>
    <t>(FNUM)</t>
  </si>
  <si>
    <t>(UPP0)</t>
  </si>
  <si>
    <t>GAUSSIAN</t>
  </si>
  <si>
    <t>HT(GIHT)</t>
  </si>
  <si>
    <t>ENTR</t>
  </si>
  <si>
    <t>SEMI-APERTURE</t>
  </si>
  <si>
    <t>EXIT</t>
  </si>
  <si>
    <t>LOCATION</t>
  </si>
  <si>
    <t>X-OBJECT</t>
  </si>
  <si>
    <t>(XPP0)</t>
  </si>
  <si>
    <t>X-MARG</t>
  </si>
  <si>
    <t>(XMP1)</t>
  </si>
  <si>
    <t>X-CHIEF</t>
  </si>
  <si>
    <t>HT</t>
  </si>
  <si>
    <t>(XPP1)</t>
  </si>
  <si>
    <t>(VMP0)</t>
  </si>
  <si>
    <t>ANGLE(VPP0)</t>
  </si>
  <si>
    <t>WAVL</t>
  </si>
  <si>
    <t>(uM)</t>
  </si>
  <si>
    <t>WEIGHTS</t>
  </si>
  <si>
    <t>ORDER</t>
  </si>
  <si>
    <t>UNITS</t>
  </si>
  <si>
    <t>MM</t>
  </si>
  <si>
    <t>APERTURE</t>
  </si>
  <si>
    <t>STOP</t>
  </si>
  <si>
    <t>(APS)</t>
  </si>
  <si>
    <t>REAL</t>
  </si>
  <si>
    <t>OPTION</t>
  </si>
  <si>
    <t>ON</t>
  </si>
  <si>
    <t>MODE</t>
  </si>
  <si>
    <t>MAGNIFICATION</t>
  </si>
  <si>
    <t>VIGNETTING</t>
  </si>
  <si>
    <t>(VIG)</t>
  </si>
  <si>
    <t>OFF</t>
  </si>
  <si>
    <t>POLARIZATION</t>
  </si>
  <si>
    <t>AND</t>
  </si>
  <si>
    <t>COATINGS</t>
  </si>
  <si>
    <t>ARE</t>
  </si>
  <si>
    <t>IGNORED.</t>
  </si>
  <si>
    <t>RADIUS</t>
  </si>
  <si>
    <t>THICKNESS</t>
  </si>
  <si>
    <t>MEDIUM</t>
  </si>
  <si>
    <t>INDEX</t>
  </si>
  <si>
    <t>V-NUMBER</t>
  </si>
  <si>
    <t>AIR</t>
  </si>
  <si>
    <t>2A</t>
  </si>
  <si>
    <t>2000.00000P</t>
  </si>
  <si>
    <t>O</t>
  </si>
  <si>
    <t>APS</t>
  </si>
  <si>
    <t>10A</t>
  </si>
  <si>
    <t>11A</t>
  </si>
  <si>
    <t>12A</t>
  </si>
  <si>
    <t>13A</t>
  </si>
  <si>
    <t>0.00000P</t>
  </si>
  <si>
    <t>16A</t>
  </si>
  <si>
    <t>17A</t>
  </si>
  <si>
    <t>18A</t>
  </si>
  <si>
    <t>19A</t>
  </si>
  <si>
    <t>20A</t>
  </si>
  <si>
    <t>21A</t>
  </si>
  <si>
    <t>22A</t>
  </si>
  <si>
    <t>23A</t>
  </si>
  <si>
    <t>24A</t>
  </si>
  <si>
    <t>25A</t>
  </si>
  <si>
    <t>26A</t>
  </si>
  <si>
    <t>27A</t>
  </si>
  <si>
    <t>28A</t>
  </si>
  <si>
    <t>29A</t>
  </si>
  <si>
    <t>30A</t>
  </si>
  <si>
    <t>31A</t>
  </si>
  <si>
    <t>32A</t>
  </si>
  <si>
    <t>33A</t>
  </si>
  <si>
    <t>35A</t>
  </si>
  <si>
    <t>36A</t>
  </si>
  <si>
    <t>37A</t>
  </si>
  <si>
    <t>-50.00000P</t>
  </si>
  <si>
    <t>39A</t>
  </si>
  <si>
    <t>40A</t>
  </si>
  <si>
    <t>50.00000P</t>
  </si>
  <si>
    <t>42A</t>
  </si>
  <si>
    <t>43A</t>
  </si>
  <si>
    <t>-135.00000P</t>
  </si>
  <si>
    <t>44A</t>
  </si>
  <si>
    <t>45A</t>
  </si>
  <si>
    <t>46A</t>
  </si>
  <si>
    <t>47A</t>
  </si>
  <si>
    <t>48A</t>
  </si>
  <si>
    <t>50A</t>
  </si>
  <si>
    <t>85.00000P</t>
  </si>
  <si>
    <t>52A</t>
  </si>
  <si>
    <t>53A</t>
  </si>
  <si>
    <t>-85.00000P</t>
  </si>
  <si>
    <t>55A</t>
  </si>
  <si>
    <t>56A</t>
  </si>
  <si>
    <t>57A</t>
  </si>
  <si>
    <t>58A</t>
  </si>
  <si>
    <t>41.00000P</t>
  </si>
  <si>
    <t>60A</t>
  </si>
  <si>
    <t>61A</t>
  </si>
  <si>
    <t>IMG</t>
  </si>
  <si>
    <t>KEY</t>
  </si>
  <si>
    <t>TO</t>
  </si>
  <si>
    <t>SYMBOLS</t>
  </si>
  <si>
    <t>______________</t>
  </si>
  <si>
    <t>A</t>
  </si>
  <si>
    <t>HAS</t>
  </si>
  <si>
    <t>TILTS</t>
  </si>
  <si>
    <t>DECENTERS</t>
  </si>
  <si>
    <t>B</t>
  </si>
  <si>
    <t>TAG</t>
  </si>
  <si>
    <t>G</t>
  </si>
  <si>
    <t>IS</t>
  </si>
  <si>
    <t>COORDINATES</t>
  </si>
  <si>
    <t>L</t>
  </si>
  <si>
    <t>LOCAL</t>
  </si>
  <si>
    <t>SPECIAL</t>
  </si>
  <si>
    <t>TYPE</t>
  </si>
  <si>
    <t>P</t>
  </si>
  <si>
    <t>ITEM</t>
  </si>
  <si>
    <t>SUBJECT</t>
  </si>
  <si>
    <t>PICKUP</t>
  </si>
  <si>
    <t>S</t>
  </si>
  <si>
    <t>SOLVE</t>
  </si>
  <si>
    <t>--</t>
  </si>
  <si>
    <t>CONIC</t>
  </si>
  <si>
    <t>CONSTANT</t>
  </si>
  <si>
    <t>(CC)</t>
  </si>
  <si>
    <t>SEMI-MAJOR</t>
  </si>
  <si>
    <t>AXIS</t>
  </si>
  <si>
    <t>(b)</t>
  </si>
  <si>
    <t>SEMI-MINOR</t>
  </si>
  <si>
    <t>(a)</t>
  </si>
  <si>
    <t>_______________</t>
  </si>
  <si>
    <t>TORIC</t>
  </si>
  <si>
    <t>RX</t>
  </si>
  <si>
    <t>TILT</t>
  </si>
  <si>
    <t>DECENTER</t>
  </si>
  <si>
    <t>LEFT-HANDED</t>
  </si>
  <si>
    <t>_______________________________________________________________________________</t>
  </si>
  <si>
    <t>ALPHA</t>
  </si>
  <si>
    <t>BETA</t>
  </si>
  <si>
    <t>GAMMA</t>
  </si>
  <si>
    <t>REL</t>
  </si>
  <si>
    <t>TYPES</t>
  </si>
  <si>
    <t>____________________</t>
  </si>
  <si>
    <t>GLB</t>
  </si>
  <si>
    <t>LOC</t>
  </si>
  <si>
    <t>RELATIVE</t>
  </si>
  <si>
    <t>REM</t>
  </si>
  <si>
    <t>REMOTE</t>
  </si>
  <si>
    <t>MESSAGES</t>
  </si>
  <si>
    <t>UNDO</t>
  </si>
  <si>
    <t>TILTS/DECENTERS</t>
  </si>
  <si>
    <t>FROM</t>
  </si>
  <si>
    <t>NOTES</t>
  </si>
  <si>
    <t>Unless</t>
  </si>
  <si>
    <t>noted,</t>
  </si>
  <si>
    <t>Euler</t>
  </si>
  <si>
    <t>angles</t>
  </si>
  <si>
    <t>are</t>
  </si>
  <si>
    <t>taken</t>
  </si>
  <si>
    <t>in</t>
  </si>
  <si>
    <t>the</t>
  </si>
  <si>
    <t>order</t>
  </si>
  <si>
    <t>alpha,</t>
  </si>
  <si>
    <t>beta,</t>
  </si>
  <si>
    <t>gamma</t>
  </si>
  <si>
    <t>xTang</t>
  </si>
  <si>
    <t>Ytang</t>
  </si>
  <si>
    <t>Xtang</t>
  </si>
  <si>
    <t>Ztang</t>
  </si>
  <si>
    <t>XsagM</t>
  </si>
  <si>
    <t>YsagM</t>
  </si>
  <si>
    <t>ZsagM</t>
  </si>
  <si>
    <t>Surface vertex axis direction vector</t>
  </si>
  <si>
    <t>Surface vertex tangential vector</t>
  </si>
  <si>
    <t>Surface vertex sagittal vector</t>
  </si>
  <si>
    <t>aEuler</t>
  </si>
  <si>
    <t>bEuler</t>
  </si>
  <si>
    <t>cEuler</t>
  </si>
  <si>
    <t>Surface orientation Euler angles</t>
  </si>
  <si>
    <t>aCol</t>
  </si>
  <si>
    <t>bCol</t>
  </si>
  <si>
    <t>cCol</t>
  </si>
  <si>
    <t>f</t>
  </si>
  <si>
    <t>g</t>
  </si>
  <si>
    <t>h</t>
  </si>
  <si>
    <t>xNorm</t>
  </si>
  <si>
    <t>yNorm</t>
  </si>
  <si>
    <t>zNorm</t>
  </si>
  <si>
    <t>yTang</t>
  </si>
  <si>
    <t>zTang</t>
  </si>
  <si>
    <t>xSag</t>
  </si>
  <si>
    <t>ySag</t>
  </si>
  <si>
    <t>zSag</t>
  </si>
  <si>
    <t>TangDotNorm</t>
  </si>
  <si>
    <t>SagDotNorm</t>
  </si>
  <si>
    <t>SagDotTan</t>
  </si>
  <si>
    <t>Vertex</t>
  </si>
  <si>
    <t>Xaxis</t>
  </si>
  <si>
    <t>Yaxis</t>
  </si>
  <si>
    <t>Zaxis</t>
  </si>
  <si>
    <t>SpigLength</t>
  </si>
  <si>
    <t>DowlSep</t>
  </si>
  <si>
    <t>Distance to spigot point</t>
  </si>
  <si>
    <t>Distance to dowl point</t>
  </si>
  <si>
    <t>Theta</t>
  </si>
  <si>
    <t>Angle between surface vertex normal and spigot axis</t>
  </si>
  <si>
    <t>1-cos(theta)</t>
  </si>
  <si>
    <t>normDOTsag</t>
  </si>
  <si>
    <t>UpFlag</t>
  </si>
  <si>
    <t>Direction of exiting ray, 1 for +X</t>
  </si>
  <si>
    <t>LeftHandCorr</t>
  </si>
  <si>
    <t>NormDirCorr</t>
  </si>
  <si>
    <t>Factor applied to Zspire to transform LHS to RHS</t>
  </si>
  <si>
    <t>Factor applied to VertexNormal to point it up (+X)</t>
  </si>
  <si>
    <t>Check</t>
  </si>
  <si>
    <t>Mirror surface coordinate</t>
  </si>
  <si>
    <t>Norm</t>
  </si>
  <si>
    <t>Sag</t>
  </si>
  <si>
    <t>Tang</t>
  </si>
  <si>
    <t>SYNO</t>
  </si>
  <si>
    <t>Directions</t>
  </si>
  <si>
    <t>(BOLPHT154C)</t>
  </si>
  <si>
    <t>System identification number</t>
  </si>
  <si>
    <t>Calculations based on identification numbers:</t>
  </si>
  <si>
    <t>Filename</t>
  </si>
  <si>
    <t>Date</t>
  </si>
  <si>
    <t>Comments</t>
  </si>
  <si>
    <t>SPIREconfig01</t>
  </si>
  <si>
    <t>SPIREconfig02</t>
  </si>
  <si>
    <t>Corrected error in jumping from detector back to dichroic. Added dummy for normal on primary. Corrected sign of normals (norm = ray out - ray in).</t>
  </si>
  <si>
    <t>SPIREconfig03</t>
  </si>
  <si>
    <t>Reviewed 'comments' sheet.</t>
  </si>
  <si>
    <t>SPIREconfigPhot03</t>
  </si>
  <si>
    <t>Separate file for Phot and Spec</t>
  </si>
  <si>
    <t>SPIREconfigPhot10</t>
  </si>
  <si>
    <t>Spigot axes calculated. Transformation to IID-B ("MSSL") coordinates.</t>
  </si>
  <si>
    <t>SPIREconfigPhot11</t>
  </si>
  <si>
    <t>SPIREconfigPhot12</t>
  </si>
  <si>
    <t>Corrected Euler calculations, dowls added</t>
  </si>
  <si>
    <t>SPIREconfigPhot13</t>
  </si>
  <si>
    <t>SPIREconfigPhot20</t>
  </si>
  <si>
    <t>Entirely renovated. Error in dowl calculation eliminated.</t>
  </si>
  <si>
    <t>VertexCalc!Zsag</t>
  </si>
  <si>
    <t>VertexCalc!Xsag*COS(Theta)-VertexCalc!Ysag*SIN(Theta)</t>
  </si>
  <si>
    <t>VertexCalc!Xsag*SIN(Theta)+VertexCalc!Ysag*COS(Theta)</t>
  </si>
  <si>
    <t xml:space="preserve">Xsag = </t>
  </si>
  <si>
    <t xml:space="preserve">Ysag = </t>
  </si>
  <si>
    <t xml:space="preserve">Zsag = </t>
  </si>
  <si>
    <t xml:space="preserve">Theta = </t>
  </si>
  <si>
    <t>ACOS((Xnorm*VertexCalc!Xnorm+Ynorm*VertexCalc!Ynorm)</t>
  </si>
  <si>
    <t>/(RACINE(Xnorm^2+Ynorm^2)*RACINE(VertexCalc!Xnorm^2+VertexCalc!Ynorm^2)))</t>
  </si>
  <si>
    <t>*SIGNE(Xnorm*Ynorm))</t>
  </si>
  <si>
    <t xml:space="preserve">Xmirr = </t>
  </si>
  <si>
    <t xml:space="preserve">Ymirr = </t>
  </si>
  <si>
    <t xml:space="preserve">Zmirr = </t>
  </si>
  <si>
    <t xml:space="preserve">Ynorm = </t>
  </si>
  <si>
    <t xml:space="preserve">Znorm = </t>
  </si>
  <si>
    <t xml:space="preserve">Xnorm = </t>
  </si>
  <si>
    <t>VertexCalc!Xnorm*(Interfaces!Xmirr-VertexCalc!Xmirr)</t>
  </si>
  <si>
    <t>VertexCalc!Xsag*(Interfaces!Xmirr-VertexCalc!Xmirr)</t>
  </si>
  <si>
    <t>VertexCalc!Xtang*(Interfaces!Xmirr-VertexCalc!Xmirr)</t>
  </si>
  <si>
    <t>VertexCalc!Xnorm*Interfaces!Xnorm+VertexCalc!Ynorm*Interfaces!Ynorm</t>
  </si>
  <si>
    <t>VertexCalc!Xsag*Interfaces!Xnorm+VertexCalc!Ysag*Interfaces!Ynorm</t>
  </si>
  <si>
    <t>VertexCalc!Xtang*Interfaces!Xnorm+VertexCalc!Ytang*Interfaces!Ynorm</t>
  </si>
  <si>
    <t>SPIREconfigPhot21</t>
  </si>
  <si>
    <t>Improved precision for interfaces</t>
  </si>
  <si>
    <t>Xvertex</t>
  </si>
  <si>
    <t>Yvertex</t>
  </si>
  <si>
    <t>Zvertex</t>
  </si>
  <si>
    <t>Surface vertex coordinates used in VertexCalc</t>
  </si>
  <si>
    <t>NormDir</t>
  </si>
  <si>
    <t>Automatically determined normal direction factor</t>
  </si>
  <si>
    <t>Correct spigot direction (modify automatic sign calculation) and dowl direction (add flag).</t>
  </si>
  <si>
    <t>SPIREconfigPhot22</t>
  </si>
  <si>
    <t>DowlDir</t>
  </si>
  <si>
    <t>Manually entered factor (+/-1) to determine dowl direction (gen tow bench)</t>
  </si>
  <si>
    <t>SPIREconfigPhot23</t>
  </si>
  <si>
    <t>norm and sag vectors in Interfaces sheet has correct directions (towards spigot and towards dowl)</t>
  </si>
  <si>
    <t>SPIREconfigPhot24</t>
  </si>
  <si>
    <t>(BOLPHT155)</t>
  </si>
  <si>
    <t>11-MAY-01</t>
  </si>
  <si>
    <t>1587.99800P</t>
  </si>
  <si>
    <t>BOLPHT155: new telescope. Includes comprative calculations</t>
  </si>
  <si>
    <t>SPIREconfigPhot25</t>
  </si>
  <si>
    <t>Cleaned up: Comparative calculations removed</t>
  </si>
  <si>
    <t>SPECTRO</t>
  </si>
  <si>
    <t>(BOLSP501G)</t>
  </si>
  <si>
    <t>NONSEQUENTIAL</t>
  </si>
  <si>
    <t>3A</t>
  </si>
  <si>
    <t>1587.96900P</t>
  </si>
  <si>
    <t>34A</t>
  </si>
  <si>
    <t>38A</t>
  </si>
  <si>
    <t>-25.00000P</t>
  </si>
  <si>
    <t>51A</t>
  </si>
  <si>
    <t>54A</t>
  </si>
  <si>
    <t>150.00000P</t>
  </si>
  <si>
    <t>-133.20000P</t>
  </si>
  <si>
    <t>-40.00000P</t>
  </si>
  <si>
    <t>INFINITEP</t>
  </si>
  <si>
    <t>62A</t>
  </si>
  <si>
    <t>63A</t>
  </si>
  <si>
    <t>65A</t>
  </si>
  <si>
    <t>67A</t>
  </si>
  <si>
    <t>68A</t>
  </si>
  <si>
    <t>ABG</t>
  </si>
  <si>
    <t>COINCIDENT</t>
  </si>
  <si>
    <t>WITH</t>
  </si>
  <si>
    <t>(BOLSP501F_LO)</t>
  </si>
  <si>
    <t>25.00000P</t>
  </si>
  <si>
    <t>-150.00000P</t>
  </si>
  <si>
    <t>133.20000P</t>
  </si>
  <si>
    <t>40.00000P</t>
  </si>
  <si>
    <t>(BOLSP501E)</t>
  </si>
  <si>
    <t>Spectrometer optics</t>
  </si>
  <si>
    <t>SM6</t>
  </si>
  <si>
    <t>SCS</t>
  </si>
  <si>
    <t>SM7</t>
  </si>
  <si>
    <t>SM8A</t>
  </si>
  <si>
    <t>Upper arm</t>
  </si>
  <si>
    <t>SBS1</t>
  </si>
  <si>
    <t>SM9A</t>
  </si>
  <si>
    <t>SCCA1</t>
  </si>
  <si>
    <t>SCCA2</t>
  </si>
  <si>
    <t>SCCA3</t>
  </si>
  <si>
    <t>SM10A</t>
  </si>
  <si>
    <t>SBS2</t>
  </si>
  <si>
    <t>SM11A</t>
  </si>
  <si>
    <t>SM12A</t>
  </si>
  <si>
    <t>SSW</t>
  </si>
  <si>
    <t>Lower arm</t>
  </si>
  <si>
    <t>SM9B</t>
  </si>
  <si>
    <t>SCCB1</t>
  </si>
  <si>
    <t>SCCB2</t>
  </si>
  <si>
    <t>SCCB3</t>
  </si>
  <si>
    <t>SM10B</t>
  </si>
  <si>
    <t>SM11B</t>
  </si>
  <si>
    <t>SM12B</t>
  </si>
  <si>
    <t>SLW</t>
  </si>
  <si>
    <t>Phot</t>
  </si>
  <si>
    <t>SpecUp</t>
  </si>
  <si>
    <t>SpecLo</t>
  </si>
  <si>
    <t>System</t>
  </si>
  <si>
    <t>Ray traced system: Phot, SpecUp, SpecLo</t>
  </si>
  <si>
    <t>Line0Phot</t>
  </si>
  <si>
    <t>Line0SpecUp</t>
  </si>
  <si>
    <t>Line0SpecLo</t>
  </si>
  <si>
    <t>IDPhot</t>
  </si>
  <si>
    <t>IDSpecUp</t>
  </si>
  <si>
    <t>IDSpecLo</t>
  </si>
  <si>
    <t>Ref Arm</t>
  </si>
  <si>
    <t>SM8B</t>
  </si>
  <si>
    <t>XgutPhot</t>
  </si>
  <si>
    <t>YgutPhot</t>
  </si>
  <si>
    <t>ZgutPhot</t>
  </si>
  <si>
    <t>x</t>
  </si>
  <si>
    <t>y</t>
  </si>
  <si>
    <t>z</t>
  </si>
  <si>
    <t>Common</t>
  </si>
  <si>
    <t>XGutSpecUp</t>
  </si>
  <si>
    <t>YGutSpecUp</t>
  </si>
  <si>
    <t>ZGutSpecUp</t>
  </si>
  <si>
    <t>XGutSpecLo</t>
  </si>
  <si>
    <t>YGutSpecLo</t>
  </si>
  <si>
    <t>ZGutSpecLo</t>
  </si>
  <si>
    <t>Axe</t>
  </si>
  <si>
    <t>AxeSyno</t>
  </si>
  <si>
    <t>Syst</t>
  </si>
  <si>
    <t>M3</t>
  </si>
  <si>
    <t>Cent</t>
  </si>
  <si>
    <t>M5</t>
  </si>
  <si>
    <t>XPhotGut</t>
  </si>
  <si>
    <t>YPhotGut</t>
  </si>
  <si>
    <t>ZPhotGut</t>
  </si>
  <si>
    <t>XSpecUpGut</t>
  </si>
  <si>
    <t>YSpecUpGut</t>
  </si>
  <si>
    <t>ZSpecUpGut</t>
  </si>
  <si>
    <t>XSpecLoGut</t>
  </si>
  <si>
    <t>YSpecLoGut</t>
  </si>
  <si>
    <t>ZSpecLoGut</t>
  </si>
  <si>
    <t>X=X0+Xfact*Zsyno</t>
  </si>
  <si>
    <t>Y=Y0+Yfact*Xsyno</t>
  </si>
  <si>
    <t>Z=Z0+Zfact*Ysyno</t>
  </si>
  <si>
    <t>Xfact</t>
  </si>
  <si>
    <t>Yfact</t>
  </si>
  <si>
    <t>Zfact</t>
  </si>
  <si>
    <t>Direction correction for SPIRE (RHS) with respect to Syno (LHS) co-ordinates</t>
  </si>
  <si>
    <t>Local</t>
  </si>
  <si>
    <t>Vert</t>
  </si>
  <si>
    <t>XnormP</t>
  </si>
  <si>
    <t>YnormP</t>
  </si>
  <si>
    <t>ZnormP</t>
  </si>
  <si>
    <t>Preliminary mirror normal vectors, to calculate NormDir</t>
  </si>
  <si>
    <t>SPIRE vertex coordinates</t>
  </si>
  <si>
    <t>X=Xfact*Zsyno</t>
  </si>
  <si>
    <t>Y=Yfact*Xsyno</t>
  </si>
  <si>
    <t>Z=Zfact*Ysyno</t>
  </si>
  <si>
    <t xml:space="preserve">NormDir rotates local axes </t>
  </si>
  <si>
    <t>about local Sag vector:</t>
  </si>
  <si>
    <t>Norm=Norm*NormDir</t>
  </si>
  <si>
    <t>Sag=Sag</t>
  </si>
  <si>
    <t>SPIRE local axes direction vectors</t>
  </si>
  <si>
    <t>Tang is inveresed for RHS</t>
  </si>
  <si>
    <t>Tang=-1*Tang*NormDir</t>
  </si>
  <si>
    <t>ThMirr</t>
  </si>
  <si>
    <t>Mirror thickness</t>
  </si>
  <si>
    <t>Thick</t>
  </si>
  <si>
    <t>Thin</t>
  </si>
  <si>
    <t>Thickness of thick mirrors (CM3, CM5, PM7, PM9)</t>
  </si>
  <si>
    <t>Thickness of other mirrors</t>
  </si>
  <si>
    <t>Dowl separation</t>
  </si>
  <si>
    <t>NB: All dimensions are for operational conditions (4K)</t>
  </si>
  <si>
    <t>SPIREconfig30</t>
  </si>
  <si>
    <t>SPIREconfig31</t>
  </si>
  <si>
    <t>Official release of Revised version</t>
  </si>
  <si>
    <t>Revised version, Euler calculation corrected, spig and dowl coordinates give positions on interface surface. Phot and Spec in same file. Draft</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</si>
</sst>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
    <numFmt numFmtId="165" formatCode="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E+00"/>
    <numFmt numFmtId="176" formatCode="0.0E+00"/>
  </numFmts>
  <fonts count="7">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
      <sz val="20"/>
      <name val="Times New Roman"/>
      <family val="1"/>
    </font>
  </fonts>
  <fills count="2">
    <fill>
      <patternFill/>
    </fill>
    <fill>
      <patternFill patternType="gray125"/>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27">
    <xf numFmtId="0" fontId="0" fillId="0" borderId="0" xfId="0" applyAlignment="1">
      <alignment/>
    </xf>
    <xf numFmtId="0" fontId="0" fillId="0" borderId="0" xfId="19" applyFont="1">
      <alignment/>
      <protection/>
    </xf>
    <xf numFmtId="15" fontId="0" fillId="0" borderId="0" xfId="19" applyNumberFormat="1" applyFont="1">
      <alignment/>
      <protection/>
    </xf>
    <xf numFmtId="21" fontId="0" fillId="0" borderId="0" xfId="19" applyNumberFormat="1" applyFont="1">
      <alignment/>
      <protection/>
    </xf>
    <xf numFmtId="11" fontId="0" fillId="0" borderId="0" xfId="19" applyNumberFormat="1" applyFont="1">
      <alignment/>
      <protection/>
    </xf>
    <xf numFmtId="0" fontId="1" fillId="0" borderId="0" xfId="19" applyFont="1">
      <alignment/>
      <protection/>
    </xf>
    <xf numFmtId="0" fontId="1" fillId="0" borderId="0" xfId="19" applyFont="1" applyAlignment="1">
      <alignment horizontal="center"/>
      <protection/>
    </xf>
    <xf numFmtId="164" fontId="1" fillId="0" borderId="0" xfId="19" applyNumberFormat="1" applyFont="1" applyAlignment="1">
      <alignment horizontal="center"/>
      <protection/>
    </xf>
    <xf numFmtId="0" fontId="0" fillId="0" borderId="0" xfId="19" applyFont="1" applyAlignment="1">
      <alignment horizontal="center"/>
      <protection/>
    </xf>
    <xf numFmtId="164" fontId="0" fillId="0" borderId="0" xfId="19" applyNumberFormat="1" applyFont="1" applyAlignment="1">
      <alignment horizontal="center"/>
      <protection/>
    </xf>
    <xf numFmtId="0" fontId="0" fillId="0" borderId="1" xfId="19" applyFont="1" applyBorder="1">
      <alignment/>
      <protection/>
    </xf>
    <xf numFmtId="0" fontId="0" fillId="0" borderId="2" xfId="19" applyFont="1" applyBorder="1">
      <alignment/>
      <protection/>
    </xf>
    <xf numFmtId="0" fontId="0" fillId="0" borderId="2" xfId="19" applyFont="1" applyBorder="1" applyAlignment="1">
      <alignment horizontal="center"/>
      <protection/>
    </xf>
    <xf numFmtId="164" fontId="0" fillId="0" borderId="2" xfId="19" applyNumberFormat="1" applyFont="1" applyBorder="1" applyAlignment="1">
      <alignment horizontal="center"/>
      <protection/>
    </xf>
    <xf numFmtId="0" fontId="0" fillId="0" borderId="3" xfId="19" applyFont="1" applyBorder="1">
      <alignment/>
      <protection/>
    </xf>
    <xf numFmtId="0" fontId="0" fillId="0" borderId="4" xfId="19" applyFont="1" applyBorder="1">
      <alignment/>
      <protection/>
    </xf>
    <xf numFmtId="0" fontId="0" fillId="0" borderId="4" xfId="19" applyFont="1" applyBorder="1" applyAlignment="1">
      <alignment horizontal="center"/>
      <protection/>
    </xf>
    <xf numFmtId="164" fontId="0" fillId="0" borderId="4" xfId="19" applyNumberFormat="1" applyFont="1" applyBorder="1" applyAlignment="1">
      <alignment horizontal="center"/>
      <protection/>
    </xf>
    <xf numFmtId="0" fontId="0" fillId="0" borderId="5" xfId="19" applyFont="1" applyBorder="1">
      <alignment/>
      <protection/>
    </xf>
    <xf numFmtId="0" fontId="0" fillId="0" borderId="0" xfId="19" applyFont="1" applyBorder="1">
      <alignment/>
      <protection/>
    </xf>
    <xf numFmtId="0" fontId="0" fillId="0" borderId="0" xfId="19" applyFont="1" applyBorder="1" applyAlignment="1">
      <alignment horizontal="center"/>
      <protection/>
    </xf>
    <xf numFmtId="164" fontId="0" fillId="0" borderId="0" xfId="19" applyNumberFormat="1" applyFont="1" applyBorder="1" applyAlignment="1">
      <alignment horizontal="center"/>
      <protection/>
    </xf>
    <xf numFmtId="0" fontId="0" fillId="0" borderId="0" xfId="19" applyFont="1" applyAlignment="1">
      <alignment horizontal="left"/>
      <protection/>
    </xf>
    <xf numFmtId="0" fontId="2" fillId="0" borderId="0" xfId="19" applyFont="1">
      <alignment/>
      <protection/>
    </xf>
    <xf numFmtId="0" fontId="0" fillId="0" borderId="6" xfId="19" applyFont="1" applyBorder="1">
      <alignment/>
      <protection/>
    </xf>
    <xf numFmtId="0" fontId="1" fillId="0" borderId="0" xfId="19" applyFont="1" applyBorder="1">
      <alignment/>
      <protection/>
    </xf>
    <xf numFmtId="0" fontId="1" fillId="0" borderId="0" xfId="19" applyFont="1" applyBorder="1" applyAlignment="1">
      <alignment horizontal="center"/>
      <protection/>
    </xf>
    <xf numFmtId="164" fontId="1" fillId="0" borderId="0" xfId="19" applyNumberFormat="1" applyFont="1" applyBorder="1" applyAlignment="1">
      <alignment horizontal="center"/>
      <protection/>
    </xf>
    <xf numFmtId="0" fontId="0" fillId="0" borderId="0" xfId="19" applyFont="1" applyBorder="1" applyAlignment="1">
      <alignment horizontal="left"/>
      <protection/>
    </xf>
    <xf numFmtId="0" fontId="2" fillId="0" borderId="0" xfId="19" applyFont="1" applyBorder="1">
      <alignment/>
      <protection/>
    </xf>
    <xf numFmtId="165" fontId="0" fillId="0" borderId="0" xfId="19" applyNumberFormat="1" applyFont="1" applyAlignment="1">
      <alignment horizontal="center"/>
      <protection/>
    </xf>
    <xf numFmtId="165" fontId="2" fillId="0" borderId="0" xfId="19" applyNumberFormat="1" applyFont="1" applyAlignment="1">
      <alignment horizontal="center"/>
      <protection/>
    </xf>
    <xf numFmtId="165" fontId="1" fillId="0" borderId="0" xfId="19" applyNumberFormat="1" applyFont="1" applyAlignment="1">
      <alignment horizontal="center"/>
      <protection/>
    </xf>
    <xf numFmtId="176" fontId="1" fillId="0" borderId="0" xfId="19" applyNumberFormat="1" applyFont="1" applyAlignment="1">
      <alignment horizontal="center"/>
      <protection/>
    </xf>
    <xf numFmtId="176" fontId="0" fillId="0" borderId="0" xfId="19" applyNumberFormat="1" applyFont="1" applyAlignment="1">
      <alignment horizontal="center"/>
      <protection/>
    </xf>
    <xf numFmtId="176" fontId="0" fillId="0" borderId="0" xfId="19" applyNumberFormat="1" applyFont="1">
      <alignment/>
      <protection/>
    </xf>
    <xf numFmtId="0" fontId="1" fillId="0" borderId="5" xfId="19" applyFont="1" applyBorder="1">
      <alignment/>
      <protection/>
    </xf>
    <xf numFmtId="0" fontId="1" fillId="0" borderId="3" xfId="19" applyFont="1" applyBorder="1">
      <alignment/>
      <protection/>
    </xf>
    <xf numFmtId="0" fontId="1" fillId="0" borderId="4" xfId="19" applyFont="1" applyBorder="1">
      <alignment/>
      <protection/>
    </xf>
    <xf numFmtId="164" fontId="1" fillId="0" borderId="4" xfId="19" applyNumberFormat="1" applyFont="1" applyBorder="1" applyAlignment="1">
      <alignment horizontal="center"/>
      <protection/>
    </xf>
    <xf numFmtId="0" fontId="1" fillId="0" borderId="4" xfId="19" applyFont="1" applyBorder="1" applyAlignment="1">
      <alignment horizontal="center"/>
      <protection/>
    </xf>
    <xf numFmtId="165" fontId="1" fillId="0" borderId="1" xfId="19" applyNumberFormat="1" applyFont="1" applyBorder="1" applyAlignment="1">
      <alignment horizontal="center"/>
      <protection/>
    </xf>
    <xf numFmtId="165" fontId="1" fillId="0" borderId="2" xfId="19" applyNumberFormat="1" applyFont="1" applyBorder="1" applyAlignment="1">
      <alignment horizontal="center"/>
      <protection/>
    </xf>
    <xf numFmtId="165" fontId="1" fillId="0" borderId="7" xfId="19" applyNumberFormat="1" applyFont="1" applyBorder="1" applyAlignment="1">
      <alignment horizontal="center"/>
      <protection/>
    </xf>
    <xf numFmtId="165" fontId="0" fillId="0" borderId="5" xfId="19" applyNumberFormat="1" applyFont="1" applyBorder="1" applyAlignment="1">
      <alignment horizontal="center"/>
      <protection/>
    </xf>
    <xf numFmtId="165" fontId="0" fillId="0" borderId="0" xfId="19" applyNumberFormat="1" applyFont="1" applyBorder="1" applyAlignment="1">
      <alignment horizontal="center"/>
      <protection/>
    </xf>
    <xf numFmtId="165" fontId="0" fillId="0" borderId="8" xfId="19" applyNumberFormat="1" applyFont="1" applyBorder="1" applyAlignment="1">
      <alignment horizontal="center"/>
      <protection/>
    </xf>
    <xf numFmtId="165" fontId="0" fillId="0" borderId="1" xfId="19" applyNumberFormat="1" applyFont="1" applyBorder="1" applyAlignment="1">
      <alignment horizontal="center"/>
      <protection/>
    </xf>
    <xf numFmtId="165" fontId="0" fillId="0" borderId="2" xfId="19" applyNumberFormat="1" applyFont="1" applyBorder="1" applyAlignment="1">
      <alignment horizontal="center"/>
      <protection/>
    </xf>
    <xf numFmtId="165" fontId="0" fillId="0" borderId="7" xfId="19" applyNumberFormat="1" applyFont="1" applyBorder="1" applyAlignment="1">
      <alignment horizontal="center"/>
      <protection/>
    </xf>
    <xf numFmtId="165" fontId="0" fillId="0" borderId="3" xfId="19" applyNumberFormat="1" applyFont="1" applyBorder="1" applyAlignment="1">
      <alignment horizontal="center"/>
      <protection/>
    </xf>
    <xf numFmtId="165" fontId="0" fillId="0" borderId="4" xfId="19" applyNumberFormat="1" applyFont="1" applyBorder="1" applyAlignment="1">
      <alignment horizontal="center"/>
      <protection/>
    </xf>
    <xf numFmtId="165" fontId="0" fillId="0" borderId="9" xfId="19" applyNumberFormat="1" applyFont="1" applyBorder="1" applyAlignment="1">
      <alignment horizontal="center"/>
      <protection/>
    </xf>
    <xf numFmtId="165" fontId="1" fillId="0" borderId="0" xfId="19" applyNumberFormat="1" applyFont="1">
      <alignment/>
      <protection/>
    </xf>
    <xf numFmtId="165" fontId="1" fillId="0" borderId="0" xfId="19" applyNumberFormat="1" applyFont="1" applyBorder="1" applyAlignment="1">
      <alignment horizontal="center"/>
      <protection/>
    </xf>
    <xf numFmtId="165" fontId="0" fillId="0" borderId="0" xfId="19" applyNumberFormat="1" applyFont="1">
      <alignment/>
      <protection/>
    </xf>
    <xf numFmtId="165" fontId="0" fillId="0" borderId="1" xfId="19" applyNumberFormat="1" applyFont="1" applyBorder="1">
      <alignment/>
      <protection/>
    </xf>
    <xf numFmtId="165" fontId="0" fillId="0" borderId="2" xfId="19" applyNumberFormat="1" applyFont="1" applyBorder="1">
      <alignment/>
      <protection/>
    </xf>
    <xf numFmtId="165" fontId="0" fillId="0" borderId="3" xfId="19" applyNumberFormat="1" applyFont="1" applyBorder="1">
      <alignment/>
      <protection/>
    </xf>
    <xf numFmtId="165" fontId="0" fillId="0" borderId="4" xfId="19" applyNumberFormat="1" applyFont="1" applyBorder="1">
      <alignment/>
      <protection/>
    </xf>
    <xf numFmtId="165" fontId="0" fillId="0" borderId="6" xfId="19" applyNumberFormat="1" applyFont="1" applyBorder="1">
      <alignment/>
      <protection/>
    </xf>
    <xf numFmtId="165" fontId="0" fillId="0" borderId="5" xfId="19" applyNumberFormat="1" applyFont="1" applyBorder="1">
      <alignment/>
      <protection/>
    </xf>
    <xf numFmtId="165" fontId="0" fillId="0" borderId="0" xfId="19" applyNumberFormat="1" applyFont="1" applyBorder="1">
      <alignment/>
      <protection/>
    </xf>
    <xf numFmtId="165" fontId="2" fillId="0" borderId="0" xfId="19" applyNumberFormat="1" applyFont="1">
      <alignment/>
      <protection/>
    </xf>
    <xf numFmtId="176" fontId="0" fillId="0" borderId="2" xfId="19" applyNumberFormat="1" applyFont="1" applyBorder="1" applyAlignment="1">
      <alignment horizontal="center"/>
      <protection/>
    </xf>
    <xf numFmtId="176" fontId="0" fillId="0" borderId="4" xfId="19" applyNumberFormat="1" applyFont="1" applyBorder="1" applyAlignment="1">
      <alignment horizontal="center"/>
      <protection/>
    </xf>
    <xf numFmtId="176" fontId="1" fillId="0" borderId="0" xfId="19" applyNumberFormat="1" applyFont="1" applyBorder="1" applyAlignment="1">
      <alignment horizontal="center"/>
      <protection/>
    </xf>
    <xf numFmtId="176" fontId="0" fillId="0" borderId="0" xfId="19" applyNumberFormat="1" applyFont="1" applyBorder="1" applyAlignment="1">
      <alignment horizontal="center"/>
      <protection/>
    </xf>
    <xf numFmtId="165" fontId="1" fillId="0" borderId="4" xfId="19" applyNumberFormat="1" applyFont="1" applyBorder="1" applyAlignment="1">
      <alignment horizontal="center"/>
      <protection/>
    </xf>
    <xf numFmtId="176" fontId="1" fillId="0" borderId="4" xfId="19" applyNumberFormat="1" applyFont="1" applyBorder="1" applyAlignment="1">
      <alignment horizontal="center"/>
      <protection/>
    </xf>
    <xf numFmtId="165" fontId="1" fillId="0" borderId="9" xfId="19" applyNumberFormat="1" applyFont="1" applyBorder="1" applyAlignment="1">
      <alignment horizontal="center"/>
      <protection/>
    </xf>
    <xf numFmtId="165" fontId="2" fillId="0" borderId="0" xfId="19" applyNumberFormat="1" applyFont="1" applyBorder="1" applyAlignment="1">
      <alignment horizontal="center"/>
      <protection/>
    </xf>
    <xf numFmtId="0" fontId="1" fillId="0" borderId="0" xfId="19" applyFont="1" applyAlignment="1">
      <alignment vertical="top"/>
      <protection/>
    </xf>
    <xf numFmtId="0" fontId="1" fillId="0" borderId="0" xfId="19" applyFont="1" applyAlignment="1">
      <alignment horizontal="left" vertical="top"/>
      <protection/>
    </xf>
    <xf numFmtId="49" fontId="1" fillId="0" borderId="0" xfId="19" applyNumberFormat="1" applyFont="1" applyAlignment="1">
      <alignment wrapText="1"/>
      <protection/>
    </xf>
    <xf numFmtId="0" fontId="0" fillId="0" borderId="0" xfId="19" applyFont="1" applyAlignment="1">
      <alignment vertical="top"/>
      <protection/>
    </xf>
    <xf numFmtId="0" fontId="0" fillId="0" borderId="0" xfId="19" applyFont="1" applyAlignment="1">
      <alignment horizontal="left" vertical="top"/>
      <protection/>
    </xf>
    <xf numFmtId="49" fontId="0" fillId="0" borderId="0" xfId="19" applyNumberFormat="1" applyFont="1" applyAlignment="1">
      <alignment wrapText="1"/>
      <protection/>
    </xf>
    <xf numFmtId="0" fontId="0" fillId="0" borderId="0" xfId="0" applyAlignment="1">
      <alignment horizontal="right"/>
    </xf>
    <xf numFmtId="165" fontId="0" fillId="0" borderId="0" xfId="19" applyNumberFormat="1" applyFont="1" applyBorder="1" applyAlignment="1">
      <alignment horizontal="left"/>
      <protection/>
    </xf>
    <xf numFmtId="165" fontId="1" fillId="0" borderId="8" xfId="19" applyNumberFormat="1" applyFont="1" applyBorder="1" applyAlignment="1">
      <alignment horizontal="center"/>
      <protection/>
    </xf>
    <xf numFmtId="0" fontId="0" fillId="0" borderId="0" xfId="0" applyBorder="1" applyAlignment="1">
      <alignment/>
    </xf>
    <xf numFmtId="167" fontId="1" fillId="0" borderId="1" xfId="19" applyNumberFormat="1" applyFont="1" applyBorder="1" applyAlignment="1">
      <alignment horizontal="center"/>
      <protection/>
    </xf>
    <xf numFmtId="167" fontId="1" fillId="0" borderId="2" xfId="19" applyNumberFormat="1" applyFont="1" applyBorder="1" applyAlignment="1">
      <alignment horizontal="center"/>
      <protection/>
    </xf>
    <xf numFmtId="167" fontId="1" fillId="0" borderId="7" xfId="19" applyNumberFormat="1" applyFont="1" applyBorder="1" applyAlignment="1">
      <alignment horizontal="center"/>
      <protection/>
    </xf>
    <xf numFmtId="167" fontId="1" fillId="0" borderId="0" xfId="19" applyNumberFormat="1" applyFont="1" applyAlignment="1">
      <alignment horizontal="center"/>
      <protection/>
    </xf>
    <xf numFmtId="167" fontId="0" fillId="0" borderId="5" xfId="19" applyNumberFormat="1" applyFont="1" applyBorder="1" applyAlignment="1">
      <alignment horizontal="center"/>
      <protection/>
    </xf>
    <xf numFmtId="167" fontId="0" fillId="0" borderId="0" xfId="19" applyNumberFormat="1" applyFont="1" applyBorder="1" applyAlignment="1">
      <alignment horizontal="center"/>
      <protection/>
    </xf>
    <xf numFmtId="167" fontId="0" fillId="0" borderId="8" xfId="19" applyNumberFormat="1" applyFont="1" applyBorder="1" applyAlignment="1">
      <alignment horizontal="center"/>
      <protection/>
    </xf>
    <xf numFmtId="167" fontId="0" fillId="0" borderId="0" xfId="19" applyNumberFormat="1" applyFont="1" applyAlignment="1">
      <alignment horizontal="center"/>
      <protection/>
    </xf>
    <xf numFmtId="167" fontId="0" fillId="0" borderId="1" xfId="19" applyNumberFormat="1" applyFont="1" applyBorder="1" applyAlignment="1">
      <alignment horizontal="center"/>
      <protection/>
    </xf>
    <xf numFmtId="167" fontId="0" fillId="0" borderId="2" xfId="19" applyNumberFormat="1" applyFont="1" applyBorder="1" applyAlignment="1">
      <alignment horizontal="center"/>
      <protection/>
    </xf>
    <xf numFmtId="167" fontId="0" fillId="0" borderId="7" xfId="19" applyNumberFormat="1" applyFont="1" applyBorder="1" applyAlignment="1">
      <alignment horizontal="center"/>
      <protection/>
    </xf>
    <xf numFmtId="167" fontId="0" fillId="0" borderId="3" xfId="19" applyNumberFormat="1" applyFont="1" applyBorder="1" applyAlignment="1">
      <alignment horizontal="center"/>
      <protection/>
    </xf>
    <xf numFmtId="167" fontId="0" fillId="0" borderId="4" xfId="19" applyNumberFormat="1" applyFont="1" applyBorder="1" applyAlignment="1">
      <alignment horizontal="center"/>
      <protection/>
    </xf>
    <xf numFmtId="167" fontId="0" fillId="0" borderId="9" xfId="19" applyNumberFormat="1" applyFont="1" applyBorder="1" applyAlignment="1">
      <alignment horizontal="center"/>
      <protection/>
    </xf>
    <xf numFmtId="167" fontId="1" fillId="0" borderId="0" xfId="19" applyNumberFormat="1" applyFont="1" applyBorder="1" applyAlignment="1">
      <alignment horizontal="center"/>
      <protection/>
    </xf>
    <xf numFmtId="167" fontId="0" fillId="0" borderId="0" xfId="19" applyNumberFormat="1" applyFont="1">
      <alignment/>
      <protection/>
    </xf>
    <xf numFmtId="164" fontId="0" fillId="0" borderId="0" xfId="19" applyNumberFormat="1" applyFont="1">
      <alignment/>
      <protection/>
    </xf>
    <xf numFmtId="166" fontId="1" fillId="0" borderId="0" xfId="19" applyNumberFormat="1" applyFont="1">
      <alignment/>
      <protection/>
    </xf>
    <xf numFmtId="166" fontId="0" fillId="0" borderId="0" xfId="19" applyNumberFormat="1" applyFont="1">
      <alignment/>
      <protection/>
    </xf>
    <xf numFmtId="165" fontId="0" fillId="0" borderId="0" xfId="19" applyNumberFormat="1" applyFont="1" applyAlignment="1">
      <alignment horizontal="left"/>
      <protection/>
    </xf>
    <xf numFmtId="165" fontId="2" fillId="0" borderId="0" xfId="19" applyNumberFormat="1" applyFont="1" applyAlignment="1">
      <alignment horizontal="left"/>
      <protection/>
    </xf>
    <xf numFmtId="165" fontId="0" fillId="0" borderId="10" xfId="19" applyNumberFormat="1" applyFont="1" applyBorder="1" applyAlignment="1">
      <alignment horizontal="center"/>
      <protection/>
    </xf>
    <xf numFmtId="165" fontId="0" fillId="0" borderId="11" xfId="19" applyNumberFormat="1" applyFont="1" applyBorder="1" applyAlignment="1">
      <alignment horizontal="center"/>
      <protection/>
    </xf>
    <xf numFmtId="165" fontId="0" fillId="0" borderId="12" xfId="19" applyNumberFormat="1" applyFont="1" applyBorder="1" applyAlignment="1">
      <alignment horizontal="center"/>
      <protection/>
    </xf>
    <xf numFmtId="0" fontId="0" fillId="0" borderId="13" xfId="19" applyFont="1" applyBorder="1" applyAlignment="1">
      <alignment horizontal="center"/>
      <protection/>
    </xf>
    <xf numFmtId="0" fontId="2" fillId="0" borderId="0" xfId="19" applyFont="1" applyBorder="1" applyAlignment="1">
      <alignment horizontal="center"/>
      <protection/>
    </xf>
    <xf numFmtId="0" fontId="0" fillId="0" borderId="14" xfId="19" applyFont="1" applyBorder="1">
      <alignment/>
      <protection/>
    </xf>
    <xf numFmtId="0" fontId="0" fillId="0" borderId="13" xfId="19" applyFont="1" applyBorder="1">
      <alignment/>
      <protection/>
    </xf>
    <xf numFmtId="167" fontId="0" fillId="0" borderId="13" xfId="19" applyNumberFormat="1" applyFont="1" applyBorder="1" applyAlignment="1">
      <alignment horizontal="center"/>
      <protection/>
    </xf>
    <xf numFmtId="0" fontId="1" fillId="0" borderId="0" xfId="19" applyNumberFormat="1" applyFont="1" applyBorder="1" applyAlignment="1">
      <alignment horizontal="center"/>
      <protection/>
    </xf>
    <xf numFmtId="0" fontId="1" fillId="0" borderId="0" xfId="19" applyNumberFormat="1" applyFont="1" applyAlignment="1">
      <alignment horizontal="center"/>
      <protection/>
    </xf>
    <xf numFmtId="0" fontId="1" fillId="0" borderId="0" xfId="19" applyNumberFormat="1" applyFont="1" applyBorder="1">
      <alignment/>
      <protection/>
    </xf>
    <xf numFmtId="0" fontId="1" fillId="0" borderId="0" xfId="19" applyNumberFormat="1" applyFont="1">
      <alignment/>
      <protection/>
    </xf>
    <xf numFmtId="167" fontId="0" fillId="0" borderId="14" xfId="19" applyNumberFormat="1" applyFont="1" applyBorder="1" applyAlignment="1">
      <alignment horizontal="center"/>
      <protection/>
    </xf>
    <xf numFmtId="167" fontId="0" fillId="0" borderId="15" xfId="19" applyNumberFormat="1" applyFont="1" applyBorder="1" applyAlignment="1">
      <alignment horizontal="center"/>
      <protection/>
    </xf>
    <xf numFmtId="0" fontId="1" fillId="0" borderId="11" xfId="19" applyFont="1" applyBorder="1">
      <alignment/>
      <protection/>
    </xf>
    <xf numFmtId="0" fontId="0" fillId="0" borderId="10" xfId="19" applyFont="1" applyBorder="1">
      <alignment/>
      <protection/>
    </xf>
    <xf numFmtId="0" fontId="0" fillId="0" borderId="11" xfId="19" applyFont="1" applyBorder="1">
      <alignment/>
      <protection/>
    </xf>
    <xf numFmtId="0" fontId="0" fillId="0" borderId="12" xfId="19" applyFont="1" applyBorder="1">
      <alignment/>
      <protection/>
    </xf>
    <xf numFmtId="0" fontId="6" fillId="0" borderId="0" xfId="19" applyFont="1" applyBorder="1">
      <alignment/>
      <protection/>
    </xf>
    <xf numFmtId="0" fontId="0" fillId="0" borderId="7" xfId="19" applyFont="1" applyBorder="1">
      <alignment/>
      <protection/>
    </xf>
    <xf numFmtId="0" fontId="0" fillId="0" borderId="9" xfId="19" applyFont="1" applyBorder="1">
      <alignment/>
      <protection/>
    </xf>
    <xf numFmtId="0" fontId="0" fillId="0" borderId="8" xfId="19" applyFont="1" applyBorder="1">
      <alignment/>
      <protection/>
    </xf>
    <xf numFmtId="0" fontId="0" fillId="0" borderId="15" xfId="19" applyFont="1" applyBorder="1">
      <alignment/>
      <protection/>
    </xf>
    <xf numFmtId="0" fontId="1" fillId="0" borderId="0" xfId="19" applyFont="1" applyAlignment="1">
      <alignment horizontal="left"/>
      <protection/>
    </xf>
  </cellXfs>
  <cellStyles count="7">
    <cellStyle name="Normal" xfId="0"/>
    <cellStyle name="Comma" xfId="15"/>
    <cellStyle name="Comma [0]" xfId="16"/>
    <cellStyle name="Currency" xfId="17"/>
    <cellStyle name="Currency [0]" xfId="18"/>
    <cellStyle name="Normal_Feuil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31</xdr:row>
      <xdr:rowOff>95250</xdr:rowOff>
    </xdr:from>
    <xdr:to>
      <xdr:col>6</xdr:col>
      <xdr:colOff>323850</xdr:colOff>
      <xdr:row>63</xdr:row>
      <xdr:rowOff>152400</xdr:rowOff>
    </xdr:to>
    <xdr:sp>
      <xdr:nvSpPr>
        <xdr:cNvPr id="1" name="TextBox 1"/>
        <xdr:cNvSpPr txBox="1">
          <a:spLocks noChangeArrowheads="1"/>
        </xdr:cNvSpPr>
      </xdr:nvSpPr>
      <xdr:spPr>
        <a:xfrm>
          <a:off x="581025" y="5114925"/>
          <a:ext cx="3857625" cy="523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Contents:
</a:t>
          </a:r>
          <a:r>
            <a:rPr lang="en-US" cap="none" sz="1000" b="0" i="0" u="none" baseline="0">
              <a:latin typeface="Times New Roman"/>
              <a:ea typeface="Times New Roman"/>
              <a:cs typeface="Times New Roman"/>
            </a:rPr>
            <a:t>
The file contains the following spreadsheets:
</a:t>
          </a:r>
          <a:r>
            <a:rPr lang="en-US" cap="none" sz="1000" b="1" i="0" u="none" baseline="0">
              <a:latin typeface="Times New Roman"/>
              <a:ea typeface="Times New Roman"/>
              <a:cs typeface="Times New Roman"/>
            </a:rPr>
            <a:t>Introduction:</a:t>
          </a:r>
          <a:r>
            <a:rPr lang="en-US" cap="none" sz="1000" b="0" i="0" u="none" baseline="0">
              <a:latin typeface="Times New Roman"/>
              <a:ea typeface="Times New Roman"/>
              <a:cs typeface="Times New Roman"/>
            </a:rPr>
            <a:t> This sheet.
</a:t>
          </a:r>
          <a:r>
            <a:rPr lang="en-US" cap="none" sz="1000" b="1" i="0" u="none" baseline="0">
              <a:latin typeface="Times New Roman"/>
              <a:ea typeface="Times New Roman"/>
              <a:cs typeface="Times New Roman"/>
            </a:rPr>
            <a:t>History: </a:t>
          </a:r>
          <a:r>
            <a:rPr lang="en-US" cap="none" sz="1000" b="0" i="0" u="none" baseline="0">
              <a:latin typeface="Times New Roman"/>
              <a:ea typeface="Times New Roman"/>
              <a:cs typeface="Times New Roman"/>
            </a:rPr>
            <a:t>Evolution history of the file
</a:t>
          </a: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Variables:</a:t>
          </a:r>
          <a:r>
            <a:rPr lang="en-US" cap="none" sz="1000" b="0" i="0" u="none" baseline="0">
              <a:latin typeface="Times New Roman"/>
              <a:ea typeface="Times New Roman"/>
              <a:cs typeface="Times New Roman"/>
            </a:rPr>
            <a:t> List of variables
</a:t>
          </a:r>
          <a:r>
            <a:rPr lang="en-US" cap="none" sz="1000" b="0" i="1" u="none" baseline="0">
              <a:latin typeface="Times New Roman"/>
              <a:ea typeface="Times New Roman"/>
              <a:cs typeface="Times New Roman"/>
            </a:rPr>
            <a:t>Final results:</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GutRayImpacts: </a:t>
          </a:r>
          <a:r>
            <a:rPr lang="en-US" cap="none" sz="1000" b="0" i="0" u="none" baseline="0">
              <a:latin typeface="Times New Roman"/>
              <a:ea typeface="Times New Roman"/>
              <a:cs typeface="Times New Roman"/>
            </a:rPr>
            <a:t>Coordinates of gut ray impacts on each surface
</a:t>
          </a:r>
          <a:r>
            <a:rPr lang="en-US" cap="none" sz="1000" b="1" i="0" u="none" baseline="0">
              <a:latin typeface="Times New Roman"/>
              <a:ea typeface="Times New Roman"/>
              <a:cs typeface="Times New Roman"/>
            </a:rPr>
            <a:t>Interfaces:</a:t>
          </a:r>
          <a:r>
            <a:rPr lang="en-US" cap="none" sz="1000" b="0" i="0" u="none" baseline="0">
              <a:latin typeface="Times New Roman"/>
              <a:ea typeface="Times New Roman"/>
              <a:cs typeface="Times New Roman"/>
            </a:rPr>
            <a:t> Coordinates defining mirror interfaces in global coordinates</a:t>
          </a:r>
          <a:r>
            <a:rPr lang="en-US" cap="none" sz="1000" b="1" i="0" u="none" baseline="0">
              <a:latin typeface="Times New Roman"/>
              <a:ea typeface="Times New Roman"/>
              <a:cs typeface="Times New Roman"/>
            </a:rPr>
            <a:t>
SurfDef:</a:t>
          </a:r>
          <a:r>
            <a:rPr lang="en-US" cap="none" sz="1000" b="0" i="0" u="none" baseline="0">
              <a:latin typeface="Times New Roman"/>
              <a:ea typeface="Times New Roman"/>
              <a:cs typeface="Times New Roman"/>
            </a:rPr>
            <a:t> Coordinztes defining mirror interfaces in local coordinates
</a:t>
          </a:r>
          <a:r>
            <a:rPr lang="en-US" cap="none" sz="1000" b="0" i="1" u="none" baseline="0">
              <a:latin typeface="Times New Roman"/>
              <a:ea typeface="Times New Roman"/>
              <a:cs typeface="Times New Roman"/>
            </a:rPr>
            <a:t>Intermediate calculations:</a:t>
          </a:r>
          <a:r>
            <a:rPr lang="en-US" cap="none" sz="1000" b="1" i="0" u="none" baseline="0">
              <a:latin typeface="Times New Roman"/>
              <a:ea typeface="Times New Roman"/>
              <a:cs typeface="Times New Roman"/>
            </a:rPr>
            <a:t>
GutCalc:</a:t>
          </a:r>
          <a:r>
            <a:rPr lang="en-US" cap="none" sz="1000" b="0" i="0" u="none" baseline="0">
              <a:latin typeface="Times New Roman"/>
              <a:ea typeface="Times New Roman"/>
              <a:cs typeface="Times New Roman"/>
            </a:rPr>
            <a:t> Calculating surface normal vectors at gut ray impacts</a:t>
          </a:r>
          <a:r>
            <a:rPr lang="en-US" cap="none" sz="1000" b="1" i="0" u="none" baseline="0">
              <a:latin typeface="Times New Roman"/>
              <a:ea typeface="Times New Roman"/>
              <a:cs typeface="Times New Roman"/>
            </a:rPr>
            <a:t>
M3CentCalc: </a:t>
          </a:r>
          <a:r>
            <a:rPr lang="en-US" cap="none" sz="1000" b="0" i="0" u="none" baseline="0">
              <a:latin typeface="Times New Roman"/>
              <a:ea typeface="Times New Roman"/>
              <a:cs typeface="Times New Roman"/>
            </a:rPr>
            <a:t>Calculating surface normal vectors at centre of M3</a:t>
          </a:r>
          <a:r>
            <a:rPr lang="en-US" cap="none" sz="1000" b="1" i="0" u="none" baseline="0">
              <a:latin typeface="Times New Roman"/>
              <a:ea typeface="Times New Roman"/>
              <a:cs typeface="Times New Roman"/>
            </a:rPr>
            <a:t>
M5CentCalc: </a:t>
          </a:r>
          <a:r>
            <a:rPr lang="en-US" cap="none" sz="1000" b="0" i="0" u="none" baseline="0">
              <a:latin typeface="Times New Roman"/>
              <a:ea typeface="Times New Roman"/>
              <a:cs typeface="Times New Roman"/>
            </a:rPr>
            <a:t>Calculating surface normal vectors at centre of M5</a:t>
          </a:r>
          <a:r>
            <a:rPr lang="en-US" cap="none" sz="1000" b="1" i="0" u="none" baseline="0">
              <a:latin typeface="Times New Roman"/>
              <a:ea typeface="Times New Roman"/>
              <a:cs typeface="Times New Roman"/>
            </a:rPr>
            <a:t>
VertexCalc: </a:t>
          </a:r>
          <a:r>
            <a:rPr lang="en-US" cap="none" sz="1000" b="0" i="0" u="none" baseline="0">
              <a:latin typeface="Times New Roman"/>
              <a:ea typeface="Times New Roman"/>
              <a:cs typeface="Times New Roman"/>
            </a:rPr>
            <a:t>Transform vertex data into instrument coordinates</a:t>
          </a:r>
          <a:r>
            <a:rPr lang="en-US" cap="none" sz="1000" b="1" i="0" u="none" baseline="0">
              <a:latin typeface="Times New Roman"/>
              <a:ea typeface="Times New Roman"/>
              <a:cs typeface="Times New Roman"/>
            </a:rPr>
            <a:t>
VerticesSyno: </a:t>
          </a:r>
          <a:r>
            <a:rPr lang="en-US" cap="none" sz="1000" b="0" i="0" u="none" baseline="0">
              <a:latin typeface="Times New Roman"/>
              <a:ea typeface="Times New Roman"/>
              <a:cs typeface="Times New Roman"/>
            </a:rPr>
            <a:t>Read vertex data from SYNO output and calculate local axes</a:t>
          </a:r>
          <a:r>
            <a:rPr lang="en-US" cap="none" sz="1000" b="1" i="0" u="none" baseline="0">
              <a:latin typeface="Times New Roman"/>
              <a:ea typeface="Times New Roman"/>
              <a:cs typeface="Times New Roman"/>
            </a:rPr>
            <a:t>
RayImpacts: </a:t>
          </a:r>
          <a:r>
            <a:rPr lang="en-US" cap="none" sz="1000" b="0" i="0" u="none" baseline="0">
              <a:latin typeface="Times New Roman"/>
              <a:ea typeface="Times New Roman"/>
              <a:cs typeface="Times New Roman"/>
            </a:rPr>
            <a:t>Transform ray impact data into instrument coordinates</a:t>
          </a:r>
          <a:r>
            <a:rPr lang="en-US" cap="none" sz="1000" b="1" i="0" u="none" baseline="0">
              <a:latin typeface="Times New Roman"/>
              <a:ea typeface="Times New Roman"/>
              <a:cs typeface="Times New Roman"/>
            </a:rPr>
            <a:t>
RayImpactsSyno:</a:t>
          </a:r>
          <a:r>
            <a:rPr lang="en-US" cap="none" sz="1000" b="0" i="0" u="none" baseline="0">
              <a:latin typeface="Times New Roman"/>
              <a:ea typeface="Times New Roman"/>
              <a:cs typeface="Times New Roman"/>
            </a:rPr>
            <a:t> Read ray impact data from SYNO output
</a:t>
          </a:r>
          <a:r>
            <a:rPr lang="en-US" cap="none" sz="1000" b="0" i="1" u="none" baseline="0">
              <a:latin typeface="Times New Roman"/>
              <a:ea typeface="Times New Roman"/>
              <a:cs typeface="Times New Roman"/>
            </a:rPr>
            <a:t>SYNOPSYS outputs:
- Listing of surface data and Euler angles in global coordinates</a:t>
          </a:r>
          <a:r>
            <a:rPr lang="en-US" cap="none" sz="1000" b="1" i="0" u="none" baseline="0">
              <a:latin typeface="Times New Roman"/>
              <a:ea typeface="Times New Roman"/>
              <a:cs typeface="Times New Roman"/>
            </a:rPr>
            <a:t>
PhotGlob: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SpecUpGlob:</a:t>
          </a:r>
          <a:r>
            <a:rPr lang="en-US" cap="none" sz="1000" b="0" i="0" u="none" baseline="0">
              <a:latin typeface="Times New Roman"/>
              <a:ea typeface="Times New Roman"/>
              <a:cs typeface="Times New Roman"/>
            </a:rPr>
            <a:t> Spectrometer upper arm
</a:t>
          </a:r>
          <a:r>
            <a:rPr lang="en-US" cap="none" sz="1000" b="1" i="0" u="none" baseline="0">
              <a:latin typeface="Times New Roman"/>
              <a:ea typeface="Times New Roman"/>
              <a:cs typeface="Times New Roman"/>
            </a:rPr>
            <a:t>SpecLoGlob:</a:t>
          </a:r>
          <a:r>
            <a:rPr lang="en-US" cap="none" sz="1000" b="0" i="0" u="none" baseline="0">
              <a:latin typeface="Times New Roman"/>
              <a:ea typeface="Times New Roman"/>
              <a:cs typeface="Times New Roman"/>
            </a:rPr>
            <a:t> Spectrometer lower arm
</a:t>
          </a:r>
          <a:r>
            <a:rPr lang="en-US" cap="none" sz="1000" b="0" i="1" u="none" baseline="0">
              <a:latin typeface="Times New Roman"/>
              <a:ea typeface="Times New Roman"/>
              <a:cs typeface="Times New Roman"/>
            </a:rPr>
            <a:t>- Gut ray impacts in global coordinates</a:t>
          </a:r>
          <a:r>
            <a:rPr lang="en-US" cap="none" sz="1000" b="1" i="1" u="none" baseline="0">
              <a:latin typeface="Times New Roman"/>
              <a:ea typeface="Times New Roman"/>
              <a:cs typeface="Times New Roman"/>
            </a:rPr>
            <a:t>
</a:t>
          </a:r>
          <a:r>
            <a:rPr lang="en-US" cap="none" sz="1000" b="1" i="0" u="none" baseline="0">
              <a:latin typeface="Times New Roman"/>
              <a:ea typeface="Times New Roman"/>
              <a:cs typeface="Times New Roman"/>
            </a:rPr>
            <a:t>PhotGutRay: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SpecUpGutRay:</a:t>
          </a:r>
          <a:r>
            <a:rPr lang="en-US" cap="none" sz="1000" b="0" i="0" u="none" baseline="0">
              <a:latin typeface="Times New Roman"/>
              <a:ea typeface="Times New Roman"/>
              <a:cs typeface="Times New Roman"/>
            </a:rPr>
            <a:t> Spectrometer upper arm</a:t>
          </a:r>
          <a:r>
            <a:rPr lang="en-US" cap="none" sz="1000" b="1" i="0" u="none" baseline="0">
              <a:latin typeface="Times New Roman"/>
              <a:ea typeface="Times New Roman"/>
              <a:cs typeface="Times New Roman"/>
            </a:rPr>
            <a:t>
SpecLoGutRay: </a:t>
          </a:r>
          <a:r>
            <a:rPr lang="en-US" cap="none" sz="1000" b="0" i="0" u="none" baseline="0">
              <a:latin typeface="Times New Roman"/>
              <a:ea typeface="Times New Roman"/>
              <a:cs typeface="Times New Roman"/>
            </a:rPr>
            <a:t>Spectrometer lower arm
</a:t>
          </a:r>
          <a:r>
            <a:rPr lang="en-US" cap="none" sz="1000" b="0" i="1" u="none" baseline="0">
              <a:latin typeface="Times New Roman"/>
              <a:ea typeface="Times New Roman"/>
              <a:cs typeface="Times New Roman"/>
            </a:rPr>
            <a:t>- Other</a:t>
          </a:r>
          <a:r>
            <a:rPr lang="en-US" cap="none" sz="1000" b="1" i="0" u="none" baseline="0">
              <a:latin typeface="Times New Roman"/>
              <a:ea typeface="Times New Roman"/>
              <a:cs typeface="Times New Roman"/>
            </a:rPr>
            <a:t>
M3CentRay:</a:t>
          </a:r>
          <a:r>
            <a:rPr lang="en-US" cap="none" sz="1000" b="0" i="0" u="none" baseline="0">
              <a:latin typeface="Times New Roman"/>
              <a:ea typeface="Times New Roman"/>
              <a:cs typeface="Times New Roman"/>
            </a:rPr>
            <a:t> Ray impacts for ray centred on M3 in global coordinates</a:t>
          </a:r>
          <a:r>
            <a:rPr lang="en-US" cap="none" sz="1000" b="1" i="0" u="none" baseline="0">
              <a:latin typeface="Times New Roman"/>
              <a:ea typeface="Times New Roman"/>
              <a:cs typeface="Times New Roman"/>
            </a:rPr>
            <a:t>
M5CentRay:</a:t>
          </a:r>
          <a:r>
            <a:rPr lang="en-US" cap="none" sz="1000" b="0" i="0" u="none" baseline="0">
              <a:latin typeface="Times New Roman"/>
              <a:ea typeface="Times New Roman"/>
              <a:cs typeface="Times New Roman"/>
            </a:rPr>
            <a:t> Ray impacts for ray centred on M5 in global coordinates</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0</xdr:row>
      <xdr:rowOff>104775</xdr:rowOff>
    </xdr:from>
    <xdr:to>
      <xdr:col>6</xdr:col>
      <xdr:colOff>38100</xdr:colOff>
      <xdr:row>5</xdr:row>
      <xdr:rowOff>47625</xdr:rowOff>
    </xdr:to>
    <xdr:sp>
      <xdr:nvSpPr>
        <xdr:cNvPr id="2" name="TextBox 2"/>
        <xdr:cNvSpPr txBox="1">
          <a:spLocks noChangeArrowheads="1"/>
        </xdr:cNvSpPr>
      </xdr:nvSpPr>
      <xdr:spPr>
        <a:xfrm>
          <a:off x="752475" y="104775"/>
          <a:ext cx="3400425"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FIRST - SPIRE 
Optical design configuration control file
PHOTOMETER and SPECTROMETER
</a:t>
          </a:r>
        </a:p>
      </xdr:txBody>
    </xdr:sp>
    <xdr:clientData/>
  </xdr:twoCellAnchor>
  <xdr:twoCellAnchor>
    <xdr:from>
      <xdr:col>1</xdr:col>
      <xdr:colOff>76200</xdr:colOff>
      <xdr:row>5</xdr:row>
      <xdr:rowOff>76200</xdr:rowOff>
    </xdr:from>
    <xdr:to>
      <xdr:col>6</xdr:col>
      <xdr:colOff>133350</xdr:colOff>
      <xdr:row>7</xdr:row>
      <xdr:rowOff>104775</xdr:rowOff>
    </xdr:to>
    <xdr:sp>
      <xdr:nvSpPr>
        <xdr:cNvPr id="3" name="TextBox 3"/>
        <xdr:cNvSpPr txBox="1">
          <a:spLocks noChangeArrowheads="1"/>
        </xdr:cNvSpPr>
      </xdr:nvSpPr>
      <xdr:spPr>
        <a:xfrm>
          <a:off x="762000" y="885825"/>
          <a:ext cx="34861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SPIREconfig31
Date: 20 July 2001</a:t>
          </a:r>
        </a:p>
      </xdr:txBody>
    </xdr:sp>
    <xdr:clientData/>
  </xdr:twoCellAnchor>
  <xdr:twoCellAnchor>
    <xdr:from>
      <xdr:col>0</xdr:col>
      <xdr:colOff>476250</xdr:colOff>
      <xdr:row>14</xdr:row>
      <xdr:rowOff>152400</xdr:rowOff>
    </xdr:from>
    <xdr:to>
      <xdr:col>6</xdr:col>
      <xdr:colOff>304800</xdr:colOff>
      <xdr:row>25</xdr:row>
      <xdr:rowOff>104775</xdr:rowOff>
    </xdr:to>
    <xdr:sp>
      <xdr:nvSpPr>
        <xdr:cNvPr id="4" name="TextBox 4"/>
        <xdr:cNvSpPr txBox="1">
          <a:spLocks noChangeArrowheads="1"/>
        </xdr:cNvSpPr>
      </xdr:nvSpPr>
      <xdr:spPr>
        <a:xfrm>
          <a:off x="476250" y="2419350"/>
          <a:ext cx="394335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configuration control file takes data generated by the SYNOPSYS raytracing program and calculates data concerning:
- Gut ray impacts on the optical surfaces
- Interface points for each mirror in the instrument coordinate system
- Interface points in the local surface coordinates
It also transforms the left handed system used by SYNOPSYS into a right handed one and transforms the labels of the axis to be compatible with the instrument standard: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0</xdr:rowOff>
    </xdr:from>
    <xdr:to>
      <xdr:col>6</xdr:col>
      <xdr:colOff>609600</xdr:colOff>
      <xdr:row>59</xdr:row>
      <xdr:rowOff>28575</xdr:rowOff>
    </xdr:to>
    <xdr:sp>
      <xdr:nvSpPr>
        <xdr:cNvPr id="1" name="TextBox 1"/>
        <xdr:cNvSpPr txBox="1">
          <a:spLocks noChangeArrowheads="1"/>
        </xdr:cNvSpPr>
      </xdr:nvSpPr>
      <xdr:spPr>
        <a:xfrm>
          <a:off x="76200" y="8420100"/>
          <a:ext cx="46482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2. Surface normal vectors from ray impact data
---------------------------------------------------------------
</a:t>
          </a:r>
          <a:r>
            <a:rPr lang="en-US" cap="none" sz="1000" b="0" i="0" u="none" baseline="0">
              <a:latin typeface="Times New Roman"/>
              <a:ea typeface="Times New Roman"/>
              <a:cs typeface="Times New Roman"/>
            </a:rPr>
            <a:t>For CM3 and CM5 (see sec 3), interface data are calculated from ray impact data. These are provided by raytracing outputs in mm with 6 significant decimals. With around 100 path length between impact points, this gives an angular precision of around 1e-6 deg.</a:t>
          </a:r>
          <a:r>
            <a:rPr lang="en-US" cap="none" sz="1000" b="0" i="1" u="none" baseline="0">
              <a:latin typeface="Times New Roman"/>
              <a:ea typeface="Times New Roman"/>
              <a:cs typeface="Times New Roman"/>
            </a:rPr>
            <a:t>
</a:t>
          </a:r>
          <a:r>
            <a:rPr lang="en-US" cap="none" sz="1000" b="0" i="0" u="none" baseline="0">
              <a:latin typeface="Times New Roman"/>
              <a:ea typeface="Times New Roman"/>
              <a:cs typeface="Times New Roman"/>
            </a:rPr>
            <a:t>For each component (i) the direction cosines of the exiting ray vector is calculated by normalizing the difference between ray impact coordinates on surfaces i and i+1:
</a:t>
          </a:r>
        </a:p>
      </xdr:txBody>
    </xdr:sp>
    <xdr:clientData/>
  </xdr:twoCellAnchor>
  <xdr:twoCellAnchor>
    <xdr:from>
      <xdr:col>0</xdr:col>
      <xdr:colOff>133350</xdr:colOff>
      <xdr:row>10</xdr:row>
      <xdr:rowOff>57150</xdr:rowOff>
    </xdr:from>
    <xdr:to>
      <xdr:col>6</xdr:col>
      <xdr:colOff>561975</xdr:colOff>
      <xdr:row>22</xdr:row>
      <xdr:rowOff>133350</xdr:rowOff>
    </xdr:to>
    <xdr:sp>
      <xdr:nvSpPr>
        <xdr:cNvPr id="2" name="TextBox 2"/>
        <xdr:cNvSpPr txBox="1">
          <a:spLocks noChangeArrowheads="1"/>
        </xdr:cNvSpPr>
      </xdr:nvSpPr>
      <xdr:spPr>
        <a:xfrm>
          <a:off x="133350" y="1676400"/>
          <a:ext cx="45434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1. Surface orientation from Euler angles</a:t>
          </a:r>
          <a:r>
            <a:rPr lang="en-US" cap="none" sz="1000" b="0" i="0" u="none" baseline="0">
              <a:latin typeface="Times New Roman"/>
              <a:ea typeface="Times New Roman"/>
              <a:cs typeface="Times New Roman"/>
            </a:rPr>
            <a:t>
-------------------------------------------------------
The listing of surface data in global coordinates give coordinates for each surface vertex and the Euler angles (in degrees with 5 significant decimals, ie a precision of 1e-5 deg) defining the orientation of the surface in space. These are used to calculate interface data for all mirrors except CM3 and CM5, see sec. 2 and 3.
The global coordinate system  used by SYNOPSYS is left-handed and has its origin at the telescope focal point, ie 202mm above the SPIRE origin. The Z-axis is along the telescope axis, pointing away from the telescope, the Y-axis is in the plane of the photometer, pointing towards PAX, the X-axis is perpendicular to the plane of the photometer, pointing towards the spectrometer, see table.
</a:t>
          </a:r>
        </a:p>
      </xdr:txBody>
    </xdr:sp>
    <xdr:clientData/>
  </xdr:twoCellAnchor>
  <xdr:twoCellAnchor>
    <xdr:from>
      <xdr:col>0</xdr:col>
      <xdr:colOff>161925</xdr:colOff>
      <xdr:row>27</xdr:row>
      <xdr:rowOff>28575</xdr:rowOff>
    </xdr:from>
    <xdr:to>
      <xdr:col>6</xdr:col>
      <xdr:colOff>581025</xdr:colOff>
      <xdr:row>35</xdr:row>
      <xdr:rowOff>104775</xdr:rowOff>
    </xdr:to>
    <xdr:sp>
      <xdr:nvSpPr>
        <xdr:cNvPr id="3" name="TextBox 3"/>
        <xdr:cNvSpPr txBox="1">
          <a:spLocks noChangeArrowheads="1"/>
        </xdr:cNvSpPr>
      </xdr:nvSpPr>
      <xdr:spPr>
        <a:xfrm>
          <a:off x="161925" y="4400550"/>
          <a:ext cx="4533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Euler angles aEuler, bEuler, cEuler represent consequtive rotations about the X, Y, and Z axes, respectively, in a counter-clockwise direction. The resulting coordinate system representing local surface coordinates are named Sag, Tang, and Norm, respectively. Norm is along the surface axis, Tan is in general in the plane of the system and Sag is in general pointing towards the optical bench. For centred surfaces, Norm defines the spigot axis and Sag defines the dowl location.
The local axes are produced by the following:
</a:t>
          </a:r>
        </a:p>
      </xdr:txBody>
    </xdr:sp>
    <xdr:clientData/>
  </xdr:twoCellAnchor>
  <xdr:twoCellAnchor>
    <xdr:from>
      <xdr:col>0</xdr:col>
      <xdr:colOff>161925</xdr:colOff>
      <xdr:row>69</xdr:row>
      <xdr:rowOff>19050</xdr:rowOff>
    </xdr:from>
    <xdr:to>
      <xdr:col>5</xdr:col>
      <xdr:colOff>657225</xdr:colOff>
      <xdr:row>95</xdr:row>
      <xdr:rowOff>76200</xdr:rowOff>
    </xdr:to>
    <xdr:sp>
      <xdr:nvSpPr>
        <xdr:cNvPr id="4" name="TextBox 7"/>
        <xdr:cNvSpPr txBox="1">
          <a:spLocks noChangeArrowheads="1"/>
        </xdr:cNvSpPr>
      </xdr:nvSpPr>
      <xdr:spPr>
        <a:xfrm>
          <a:off x="161925" y="11191875"/>
          <a:ext cx="3924300" cy="426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3. Surface sagittal vectors</a:t>
          </a:r>
          <a:r>
            <a:rPr lang="en-US" cap="none" sz="1000" b="0" i="0" u="none" baseline="0">
              <a:latin typeface="Times New Roman"/>
              <a:ea typeface="Times New Roman"/>
              <a:cs typeface="Times New Roman"/>
            </a:rPr>
            <a:t>
-----------------------------------
For centred surfaces, the spigot axis intercepts the optical surface at the surface vertec point, which is also coincident with the gut ray impact point. Two surfaces are not of this type:
</a:t>
          </a:r>
          <a:r>
            <a:rPr lang="en-US" cap="none" sz="1000" b="1" i="0" u="none" baseline="0">
              <a:latin typeface="Times New Roman"/>
              <a:ea typeface="Times New Roman"/>
              <a:cs typeface="Times New Roman"/>
            </a:rPr>
            <a:t>CM3: </a:t>
          </a:r>
          <a:r>
            <a:rPr lang="en-US" cap="none" sz="1000" b="0" i="0" u="none" baseline="0">
              <a:latin typeface="Times New Roman"/>
              <a:ea typeface="Times New Roman"/>
              <a:cs typeface="Times New Roman"/>
            </a:rPr>
            <a:t>This mirror is an off-axis asphere, ie its surface vertex does not coincide with the gut ray impact point. Also, since the mirror is common for photometer and spectrometer, its aperture is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CM5: </a:t>
          </a:r>
          <a:r>
            <a:rPr lang="en-US" cap="none" sz="1000" b="0" i="0" u="none" baseline="0">
              <a:latin typeface="Times New Roman"/>
              <a:ea typeface="Times New Roman"/>
              <a:cs typeface="Times New Roman"/>
            </a:rPr>
            <a:t>This mirror is common for photometer and spectrometer, its aperture is therefore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For each of these surfaces a separate ray is traced for which the sky coordinates are chosen so as to impact the mirror surface at the spigot axis interception point. Local normal vectors are calculated as above and used to define the spigot vectors for these mirrors.
The local Sag vector (required to define the dowl position) is calculated by rotating the Sag vector at the vertex through an angle Theta in the X-Y plane:
</a:t>
          </a:r>
        </a:p>
      </xdr:txBody>
    </xdr:sp>
    <xdr:clientData/>
  </xdr:twoCellAnchor>
  <xdr:twoCellAnchor>
    <xdr:from>
      <xdr:col>0</xdr:col>
      <xdr:colOff>95250</xdr:colOff>
      <xdr:row>63</xdr:row>
      <xdr:rowOff>9525</xdr:rowOff>
    </xdr:from>
    <xdr:to>
      <xdr:col>6</xdr:col>
      <xdr:colOff>638175</xdr:colOff>
      <xdr:row>65</xdr:row>
      <xdr:rowOff>66675</xdr:rowOff>
    </xdr:to>
    <xdr:sp>
      <xdr:nvSpPr>
        <xdr:cNvPr id="5" name="TextBox 8"/>
        <xdr:cNvSpPr txBox="1">
          <a:spLocks noChangeArrowheads="1"/>
        </xdr:cNvSpPr>
      </xdr:nvSpPr>
      <xdr:spPr>
        <a:xfrm>
          <a:off x="95250" y="10210800"/>
          <a:ext cx="46577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reflecting surfaces, the local normal is obtained as the normalized difference between incident and reflected rays:</a:t>
          </a:r>
        </a:p>
      </xdr:txBody>
    </xdr:sp>
    <xdr:clientData/>
  </xdr:twoCellAnchor>
  <xdr:twoCellAnchor>
    <xdr:from>
      <xdr:col>0</xdr:col>
      <xdr:colOff>161925</xdr:colOff>
      <xdr:row>99</xdr:row>
      <xdr:rowOff>47625</xdr:rowOff>
    </xdr:from>
    <xdr:to>
      <xdr:col>5</xdr:col>
      <xdr:colOff>647700</xdr:colOff>
      <xdr:row>101</xdr:row>
      <xdr:rowOff>85725</xdr:rowOff>
    </xdr:to>
    <xdr:sp>
      <xdr:nvSpPr>
        <xdr:cNvPr id="6" name="TextBox 10"/>
        <xdr:cNvSpPr txBox="1">
          <a:spLocks noChangeArrowheads="1"/>
        </xdr:cNvSpPr>
      </xdr:nvSpPr>
      <xdr:spPr>
        <a:xfrm>
          <a:off x="161925" y="16078200"/>
          <a:ext cx="3914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Theta is the angle between the projections onto the X-Y plane of the spigot vector and the vertex normal vector:</a:t>
          </a:r>
        </a:p>
      </xdr:txBody>
    </xdr:sp>
    <xdr:clientData/>
  </xdr:twoCellAnchor>
  <xdr:twoCellAnchor>
    <xdr:from>
      <xdr:col>0</xdr:col>
      <xdr:colOff>180975</xdr:colOff>
      <xdr:row>105</xdr:row>
      <xdr:rowOff>66675</xdr:rowOff>
    </xdr:from>
    <xdr:to>
      <xdr:col>5</xdr:col>
      <xdr:colOff>666750</xdr:colOff>
      <xdr:row>106</xdr:row>
      <xdr:rowOff>114300</xdr:rowOff>
    </xdr:to>
    <xdr:sp>
      <xdr:nvSpPr>
        <xdr:cNvPr id="7" name="TextBox 11"/>
        <xdr:cNvSpPr txBox="1">
          <a:spLocks noChangeArrowheads="1"/>
        </xdr:cNvSpPr>
      </xdr:nvSpPr>
      <xdr:spPr>
        <a:xfrm>
          <a:off x="180975" y="17068800"/>
          <a:ext cx="39147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where the SIGNE function provides the correct sign of Theta.</a:t>
          </a:r>
        </a:p>
      </xdr:txBody>
    </xdr:sp>
    <xdr:clientData/>
  </xdr:twoCellAnchor>
  <xdr:twoCellAnchor>
    <xdr:from>
      <xdr:col>0</xdr:col>
      <xdr:colOff>133350</xdr:colOff>
      <xdr:row>0</xdr:row>
      <xdr:rowOff>85725</xdr:rowOff>
    </xdr:from>
    <xdr:to>
      <xdr:col>6</xdr:col>
      <xdr:colOff>590550</xdr:colOff>
      <xdr:row>10</xdr:row>
      <xdr:rowOff>38100</xdr:rowOff>
    </xdr:to>
    <xdr:sp>
      <xdr:nvSpPr>
        <xdr:cNvPr id="8" name="TextBox 12"/>
        <xdr:cNvSpPr txBox="1">
          <a:spLocks noChangeArrowheads="1"/>
        </xdr:cNvSpPr>
      </xdr:nvSpPr>
      <xdr:spPr>
        <a:xfrm>
          <a:off x="133350" y="85725"/>
          <a:ext cx="45720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0" i="1" u="none" baseline="0">
              <a:latin typeface="Times New Roman"/>
              <a:ea typeface="Times New Roman"/>
              <a:cs typeface="Times New Roman"/>
            </a:rPr>
            <a:t>Contents</a:t>
          </a:r>
          <a:r>
            <a:rPr lang="en-US" cap="none" sz="1000" b="0" i="0" u="none" baseline="0">
              <a:latin typeface="Times New Roman"/>
              <a:ea typeface="Times New Roman"/>
              <a:cs typeface="Times New Roman"/>
            </a:rPr>
            <a:t>
------------
1. Surface orientation from Euler angles
2. Surface normal vectors from ray impact data
3. Surface sagittal vectors
4. Interface data in global coordinates
5. Interface data in local coordinates</a:t>
          </a:r>
        </a:p>
      </xdr:txBody>
    </xdr:sp>
    <xdr:clientData/>
  </xdr:twoCellAnchor>
  <xdr:twoCellAnchor>
    <xdr:from>
      <xdr:col>0</xdr:col>
      <xdr:colOff>190500</xdr:colOff>
      <xdr:row>108</xdr:row>
      <xdr:rowOff>85725</xdr:rowOff>
    </xdr:from>
    <xdr:to>
      <xdr:col>5</xdr:col>
      <xdr:colOff>657225</xdr:colOff>
      <xdr:row>133</xdr:row>
      <xdr:rowOff>76200</xdr:rowOff>
    </xdr:to>
    <xdr:sp>
      <xdr:nvSpPr>
        <xdr:cNvPr id="9" name="TextBox 13"/>
        <xdr:cNvSpPr txBox="1">
          <a:spLocks noChangeArrowheads="1"/>
        </xdr:cNvSpPr>
      </xdr:nvSpPr>
      <xdr:spPr>
        <a:xfrm>
          <a:off x="190500" y="17573625"/>
          <a:ext cx="38957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4 Interface data in global coordinates (Interfa&amp;ces)
---------------------------------------------------
</a:t>
          </a:r>
          <a:r>
            <a:rPr lang="en-US" cap="none" sz="1000" b="0" i="0" u="none" baseline="0">
              <a:latin typeface="Times New Roman"/>
              <a:ea typeface="Times New Roman"/>
              <a:cs typeface="Times New Roman"/>
            </a:rPr>
            <a:t>For each mirror, the following are given in the global instrument coordinate system:
(Xmirr, Ymirr, Zmirr): coordinates of the intersection point between the spigot axis and the optical surface
(Xnorm, Ynorm, Znorm): direction cosines of the surface normal, pointing away from the optical surface. This is parallel with the spigot axis.
(Xspig, Yspig, Zspig): coordinates of the intersection between the spigot axis and the interface plane:
                        (XYZ)spig = (XYZ)mirr + ThMirr*(XYZ)norm
where ThMirr is a negative number giving the thickness of the mirror.
(Xsag, Ysag, Zsag): direction cosines of the surface sag vector along which the dowl is located. The sag vector always has a positive y co-ordinate.
(Xdowl, Ydowl, Zdowl): coordinates of the intersection between the dowl axis (parallel with the spigot axis) and the interface plane
                  (XYZ)dowl= (XYZ)spig + DowlDir*DowlSep*(XYZ)sag
where DowlDir = +-1 gives the direction towards the dowl and DowlSep is the distance between spigot and dowl axes.
                                          </a:t>
          </a:r>
        </a:p>
      </xdr:txBody>
    </xdr:sp>
    <xdr:clientData/>
  </xdr:twoCellAnchor>
  <xdr:twoCellAnchor>
    <xdr:from>
      <xdr:col>0</xdr:col>
      <xdr:colOff>228600</xdr:colOff>
      <xdr:row>133</xdr:row>
      <xdr:rowOff>133350</xdr:rowOff>
    </xdr:from>
    <xdr:to>
      <xdr:col>6</xdr:col>
      <xdr:colOff>9525</xdr:colOff>
      <xdr:row>141</xdr:row>
      <xdr:rowOff>9525</xdr:rowOff>
    </xdr:to>
    <xdr:sp>
      <xdr:nvSpPr>
        <xdr:cNvPr id="10" name="TextBox 14"/>
        <xdr:cNvSpPr txBox="1">
          <a:spLocks noChangeArrowheads="1"/>
        </xdr:cNvSpPr>
      </xdr:nvSpPr>
      <xdr:spPr>
        <a:xfrm>
          <a:off x="228600" y="21669375"/>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5. Interface data in local coordinates (SurfDef)
---------------------------------------------------
</a:t>
          </a:r>
          <a:r>
            <a:rPr lang="en-US" cap="none" sz="1000" b="0" i="0" u="none" baseline="0">
              <a:latin typeface="Times New Roman"/>
              <a:ea typeface="Times New Roman"/>
              <a:cs typeface="Times New Roman"/>
            </a:rPr>
            <a:t>For each mirror, the interface vectors listed above are also given in terms of local coordinates for each optical surface, whose origin is at the surface vertex and whose axes are aligned with the vertex normal. For the spigot interception points, this requires a transformation involving translation and rotation, expressed as:</a:t>
          </a:r>
        </a:p>
      </xdr:txBody>
    </xdr:sp>
    <xdr:clientData/>
  </xdr:twoCellAnchor>
  <xdr:twoCellAnchor>
    <xdr:from>
      <xdr:col>0</xdr:col>
      <xdr:colOff>219075</xdr:colOff>
      <xdr:row>151</xdr:row>
      <xdr:rowOff>142875</xdr:rowOff>
    </xdr:from>
    <xdr:to>
      <xdr:col>5</xdr:col>
      <xdr:colOff>676275</xdr:colOff>
      <xdr:row>154</xdr:row>
      <xdr:rowOff>76200</xdr:rowOff>
    </xdr:to>
    <xdr:sp>
      <xdr:nvSpPr>
        <xdr:cNvPr id="11" name="TextBox 15"/>
        <xdr:cNvSpPr txBox="1">
          <a:spLocks noChangeArrowheads="1"/>
        </xdr:cNvSpPr>
      </xdr:nvSpPr>
      <xdr:spPr>
        <a:xfrm>
          <a:off x="219075" y="24593550"/>
          <a:ext cx="3886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the direction cosines for the Norm (spigot) and Sag (dowl) vectors, the transformation only involves rotation: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REconficSpec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istory"/>
      <sheetName val="Theory"/>
      <sheetName val="Variables"/>
      <sheetName val="GutRayImpacts"/>
      <sheetName val="Interfaces"/>
      <sheetName val="SurfDef"/>
      <sheetName val="GutCalc"/>
      <sheetName val="M3CentCalc"/>
      <sheetName val="M5CentCalc"/>
      <sheetName val="VertexCalc"/>
      <sheetName val="VerticesSyno"/>
      <sheetName val="RayImpacts"/>
      <sheetName val="RayImpactsSyno"/>
      <sheetName val="SpecGlobUp"/>
      <sheetName val="SpecGlobLo"/>
      <sheetName val="GutRayUp"/>
      <sheetName val="GutRayLo"/>
      <sheetName val="M3CentRay"/>
      <sheetName val="M5Cent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E31"/>
  <sheetViews>
    <sheetView workbookViewId="0" topLeftCell="A1">
      <selection activeCell="J11" sqref="J11"/>
    </sheetView>
  </sheetViews>
  <sheetFormatPr defaultColWidth="12" defaultRowHeight="12.75"/>
  <cols>
    <col min="1" max="16384" width="12" style="1" customWidth="1"/>
  </cols>
  <sheetData>
    <row r="9" ht="12.75">
      <c r="B9" s="1" t="str">
        <f ca="1">CELL("nomfichier")</f>
        <v>D:\Dohlen\first\OptoMech\OpticsConfig\[SPIREconfig31.xls]GutRayImpacts</v>
      </c>
    </row>
    <row r="10" ht="12.75">
      <c r="B10" s="23" t="s">
        <v>412</v>
      </c>
    </row>
    <row r="11" spans="3:4" ht="12.75">
      <c r="C11" s="1" t="s">
        <v>385</v>
      </c>
      <c r="D11" s="1" t="str">
        <f ca="1">INDIRECT(C11&amp;"Calc!ID")</f>
        <v>(BOLPHT155)</v>
      </c>
    </row>
    <row r="12" spans="3:4" ht="12.75">
      <c r="C12" s="1" t="s">
        <v>147</v>
      </c>
      <c r="D12" s="1" t="str">
        <f ca="1">INDIRECT(C12&amp;"Calc!ID")</f>
        <v>(BOLPHT155)</v>
      </c>
    </row>
    <row r="13" spans="3:4" ht="12.75">
      <c r="C13" s="1" t="s">
        <v>159</v>
      </c>
      <c r="D13" s="1" t="str">
        <f ca="1">INDIRECT(C13&amp;"Calc!ID")</f>
        <v>(BOLPHT154C)</v>
      </c>
    </row>
    <row r="14" spans="3:4" ht="12.75">
      <c r="C14" s="1" t="s">
        <v>160</v>
      </c>
      <c r="D14" s="1" t="str">
        <f ca="1">INDIRECT(C14&amp;"Calc!ID")</f>
        <v>(BOLPHT154C)</v>
      </c>
    </row>
    <row r="28" spans="2:5" ht="12.75">
      <c r="B28" s="29" t="s">
        <v>46</v>
      </c>
      <c r="C28" s="29" t="s">
        <v>408</v>
      </c>
      <c r="D28" s="29" t="s">
        <v>301</v>
      </c>
      <c r="E28" s="29" t="s">
        <v>409</v>
      </c>
    </row>
    <row r="29" spans="2:5" ht="12.75">
      <c r="B29" s="19" t="s">
        <v>17</v>
      </c>
      <c r="C29" s="19" t="str">
        <f>"-Zsyno"</f>
        <v>-Zsyno</v>
      </c>
      <c r="D29" s="19" t="s">
        <v>405</v>
      </c>
      <c r="E29" s="19" t="s">
        <v>128</v>
      </c>
    </row>
    <row r="30" spans="2:5" ht="12.75">
      <c r="B30" s="19" t="s">
        <v>80</v>
      </c>
      <c r="C30" s="19" t="s">
        <v>131</v>
      </c>
      <c r="D30" s="19" t="s">
        <v>406</v>
      </c>
      <c r="E30" s="19" t="s">
        <v>129</v>
      </c>
    </row>
    <row r="31" spans="2:5" ht="12.75">
      <c r="B31" s="19" t="s">
        <v>81</v>
      </c>
      <c r="C31" s="19" t="s">
        <v>132</v>
      </c>
      <c r="D31" s="19" t="s">
        <v>407</v>
      </c>
      <c r="E31" s="19" t="s">
        <v>130</v>
      </c>
    </row>
  </sheetData>
  <printOptions/>
  <pageMargins left="0.7874015748031497" right="0.7874015748031497" top="0.69" bottom="0.54" header="0.32" footer="0.29"/>
  <pageSetup fitToHeight="1" fitToWidth="1" horizontalDpi="600" verticalDpi="600" orientation="portrait" paperSize="9" scale="91" r:id="rId2"/>
  <headerFooter alignWithMargins="0">
    <oddHeader>&amp;L&amp;F, &amp;A&amp;R&amp;T, &amp;D</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E26"/>
  <sheetViews>
    <sheetView zoomScale="60" zoomScaleNormal="60" workbookViewId="0" topLeftCell="A1">
      <selection activeCell="E46" sqref="E46"/>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2.66015625" style="35" customWidth="1"/>
    <col min="25" max="25" width="12.5" style="1" customWidth="1"/>
    <col min="26" max="16384" width="12" style="1" customWidth="1"/>
  </cols>
  <sheetData>
    <row r="1" spans="3:28" s="5" customFormat="1" ht="12.75">
      <c r="C1" s="5" t="s">
        <v>127</v>
      </c>
      <c r="D1" s="5" t="s">
        <v>2</v>
      </c>
      <c r="E1" s="5" t="s">
        <v>156</v>
      </c>
      <c r="F1" s="7" t="str">
        <f>"X"&amp;Ray</f>
        <v>XM5Cent</v>
      </c>
      <c r="G1" s="7" t="str">
        <f>"Y"&amp;Ray</f>
        <v>YM5Cent</v>
      </c>
      <c r="H1" s="7" t="str">
        <f>"Z"&amp;Ray</f>
        <v>ZM5Cent</v>
      </c>
      <c r="I1" s="6" t="s">
        <v>136</v>
      </c>
      <c r="J1" s="6" t="s">
        <v>137</v>
      </c>
      <c r="K1" s="6" t="s">
        <v>138</v>
      </c>
      <c r="L1" s="6" t="s">
        <v>139</v>
      </c>
      <c r="M1" s="6" t="s">
        <v>140</v>
      </c>
      <c r="N1" s="6" t="s">
        <v>141</v>
      </c>
      <c r="O1" s="6" t="s">
        <v>142</v>
      </c>
      <c r="P1" s="6" t="s">
        <v>143</v>
      </c>
      <c r="Q1" s="6" t="s">
        <v>144</v>
      </c>
      <c r="R1" s="6" t="s">
        <v>145</v>
      </c>
      <c r="S1" s="6" t="s">
        <v>146</v>
      </c>
      <c r="T1" s="6" t="s">
        <v>14</v>
      </c>
      <c r="U1" s="6" t="s">
        <v>15</v>
      </c>
      <c r="V1" s="6" t="s">
        <v>16</v>
      </c>
      <c r="W1" s="32" t="s">
        <v>393</v>
      </c>
      <c r="X1" s="33" t="s">
        <v>395</v>
      </c>
      <c r="Y1" s="7" t="s">
        <v>21</v>
      </c>
      <c r="Z1" s="7" t="s">
        <v>22</v>
      </c>
      <c r="AA1" s="6" t="s">
        <v>23</v>
      </c>
      <c r="AB1" s="5" t="s">
        <v>396</v>
      </c>
    </row>
    <row r="2" spans="1:28" ht="13.5" thickBot="1">
      <c r="A2" s="1" t="s">
        <v>44</v>
      </c>
      <c r="B2" s="1" t="str">
        <f>'M3CentRay'!J4</f>
        <v>(BOLPHT154C)</v>
      </c>
      <c r="D2" s="1" t="s">
        <v>91</v>
      </c>
      <c r="E2" s="1" t="s">
        <v>126</v>
      </c>
      <c r="F2" s="9">
        <f ca="1">INDIRECT("RayImpacts!"&amp;F$1)</f>
        <v>3252.162</v>
      </c>
      <c r="G2" s="9">
        <f ca="1" t="shared" si="0" ref="G2:H17">INDIRECT("RayImpacts!"&amp;G$1)</f>
        <v>13.817514</v>
      </c>
      <c r="H2" s="9">
        <f ca="1" t="shared" si="0"/>
        <v>60.298241</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120</v>
      </c>
      <c r="D3" s="11" t="s">
        <v>92</v>
      </c>
      <c r="E3" s="11"/>
      <c r="F3" s="13">
        <f ca="1" t="shared" si="8" ref="F3:H22">INDIRECT("RayImpacts!"&amp;F$1)</f>
        <v>1252.600535</v>
      </c>
      <c r="G3" s="13">
        <f ca="1" t="shared" si="0"/>
        <v>12.375513</v>
      </c>
      <c r="H3" s="13">
        <f ca="1" t="shared" si="0"/>
        <v>54.005491</v>
      </c>
      <c r="I3" s="13">
        <f aca="true" t="shared" si="9" ref="I3:I22">IF(Flag="Ignore","",F3-F2)</f>
        <v>-1999.5614649999998</v>
      </c>
      <c r="J3" s="13">
        <f aca="true" t="shared" si="10" ref="J3:J22">IF(Flag="Ignore","",G3-G2)</f>
        <v>-1.4420009999999994</v>
      </c>
      <c r="K3" s="13">
        <f aca="true" t="shared" si="11" ref="K3:K22">IF(Flag="Ignore","",H3-H2)</f>
        <v>-6.292749999999998</v>
      </c>
      <c r="L3" s="12">
        <f t="shared" si="1"/>
        <v>1999.5718867753649</v>
      </c>
      <c r="M3" s="12">
        <f t="shared" si="2"/>
        <v>-0.9999947879966536</v>
      </c>
      <c r="N3" s="12">
        <f t="shared" si="3"/>
        <v>-0.0007211548679679933</v>
      </c>
      <c r="O3" s="12">
        <f t="shared" si="4"/>
        <v>-0.0031470486465720827</v>
      </c>
      <c r="P3" s="12">
        <f aca="true" t="shared" si="12" ref="P3:P22">IF(OR(Flag="Ignore",Flag="Hole",Flag="Det"),"",M4-Xray)</f>
        <v>1.999386328257419</v>
      </c>
      <c r="Q3" s="12">
        <f aca="true" t="shared" si="13" ref="Q3:Q22">IF(OR(Flag="Ignore",Flag="Hole",Flag="Det"),"",N4-Yray)</f>
        <v>-0.007069551056272096</v>
      </c>
      <c r="R3" s="12">
        <f aca="true" t="shared" si="14" ref="R3:R22">IF(OR(Flag="Ignore",Flag="Hole",Flag="Det"),"",O4-Zray)</f>
        <v>-0.03085080652720495</v>
      </c>
      <c r="S3" s="12">
        <f aca="true" t="shared" si="15" ref="S3:S22">IF(OR(Flag="Ignore",Flag="Hole",Flag="Det"),"",SQRT(dXray^2+dYray^2+dZray^2))</f>
        <v>1.9996368271359175</v>
      </c>
      <c r="T3" s="12">
        <f t="shared" si="5"/>
        <v>0.9998747278130212</v>
      </c>
      <c r="U3" s="12">
        <f t="shared" si="6"/>
        <v>-0.0035354175119878257</v>
      </c>
      <c r="V3" s="12">
        <f t="shared" si="7"/>
        <v>-0.015428204816267863</v>
      </c>
      <c r="W3" s="48" t="e">
        <f>IF(OR(Flag="Ignore",Flag="Hole",Flag="Det"),"",ACOS((Xnorm*VertexCalc!Xnorm+Ynorm*VertexCalc!Ynorm)/(SQRT(Xnorm^2+Ynorm^2)*SQRT(VertexCalc!Xnorm^2+VertexCalc!Ynorm^2)))*180/PI()*SIGN(Xnorm*Ynorm))</f>
        <v>#VALUE!</v>
      </c>
      <c r="X3" s="64">
        <f>IF(OR(Flag="Ignore",Flag="Hole",Flag="Det"),"",(1-(Xnorm*GutCalc!Xnorm+Ynorm*GutCalc!Ynorm)/(SQRT(Xnorm^2+Ynorm^2)*SQRT(GutCalc!Xnorm^2+GutCalc!Ynorm^2))))</f>
        <v>6.251095970855047E-06</v>
      </c>
      <c r="Y3" s="48" t="e">
        <f>IF(OR(Flag="Ignore",Flag="Hole",Flag="Det"),"",VertexCalc!Xsag*COS(Theta*PI()/180)-VertexCalc!Ysag*SIN(Theta*PI()/180))</f>
        <v>#VALUE!</v>
      </c>
      <c r="Z3" s="48" t="e">
        <f>IF(OR(Flag="Ignore",Flag="Hole",Flag="Det"),"",VertexCalc!Xsag*SIN(Theta*PI()/180)+VertexCalc!Ysag*COS(Theta*PI()/180))</f>
        <v>#VALUE!</v>
      </c>
      <c r="AA3" s="48">
        <f>IF(OR(Flag="Ignore",Flag="Hole",Flag="Det"),"",VertexCalc!Zsag)</f>
      </c>
      <c r="AB3" s="49" t="e">
        <f aca="true" t="shared" si="16" ref="AB3:AB22">IF(OR(Flag="Ignore",Flag="Hole",Flag="Det"),"",ACOS(Xsag*Xnorm+Ysag*Ynorm+Zsag*Znorm)*180/PI())</f>
        <v>#VALUE!</v>
      </c>
    </row>
    <row r="4" spans="3:28" ht="13.5" thickBot="1">
      <c r="C4" s="14"/>
      <c r="D4" s="15" t="s">
        <v>93</v>
      </c>
      <c r="E4" s="15"/>
      <c r="F4" s="17">
        <f ca="1" t="shared" si="8"/>
        <v>2840.131</v>
      </c>
      <c r="G4" s="17">
        <f ca="1" t="shared" si="0"/>
        <v>1.78E-15</v>
      </c>
      <c r="H4" s="17">
        <f ca="1" t="shared" si="0"/>
        <v>-7.11E-15</v>
      </c>
      <c r="I4" s="17">
        <f t="shared" si="9"/>
        <v>1587.5304649999998</v>
      </c>
      <c r="J4" s="17">
        <f t="shared" si="10"/>
        <v>-12.375512999999998</v>
      </c>
      <c r="K4" s="17">
        <f t="shared" si="11"/>
        <v>-54.005491000000006</v>
      </c>
      <c r="L4" s="16">
        <f t="shared" si="1"/>
        <v>1588.49700147129</v>
      </c>
      <c r="M4" s="16">
        <f t="shared" si="2"/>
        <v>0.9993915402607654</v>
      </c>
      <c r="N4" s="16">
        <f t="shared" si="3"/>
        <v>-0.007790705924240089</v>
      </c>
      <c r="O4" s="16">
        <f t="shared" si="4"/>
        <v>-0.033997855173777035</v>
      </c>
      <c r="P4" s="16">
        <f t="shared" si="12"/>
        <v>-1.998783080531279</v>
      </c>
      <c r="Q4" s="16">
        <f t="shared" si="13"/>
        <v>1.4851431889839617E-10</v>
      </c>
      <c r="R4" s="16">
        <f t="shared" si="14"/>
        <v>2.5252468172087816E-10</v>
      </c>
      <c r="S4" s="16">
        <f t="shared" si="15"/>
        <v>1.998783080531279</v>
      </c>
      <c r="T4" s="16">
        <f t="shared" si="5"/>
        <v>-1</v>
      </c>
      <c r="U4" s="16">
        <f t="shared" si="6"/>
        <v>7.430236944917548E-11</v>
      </c>
      <c r="V4" s="16">
        <f t="shared" si="7"/>
        <v>1.2633921318453265E-10</v>
      </c>
      <c r="W4" s="51" t="e">
        <f>IF(OR(Flag="Ignore",Flag="Hole",Flag="Det"),"",ACOS((Xnorm*VertexCalc!Xnorm+Ynorm*VertexCalc!Ynorm)/(SQRT(Xnorm^2+Ynorm^2)*SQRT(VertexCalc!Xnorm^2+VertexCalc!Ynorm^2)))*180/PI()*SIGN(Xnorm*Ynorm))</f>
        <v>#VALUE!</v>
      </c>
      <c r="X4" s="65">
        <f>IF(OR(Flag="Ignore",Flag="Hole",Flag="Det"),"",(1-(Xnorm*GutCalc!Xnorm+Ynorm*GutCalc!Ynorm)/(SQRT(Xnorm^2+Ynorm^2)*SQRT(GutCalc!Xnorm^2+GutCalc!Ynorm^2))))</f>
        <v>0</v>
      </c>
      <c r="Y4" s="51" t="e">
        <f>IF(OR(Flag="Ignore",Flag="Hole",Flag="Det"),"",VertexCalc!Xsag*COS(Theta*PI()/180)-VertexCalc!Ysag*SIN(Theta*PI()/180))</f>
        <v>#VALUE!</v>
      </c>
      <c r="Z4" s="51" t="e">
        <f>IF(OR(Flag="Ignore",Flag="Hole",Flag="Det"),"",VertexCalc!Xsag*SIN(Theta*PI()/180)+VertexCalc!Ysag*COS(Theta*PI()/180))</f>
        <v>#VALUE!</v>
      </c>
      <c r="AA4" s="51">
        <f>IF(OR(Flag="Ignore",Flag="Hole",Flag="Det"),"",VertexCalc!Zsag)</f>
      </c>
      <c r="AB4" s="52" t="e">
        <f t="shared" si="16"/>
        <v>#VALUE!</v>
      </c>
    </row>
    <row r="5" spans="1:28" ht="13.5" thickBot="1">
      <c r="A5" s="1" t="s">
        <v>3</v>
      </c>
      <c r="B5" s="24" t="s">
        <v>160</v>
      </c>
      <c r="C5" s="10" t="s">
        <v>121</v>
      </c>
      <c r="D5" s="11" t="s">
        <v>94</v>
      </c>
      <c r="E5" s="11" t="s">
        <v>157</v>
      </c>
      <c r="F5" s="13">
        <f ca="1" t="shared" si="8"/>
        <v>229.022003</v>
      </c>
      <c r="G5" s="13">
        <f ca="1" t="shared" si="0"/>
        <v>-20.354767</v>
      </c>
      <c r="H5" s="13">
        <f ca="1" t="shared" si="0"/>
        <v>-88.826152</v>
      </c>
      <c r="I5" s="13">
        <f t="shared" si="9"/>
        <v>-2611.108997</v>
      </c>
      <c r="J5" s="13">
        <f t="shared" si="10"/>
        <v>-20.354767000000002</v>
      </c>
      <c r="K5" s="13">
        <f t="shared" si="11"/>
        <v>-88.82615199999998</v>
      </c>
      <c r="L5" s="12">
        <f t="shared" si="1"/>
        <v>2612.6987189557653</v>
      </c>
      <c r="M5" s="12">
        <f t="shared" si="2"/>
        <v>-0.9993915402705135</v>
      </c>
      <c r="N5" s="12">
        <f t="shared" si="3"/>
        <v>-0.00779070577572577</v>
      </c>
      <c r="O5" s="12">
        <f t="shared" si="4"/>
        <v>-0.03399785492125235</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4">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ht="12.75">
      <c r="C6" s="18"/>
      <c r="D6" s="19" t="s">
        <v>95</v>
      </c>
      <c r="E6" s="19"/>
      <c r="F6" s="21">
        <f ca="1" t="shared" si="8"/>
        <v>132.089046</v>
      </c>
      <c r="G6" s="21">
        <f ca="1" t="shared" si="0"/>
        <v>-21.110403</v>
      </c>
      <c r="H6" s="21">
        <f ca="1" t="shared" si="0"/>
        <v>-92.123671</v>
      </c>
      <c r="I6" s="21">
        <f t="shared" si="9"/>
        <v>-96.93295700000002</v>
      </c>
      <c r="J6" s="21">
        <f t="shared" si="10"/>
        <v>-0.7556360000000026</v>
      </c>
      <c r="K6" s="21">
        <f t="shared" si="11"/>
        <v>-3.2975190000000083</v>
      </c>
      <c r="L6" s="20">
        <f t="shared" si="1"/>
        <v>96.9919727095171</v>
      </c>
      <c r="M6" s="20">
        <f t="shared" si="2"/>
        <v>-0.9993915402701022</v>
      </c>
      <c r="N6" s="20">
        <f t="shared" si="3"/>
        <v>-0.007790706580049358</v>
      </c>
      <c r="O6" s="20">
        <f t="shared" si="4"/>
        <v>-0.03399785474902963</v>
      </c>
      <c r="P6" s="20">
        <f t="shared" si="12"/>
        <v>1.8576483563603174</v>
      </c>
      <c r="Q6" s="20">
        <f t="shared" si="13"/>
        <v>0.10627744567888708</v>
      </c>
      <c r="R6" s="20">
        <f t="shared" si="14"/>
        <v>-0.4696841876709521</v>
      </c>
      <c r="S6" s="20">
        <f t="shared" si="15"/>
        <v>1.919050689141988</v>
      </c>
      <c r="T6" s="20">
        <f t="shared" si="5"/>
        <v>0.9680037983732864</v>
      </c>
      <c r="U6" s="20">
        <f t="shared" si="6"/>
        <v>0.05538021808397566</v>
      </c>
      <c r="V6" s="20">
        <f t="shared" si="7"/>
        <v>-0.24474819259774164</v>
      </c>
      <c r="W6" s="45">
        <f>IF(OR(Flag="Ignore",Flag="Hole",Flag="Det"),"",ACOS((Xnorm*VertexCalc!Xnorm+Ynorm*VertexCalc!Ynorm)/(SQRT(Xnorm^2+Ynorm^2)*SQRT(VertexCalc!Xnorm^2+VertexCalc!Ynorm^2)))*180/PI()*SIGN(Xnorm*Ynorm))</f>
        <v>3.274364913555407</v>
      </c>
      <c r="X6" s="67">
        <f>IF(OR(Flag="Ignore",Flag="Hole",Flag="Det"),"",(1-(Xnorm*GutCalc!Xnorm+Ynorm*GutCalc!Ynorm)/(SQRT(Xnorm^2+Ynorm^2)*SQRT(GutCalc!Xnorm^2+GutCalc!Ynorm^2))))</f>
        <v>0.0016325282068733182</v>
      </c>
      <c r="Y6" s="45">
        <f>IF(OR(Flag="Ignore",Flag="Hole",Flag="Det"),"",VertexCalc!Xsag*COS(Theta*PI()/180)-VertexCalc!Ysag*SIN(Theta*PI()/180))</f>
        <v>-0.05711734644922337</v>
      </c>
      <c r="Z6" s="45">
        <f>IF(OR(Flag="Ignore",Flag="Hole",Flag="Det"),"",VertexCalc!Xsag*SIN(Theta*PI()/180)+VertexCalc!Ysag*COS(Theta*PI()/180))</f>
        <v>0.9983674717931266</v>
      </c>
      <c r="AA6" s="45">
        <f>IF(OR(Flag="Ignore",Flag="Hole",Flag="Det"),"",VertexCalc!Zsag)</f>
        <v>0</v>
      </c>
      <c r="AB6" s="46">
        <f t="shared" si="16"/>
        <v>90.00000000000001</v>
      </c>
      <c r="AD6" s="30"/>
      <c r="AE6" s="30"/>
    </row>
    <row r="7" spans="3:28" ht="12.75">
      <c r="C7" s="18"/>
      <c r="D7" s="19" t="s">
        <v>97</v>
      </c>
      <c r="E7" s="19"/>
      <c r="F7" s="21">
        <f ca="1" t="shared" si="8"/>
        <v>316.115744</v>
      </c>
      <c r="G7" s="21">
        <f ca="1" t="shared" si="0"/>
        <v>0.00704</v>
      </c>
      <c r="H7" s="21">
        <f ca="1" t="shared" si="0"/>
        <v>-200.122747</v>
      </c>
      <c r="I7" s="21">
        <f t="shared" si="9"/>
        <v>184.026698</v>
      </c>
      <c r="J7" s="21">
        <f t="shared" si="10"/>
        <v>21.117443</v>
      </c>
      <c r="K7" s="21">
        <f t="shared" si="11"/>
        <v>-107.999076</v>
      </c>
      <c r="L7" s="20">
        <f t="shared" si="1"/>
        <v>214.41915117940195</v>
      </c>
      <c r="M7" s="20">
        <f t="shared" si="2"/>
        <v>0.8582568160902151</v>
      </c>
      <c r="N7" s="20">
        <f t="shared" si="3"/>
        <v>0.09848673909883772</v>
      </c>
      <c r="O7" s="20">
        <f t="shared" si="4"/>
        <v>-0.5036820424199817</v>
      </c>
      <c r="P7" s="20">
        <f t="shared" si="12"/>
        <v>-1.8488477203500944</v>
      </c>
      <c r="Q7" s="20">
        <f t="shared" si="13"/>
        <v>5.110376843919795E-10</v>
      </c>
      <c r="R7" s="20">
        <f t="shared" si="14"/>
        <v>0.5987084730517365</v>
      </c>
      <c r="S7" s="20">
        <f t="shared" si="15"/>
        <v>1.9433707131547708</v>
      </c>
      <c r="T7" s="20">
        <f t="shared" si="5"/>
        <v>-0.9513613166212469</v>
      </c>
      <c r="U7" s="20">
        <f t="shared" si="6"/>
        <v>2.629645908177686E-10</v>
      </c>
      <c r="V7" s="20">
        <f t="shared" si="7"/>
        <v>0.3080773364541565</v>
      </c>
      <c r="W7" s="45">
        <f>IF(OR(Flag="Ignore",Flag="Hole",Flag="Det"),"",ACOS((Xnorm*VertexCalc!Xnorm+Ynorm*VertexCalc!Ynorm)/(SQRT(Xnorm^2+Ynorm^2)*SQRT(VertexCalc!Xnorm^2+VertexCalc!Ynorm^2)))*180/PI()*SIGN(Xnorm*Ynorm))</f>
        <v>0</v>
      </c>
      <c r="X7" s="67">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89.99999998493324</v>
      </c>
    </row>
    <row r="8" spans="3:28" s="5" customFormat="1" ht="13.5" thickBot="1">
      <c r="C8" s="37"/>
      <c r="D8" s="38" t="s">
        <v>98</v>
      </c>
      <c r="E8" s="38"/>
      <c r="F8" s="39">
        <f ca="1" t="shared" si="8"/>
        <v>120.054658</v>
      </c>
      <c r="G8" s="39">
        <f ca="1" t="shared" si="0"/>
        <v>19.499867</v>
      </c>
      <c r="H8" s="39">
        <f ca="1" t="shared" si="0"/>
        <v>-181.314796</v>
      </c>
      <c r="I8" s="39">
        <f t="shared" si="9"/>
        <v>-196.061086</v>
      </c>
      <c r="J8" s="39">
        <f t="shared" si="10"/>
        <v>19.492827</v>
      </c>
      <c r="K8" s="39">
        <f t="shared" si="11"/>
        <v>18.807951000000003</v>
      </c>
      <c r="L8" s="40">
        <f t="shared" si="1"/>
        <v>197.92336589895018</v>
      </c>
      <c r="M8" s="40">
        <f t="shared" si="2"/>
        <v>-0.9905909042598792</v>
      </c>
      <c r="N8" s="40">
        <f t="shared" si="3"/>
        <v>0.0984867396098754</v>
      </c>
      <c r="O8" s="40">
        <f t="shared" si="4"/>
        <v>0.09502643063175475</v>
      </c>
      <c r="P8" s="40">
        <f t="shared" si="12"/>
        <v>1.902079501569418</v>
      </c>
      <c r="Q8" s="40">
        <f t="shared" si="13"/>
        <v>-0.13816254814672796</v>
      </c>
      <c r="R8" s="40">
        <f t="shared" si="14"/>
        <v>-0.5044337671459364</v>
      </c>
      <c r="S8" s="40">
        <f t="shared" si="15"/>
        <v>1.9726755296900713</v>
      </c>
      <c r="T8" s="40">
        <f t="shared" si="5"/>
        <v>0.9642130562993577</v>
      </c>
      <c r="U8" s="40">
        <f t="shared" si="6"/>
        <v>-0.07003815177270171</v>
      </c>
      <c r="V8" s="40">
        <f t="shared" si="7"/>
        <v>-0.25571046000919795</v>
      </c>
      <c r="W8" s="68">
        <f>IF(OR(Flag="Ignore",Flag="Hole",Flag="Det"),"",ACOS((Xnorm*VertexCalc!Xnorm+Ynorm*VertexCalc!Ynorm)/(SQRT(Xnorm^2+Ynorm^2)*SQRT(VertexCalc!Xnorm^2+VertexCalc!Ynorm^2)))*180/PI()*SIGN(Xnorm*Ynorm))</f>
        <v>-4.154533166530466</v>
      </c>
      <c r="X8" s="69">
        <f>IF(OR(Flag="Ignore",Flag="Hole",Flag="Det"),"",(1-(Xnorm*GutCalc!Xnorm+Ynorm*GutCalc!Ynorm)/(SQRT(Xnorm^2+Ynorm^2)*SQRT(GutCalc!Xnorm^2+GutCalc!Ynorm^2))))</f>
        <v>0.0026277189193376627</v>
      </c>
      <c r="Y8" s="68">
        <f>IF(OR(Flag="Ignore",Flag="Hole",Flag="Det"),"",VertexCalc!Xsag*COS(Theta*PI()/180)-VertexCalc!Ysag*SIN(Theta*PI()/180))</f>
        <v>0.07244675929230021</v>
      </c>
      <c r="Z8" s="68">
        <f>IF(OR(Flag="Ignore",Flag="Hole",Flag="Det"),"",VertexCalc!Xsag*SIN(Theta*PI()/180)+VertexCalc!Ysag*COS(Theta*PI()/180))</f>
        <v>0.9973722810806622</v>
      </c>
      <c r="AA8" s="68">
        <f>IF(OR(Flag="Ignore",Flag="Hole",Flag="Det"),"",VertexCalc!Zsag)</f>
        <v>0</v>
      </c>
      <c r="AB8" s="70">
        <f t="shared" si="16"/>
        <v>90.00000000000001</v>
      </c>
    </row>
    <row r="9" spans="3:28" ht="12.75">
      <c r="C9" s="10" t="s">
        <v>122</v>
      </c>
      <c r="D9" s="11" t="s">
        <v>101</v>
      </c>
      <c r="E9" s="11"/>
      <c r="F9" s="13">
        <f ca="1" t="shared" si="8"/>
        <v>296.20107</v>
      </c>
      <c r="G9" s="13">
        <f ca="1" t="shared" si="0"/>
        <v>11.832463</v>
      </c>
      <c r="H9" s="13">
        <f ca="1" t="shared" si="0"/>
        <v>-260.433321</v>
      </c>
      <c r="I9" s="13">
        <f t="shared" si="9"/>
        <v>176.146412</v>
      </c>
      <c r="J9" s="13">
        <f t="shared" si="10"/>
        <v>-7.667403999999998</v>
      </c>
      <c r="K9" s="13">
        <f t="shared" si="11"/>
        <v>-79.11852499999998</v>
      </c>
      <c r="L9" s="12">
        <f t="shared" si="1"/>
        <v>193.25136103724748</v>
      </c>
      <c r="M9" s="12">
        <f t="shared" si="2"/>
        <v>0.911488597309539</v>
      </c>
      <c r="N9" s="12">
        <f t="shared" si="3"/>
        <v>-0.03967580853685255</v>
      </c>
      <c r="O9" s="12">
        <f t="shared" si="4"/>
        <v>-0.4094073365141816</v>
      </c>
      <c r="P9" s="12">
        <f t="shared" si="12"/>
        <v>-1.9060960045783064</v>
      </c>
      <c r="Q9" s="12">
        <f t="shared" si="13"/>
        <v>0.06360154389549083</v>
      </c>
      <c r="R9" s="12">
        <f t="shared" si="14"/>
        <v>0.30849319184829005</v>
      </c>
      <c r="S9" s="12">
        <f t="shared" si="15"/>
        <v>1.9319459579584568</v>
      </c>
      <c r="T9" s="12">
        <f t="shared" si="5"/>
        <v>-0.9866197326723016</v>
      </c>
      <c r="U9" s="12">
        <f t="shared" si="6"/>
        <v>0.03292097464398042</v>
      </c>
      <c r="V9" s="12">
        <f t="shared" si="7"/>
        <v>0.15968003172008172</v>
      </c>
      <c r="W9" s="48">
        <f>IF(OR(Flag="Ignore",Flag="Hole",Flag="Det"),"",ACOS((Xnorm*VertexCalc!Xnorm+Ynorm*VertexCalc!Ynorm)/(SQRT(Xnorm^2+Ynorm^2)*SQRT(VertexCalc!Xnorm^2+VertexCalc!Ynorm^2)))*180/PI()*SIGN(Xnorm*Ynorm))</f>
        <v>-1.9111044247943842</v>
      </c>
      <c r="X9" s="64">
        <f>IF(OR(Flag="Ignore",Flag="Hole",Flag="Det"),"",(1-(Xnorm*GutCalc!Xnorm+Ynorm*GutCalc!Ynorm)/(SQRT(Xnorm^2+Ynorm^2)*SQRT(GutCalc!Xnorm^2+GutCalc!Ynorm^2))))</f>
        <v>0.0005562285932794175</v>
      </c>
      <c r="Y9" s="48">
        <f>IF(OR(Flag="Ignore",Flag="Hole",Flag="Det"),"",VertexCalc!Xsag*COS(Theta*PI()/180)-VertexCalc!Ysag*SIN(Theta*PI()/180))</f>
        <v>0.033348879985856575</v>
      </c>
      <c r="Z9" s="48">
        <f>IF(OR(Flag="Ignore",Flag="Hole",Flag="Det"),"",VertexCalc!Xsag*SIN(Theta*PI()/180)+VertexCalc!Ysag*COS(Theta*PI()/180))</f>
        <v>0.9994437714067205</v>
      </c>
      <c r="AA9" s="48">
        <f>IF(OR(Flag="Ignore",Flag="Hole",Flag="Det"),"",VertexCalc!Zsag)</f>
        <v>0</v>
      </c>
      <c r="AB9" s="49">
        <f t="shared" si="16"/>
        <v>90.0000000000001</v>
      </c>
    </row>
    <row r="10" spans="3:28" ht="12.75">
      <c r="C10" s="18"/>
      <c r="D10" s="19" t="s">
        <v>104</v>
      </c>
      <c r="E10" s="19"/>
      <c r="F10" s="21">
        <f ca="1" t="shared" si="8"/>
        <v>94.24581</v>
      </c>
      <c r="G10" s="21">
        <f ca="1" t="shared" si="0"/>
        <v>16.690589</v>
      </c>
      <c r="H10" s="21">
        <f ca="1" t="shared" si="0"/>
        <v>-280.923961</v>
      </c>
      <c r="I10" s="21">
        <f t="shared" si="9"/>
        <v>-201.95526</v>
      </c>
      <c r="J10" s="21">
        <f t="shared" si="10"/>
        <v>4.858125999999999</v>
      </c>
      <c r="K10" s="21">
        <f t="shared" si="11"/>
        <v>-20.49064000000004</v>
      </c>
      <c r="L10" s="20">
        <f t="shared" si="1"/>
        <v>203.05022717916145</v>
      </c>
      <c r="M10" s="20">
        <f t="shared" si="2"/>
        <v>-0.9946074072687675</v>
      </c>
      <c r="N10" s="20">
        <f t="shared" si="3"/>
        <v>0.02392573535863828</v>
      </c>
      <c r="O10" s="20">
        <f t="shared" si="4"/>
        <v>-0.10091414466589155</v>
      </c>
      <c r="P10" s="20">
        <f t="shared" si="12"/>
        <v>1.7735807286435192</v>
      </c>
      <c r="Q10" s="20">
        <f t="shared" si="13"/>
        <v>-0.09343302945652342</v>
      </c>
      <c r="R10" s="20">
        <f t="shared" si="14"/>
        <v>-0.5222786831599573</v>
      </c>
      <c r="S10" s="20">
        <f t="shared" si="15"/>
        <v>1.8512410310093061</v>
      </c>
      <c r="T10" s="20">
        <f t="shared" si="5"/>
        <v>0.9580495996658813</v>
      </c>
      <c r="U10" s="20">
        <f t="shared" si="6"/>
        <v>-0.05047048325499962</v>
      </c>
      <c r="V10" s="20">
        <f t="shared" si="7"/>
        <v>-0.2821235454549148</v>
      </c>
      <c r="W10" s="45">
        <f>IF(OR(Flag="Ignore",Flag="Hole",Flag="Det"),"",ACOS((Xnorm*VertexCalc!Xnorm+Ynorm*VertexCalc!Ynorm)/(SQRT(Xnorm^2+Ynorm^2)*SQRT(VertexCalc!Xnorm^2+VertexCalc!Ynorm^2)))*180/PI()*SIGN(Xnorm*Ynorm))</f>
        <v>-3.0155798205953874</v>
      </c>
      <c r="X10" s="67">
        <f>IF(OR(Flag="Ignore",Flag="Hole",Flag="Det"),"",(1-(Xnorm*GutCalc!Xnorm+Ynorm*GutCalc!Ynorm)/(SQRT(Xnorm^2+Ynorm^2)*SQRT(GutCalc!Xnorm^2+GutCalc!Ynorm^2))))</f>
        <v>0.0013847333141879803</v>
      </c>
      <c r="Y10" s="45">
        <f>IF(OR(Flag="Ignore",Flag="Hole",Flag="Det"),"",VertexCalc!Xsag*COS(Theta*PI()/180)-VertexCalc!Ysag*SIN(Theta*PI()/180))</f>
        <v>0.05260750081522893</v>
      </c>
      <c r="Z10" s="45">
        <f>IF(OR(Flag="Ignore",Flag="Hole",Flag="Det"),"",VertexCalc!Xsag*SIN(Theta*PI()/180)+VertexCalc!Ysag*COS(Theta*PI()/180))</f>
        <v>0.9986152666858121</v>
      </c>
      <c r="AA10" s="45">
        <f>IF(OR(Flag="Ignore",Flag="Hole",Flag="Det"),"",VertexCalc!Zsag)</f>
        <v>0</v>
      </c>
      <c r="AB10" s="46">
        <f t="shared" si="16"/>
        <v>90.00000000000004</v>
      </c>
    </row>
    <row r="11" spans="3:28" ht="12.75">
      <c r="C11" s="18"/>
      <c r="D11" s="19" t="s">
        <v>107</v>
      </c>
      <c r="E11" s="19"/>
      <c r="F11" s="21">
        <f ca="1" t="shared" si="8"/>
        <v>240.511584</v>
      </c>
      <c r="G11" s="21">
        <f ca="1" t="shared" si="0"/>
        <v>3.639387</v>
      </c>
      <c r="H11" s="21">
        <f ca="1" t="shared" si="0"/>
        <v>-397.939241</v>
      </c>
      <c r="I11" s="21">
        <f t="shared" si="9"/>
        <v>146.265774</v>
      </c>
      <c r="J11" s="21">
        <f t="shared" si="10"/>
        <v>-13.051202</v>
      </c>
      <c r="K11" s="21">
        <f t="shared" si="11"/>
        <v>-117.01527999999996</v>
      </c>
      <c r="L11" s="20">
        <f t="shared" si="1"/>
        <v>187.76737275400714</v>
      </c>
      <c r="M11" s="20">
        <f t="shared" si="2"/>
        <v>0.7789733213747516</v>
      </c>
      <c r="N11" s="20">
        <f t="shared" si="3"/>
        <v>-0.06950729409788514</v>
      </c>
      <c r="O11" s="20">
        <f t="shared" si="4"/>
        <v>-0.6231928278258488</v>
      </c>
      <c r="P11" s="20">
        <f t="shared" si="12"/>
        <v>-1.4607952516757998</v>
      </c>
      <c r="Q11" s="20">
        <f t="shared" si="13"/>
        <v>0.018597348263609162</v>
      </c>
      <c r="R11" s="20">
        <f t="shared" si="14"/>
        <v>-0.10655167045810798</v>
      </c>
      <c r="S11" s="20">
        <f t="shared" si="15"/>
        <v>1.4647941449768342</v>
      </c>
      <c r="T11" s="20">
        <f t="shared" si="5"/>
        <v>-0.9972699963918155</v>
      </c>
      <c r="U11" s="20">
        <f t="shared" si="6"/>
        <v>0.012696219688878727</v>
      </c>
      <c r="V11" s="20">
        <f t="shared" si="7"/>
        <v>-0.07274173700345662</v>
      </c>
      <c r="W11" s="45">
        <f>IF(OR(Flag="Ignore",Flag="Hole",Flag="Det"),"",ACOS((Xnorm*VertexCalc!Xnorm+Ynorm*VertexCalc!Ynorm)/(SQRT(Xnorm^2+Ynorm^2)*SQRT(VertexCalc!Xnorm^2+VertexCalc!Ynorm^2)))*180/PI()*SIGN(Xnorm*Ynorm))</f>
        <v>-0.7293917492750611</v>
      </c>
      <c r="X11" s="67">
        <f>IF(OR(Flag="Ignore",Flag="Hole",Flag="Det"),"",(1-(Xnorm*GutCalc!Xnorm+Ynorm*GutCalc!Ynorm)/(SQRT(Xnorm^2+Ynorm^2)*SQRT(GutCalc!Xnorm^2+GutCalc!Ynorm^2))))</f>
        <v>8.102901639484017E-05</v>
      </c>
      <c r="Y11" s="45">
        <f>IF(OR(Flag="Ignore",Flag="Hole",Flag="Det"),"",VertexCalc!Xsag*COS(Theta*PI()/180)-VertexCalc!Ysag*SIN(Theta*PI()/180))</f>
        <v>0.012729943718980154</v>
      </c>
      <c r="Z11" s="45">
        <f>IF(OR(Flag="Ignore",Flag="Hole",Flag="Det"),"",VertexCalc!Xsag*SIN(Theta*PI()/180)+VertexCalc!Ysag*COS(Theta*PI()/180))</f>
        <v>0.999918970983605</v>
      </c>
      <c r="AA11" s="45">
        <f>IF(OR(Flag="Ignore",Flag="Hole",Flag="Det"),"",VertexCalc!Zsag)</f>
        <v>0</v>
      </c>
      <c r="AB11" s="46">
        <f t="shared" si="16"/>
        <v>90.00000000000058</v>
      </c>
    </row>
    <row r="12" spans="3:28" ht="12.75">
      <c r="C12" s="18"/>
      <c r="D12" s="19" t="s">
        <v>108</v>
      </c>
      <c r="E12" s="19" t="s">
        <v>157</v>
      </c>
      <c r="F12" s="21">
        <f ca="1" t="shared" si="8"/>
        <v>192.85285</v>
      </c>
      <c r="G12" s="21">
        <f ca="1" t="shared" si="0"/>
        <v>0.080828</v>
      </c>
      <c r="H12" s="21">
        <f ca="1" t="shared" si="0"/>
        <v>-448.947719</v>
      </c>
      <c r="I12" s="21">
        <f t="shared" si="9"/>
        <v>-47.65873400000001</v>
      </c>
      <c r="J12" s="21">
        <f t="shared" si="10"/>
        <v>-3.5585590000000002</v>
      </c>
      <c r="K12" s="21">
        <f t="shared" si="11"/>
        <v>-51.008478000000025</v>
      </c>
      <c r="L12" s="20">
        <f t="shared" si="1"/>
        <v>69.89909224386054</v>
      </c>
      <c r="M12" s="20">
        <f t="shared" si="2"/>
        <v>-0.6818219303010481</v>
      </c>
      <c r="N12" s="20">
        <f t="shared" si="3"/>
        <v>-0.05090994583427598</v>
      </c>
      <c r="O12" s="20">
        <f t="shared" si="4"/>
        <v>-0.7297444982839568</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7">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109</v>
      </c>
      <c r="E13" s="15"/>
      <c r="F13" s="17">
        <f ca="1" t="shared" si="8"/>
        <v>104.270608</v>
      </c>
      <c r="G13" s="17">
        <f ca="1" t="shared" si="0"/>
        <v>-6.533386</v>
      </c>
      <c r="H13" s="17">
        <f ca="1" t="shared" si="0"/>
        <v>-543.756057</v>
      </c>
      <c r="I13" s="17">
        <f t="shared" si="9"/>
        <v>-88.582242</v>
      </c>
      <c r="J13" s="17">
        <f t="shared" si="10"/>
        <v>-6.6142140000000005</v>
      </c>
      <c r="K13" s="17">
        <f t="shared" si="11"/>
        <v>-94.80833800000005</v>
      </c>
      <c r="L13" s="16">
        <f t="shared" si="1"/>
        <v>129.91990755425672</v>
      </c>
      <c r="M13" s="16">
        <f t="shared" si="2"/>
        <v>-0.6818219291220368</v>
      </c>
      <c r="N13" s="16">
        <f t="shared" si="3"/>
        <v>-0.050909934624436166</v>
      </c>
      <c r="O13" s="16">
        <f t="shared" si="4"/>
        <v>-0.729744500167586</v>
      </c>
      <c r="P13" s="16">
        <f t="shared" si="12"/>
        <v>1.6737811169087031</v>
      </c>
      <c r="Q13" s="16">
        <f t="shared" si="13"/>
        <v>0.035008029571202304</v>
      </c>
      <c r="R13" s="16">
        <f t="shared" si="14"/>
        <v>0.8552996640649528</v>
      </c>
      <c r="S13" s="16">
        <f t="shared" si="15"/>
        <v>1.8799750808998041</v>
      </c>
      <c r="T13" s="16">
        <f t="shared" si="5"/>
        <v>0.8903209058002985</v>
      </c>
      <c r="U13" s="16">
        <f t="shared" si="6"/>
        <v>0.01862153915063947</v>
      </c>
      <c r="V13" s="16">
        <f t="shared" si="7"/>
        <v>0.45495266014674224</v>
      </c>
      <c r="W13" s="51">
        <f>IF(OR(Flag="Ignore",Flag="Hole",Flag="Det"),"",ACOS((Xnorm*VertexCalc!Xnorm+Ynorm*VertexCalc!Ynorm)/(SQRT(Xnorm^2+Ynorm^2)*SQRT(VertexCalc!Xnorm^2+VertexCalc!Ynorm^2)))*180/PI()*SIGN(Xnorm*Ynorm))</f>
        <v>1.198197250919223</v>
      </c>
      <c r="X13" s="65">
        <f>IF(OR(Flag="Ignore",Flag="Hole",Flag="Det"),"",(1-(Xnorm*GutCalc!Xnorm+Ynorm*GutCalc!Ynorm)/(SQRT(Xnorm^2+Ynorm^2)*SQRT(GutCalc!Xnorm^2+GutCalc!Ynorm^2))))</f>
        <v>0.00021865808968224432</v>
      </c>
      <c r="Y13" s="51">
        <f>IF(OR(Flag="Ignore",Flag="Hole",Flag="Det"),"",VertexCalc!Xsag*COS(Theta*PI()/180)-VertexCalc!Ysag*SIN(Theta*PI()/180))</f>
        <v>-0.020910962866503787</v>
      </c>
      <c r="Z13" s="51">
        <f>IF(OR(Flag="Ignore",Flag="Hole",Flag="Det"),"",VertexCalc!Xsag*SIN(Theta*PI()/180)+VertexCalc!Ysag*COS(Theta*PI()/180))</f>
        <v>0.9997813419103178</v>
      </c>
      <c r="AA13" s="51">
        <f>IF(OR(Flag="Ignore",Flag="Hole",Flag="Det"),"",VertexCalc!Zsag)</f>
        <v>0</v>
      </c>
      <c r="AB13" s="52">
        <f t="shared" si="16"/>
        <v>90.00000000000001</v>
      </c>
    </row>
    <row r="14" spans="3:28" ht="12.75">
      <c r="C14" s="10" t="s">
        <v>123</v>
      </c>
      <c r="D14" s="11" t="s">
        <v>111</v>
      </c>
      <c r="E14" s="11"/>
      <c r="F14" s="13">
        <f ca="1" t="shared" si="8"/>
        <v>238.116781</v>
      </c>
      <c r="G14" s="13">
        <f ca="1" t="shared" si="0"/>
        <v>-8.679048</v>
      </c>
      <c r="H14" s="13">
        <f ca="1" t="shared" si="0"/>
        <v>-526.814757</v>
      </c>
      <c r="I14" s="13">
        <f t="shared" si="9"/>
        <v>133.84617300000002</v>
      </c>
      <c r="J14" s="13">
        <f t="shared" si="10"/>
        <v>-2.1456619999999997</v>
      </c>
      <c r="K14" s="13">
        <f t="shared" si="11"/>
        <v>16.94130000000007</v>
      </c>
      <c r="L14" s="12">
        <f t="shared" si="1"/>
        <v>134.9311288689685</v>
      </c>
      <c r="M14" s="12">
        <f t="shared" si="2"/>
        <v>0.9919591877866665</v>
      </c>
      <c r="N14" s="12">
        <f t="shared" si="3"/>
        <v>-0.015901905053233863</v>
      </c>
      <c r="O14" s="12">
        <f t="shared" si="4"/>
        <v>0.12555516389736687</v>
      </c>
      <c r="P14" s="12">
        <f t="shared" si="12"/>
        <v>-1.7219878092506353</v>
      </c>
      <c r="Q14" s="12">
        <f t="shared" si="13"/>
        <v>2.6450244841602633E-09</v>
      </c>
      <c r="R14" s="12">
        <f t="shared" si="14"/>
        <v>-0.8087867068922853</v>
      </c>
      <c r="S14" s="12">
        <f t="shared" si="15"/>
        <v>1.9024662815549374</v>
      </c>
      <c r="T14" s="12">
        <f t="shared" si="5"/>
        <v>-0.9051344698962065</v>
      </c>
      <c r="U14" s="12">
        <f t="shared" si="6"/>
        <v>1.3903134630057217E-09</v>
      </c>
      <c r="V14" s="12">
        <f t="shared" si="7"/>
        <v>-0.42512538315856085</v>
      </c>
      <c r="W14" s="48">
        <f>IF(OR(Flag="Ignore",Flag="Hole",Flag="Det"),"",ACOS((Xnorm*VertexCalc!Xnorm+Ynorm*VertexCalc!Ynorm)/(SQRT(Xnorm^2+Ynorm^2)*SQRT(VertexCalc!Xnorm^2+VertexCalc!Ynorm^2)))*180/PI()*SIGN(Xnorm*Ynorm))</f>
        <v>0</v>
      </c>
      <c r="X14" s="64">
        <f>IF(OR(Flag="Ignore",Flag="Hole",Flag="Det"),"",(1-(Xnorm*GutCalc!Xnorm+Ynorm*GutCalc!Ynorm)/(SQRT(Xnorm^2+Ynorm^2)*SQRT(GutCalc!Xnorm^2+GutCalc!Ynorm^2))))</f>
        <v>0</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89.9999999203409</v>
      </c>
    </row>
    <row r="15" spans="3:28" ht="12.75">
      <c r="C15" s="18"/>
      <c r="D15" s="19" t="s">
        <v>113</v>
      </c>
      <c r="E15" s="19"/>
      <c r="F15" s="21">
        <f ca="1" t="shared" si="8"/>
        <v>131.35487999999998</v>
      </c>
      <c r="G15" s="21">
        <f ca="1" t="shared" si="0"/>
        <v>-11.004597</v>
      </c>
      <c r="H15" s="21">
        <f ca="1" t="shared" si="0"/>
        <v>-626.732892</v>
      </c>
      <c r="I15" s="21">
        <f t="shared" si="9"/>
        <v>-106.76190100000002</v>
      </c>
      <c r="J15" s="21">
        <f t="shared" si="10"/>
        <v>-2.3255490000000005</v>
      </c>
      <c r="K15" s="21">
        <f t="shared" si="11"/>
        <v>-99.918135</v>
      </c>
      <c r="L15" s="20">
        <f t="shared" si="1"/>
        <v>146.2434456143708</v>
      </c>
      <c r="M15" s="20">
        <f t="shared" si="2"/>
        <v>-0.7300286214639689</v>
      </c>
      <c r="N15" s="20">
        <f t="shared" si="3"/>
        <v>-0.01590190240820938</v>
      </c>
      <c r="O15" s="20">
        <f t="shared" si="4"/>
        <v>-0.6832315429949184</v>
      </c>
      <c r="P15" s="20">
        <f t="shared" si="12"/>
        <v>0.7177706296589029</v>
      </c>
      <c r="Q15" s="20">
        <f t="shared" si="13"/>
        <v>-0.9839711912844178</v>
      </c>
      <c r="R15" s="20">
        <f t="shared" si="14"/>
        <v>0.6730561733976289</v>
      </c>
      <c r="S15" s="20">
        <f t="shared" si="15"/>
        <v>1.3915453979756727</v>
      </c>
      <c r="T15" s="20">
        <f t="shared" si="5"/>
        <v>0.5158082738105905</v>
      </c>
      <c r="U15" s="20">
        <f t="shared" si="6"/>
        <v>-0.7071067840947435</v>
      </c>
      <c r="V15" s="20">
        <f t="shared" si="7"/>
        <v>0.4836753255601622</v>
      </c>
      <c r="W15" s="45">
        <f>IF(OR(Flag="Ignore",Flag="Hole",Flag="Det"),"",ACOS((Xnorm*VertexCalc!Xnorm+Ynorm*VertexCalc!Ynorm)/(SQRT(Xnorm^2+Ynorm^2)*SQRT(VertexCalc!Xnorm^2+VertexCalc!Ynorm^2)))*180/PI()*SIGN(Xnorm*Ynorm))</f>
        <v>-8.537736462515939E-07</v>
      </c>
      <c r="X15" s="67">
        <f>IF(OR(Flag="Ignore",Flag="Hole",Flag="Det"),"",(1-(Xnorm*GutCalc!Xnorm+Ynorm*GutCalc!Ynorm)/(SQRT(Xnorm^2+Ynorm^2)*SQRT(GutCalc!Xnorm^2+GutCalc!Ynorm^2))))</f>
        <v>1.1102230246251565E-16</v>
      </c>
      <c r="Y15" s="45">
        <f>IF(OR(Flag="Ignore",Flag="Hole",Flag="Det"),"",VertexCalc!Xsag*COS(Theta*PI()/180)-VertexCalc!Ysag*SIN(Theta*PI()/180))</f>
        <v>0.5158082923727847</v>
      </c>
      <c r="Z15" s="45">
        <f>IF(OR(Flag="Ignore",Flag="Hole",Flag="Det"),"",VertexCalc!Xsag*SIN(Theta*PI()/180)+VertexCalc!Ysag*COS(Theta*PI()/180))</f>
        <v>0.7071067735004051</v>
      </c>
      <c r="AA15" s="45">
        <f>IF(OR(Flag="Ignore",Flag="Hole",Flag="Det"),"",VertexCalc!Zsag)</f>
        <v>0.48367532125313006</v>
      </c>
      <c r="AB15" s="46">
        <f t="shared" si="16"/>
        <v>89.99999961285033</v>
      </c>
    </row>
    <row r="16" spans="3:28" ht="13.5" thickBot="1">
      <c r="C16" s="14"/>
      <c r="D16" s="15" t="s">
        <v>115</v>
      </c>
      <c r="E16" s="15" t="s">
        <v>158</v>
      </c>
      <c r="F16" s="17">
        <f ca="1" t="shared" si="8"/>
        <v>130.876814</v>
      </c>
      <c r="G16" s="17">
        <f ca="1" t="shared" si="0"/>
        <v>-50</v>
      </c>
      <c r="H16" s="17">
        <f ca="1" t="shared" si="0"/>
        <v>-627.129735</v>
      </c>
      <c r="I16" s="17">
        <f t="shared" si="9"/>
        <v>-0.4780659999999841</v>
      </c>
      <c r="J16" s="17">
        <f t="shared" si="10"/>
        <v>-38.995402999999996</v>
      </c>
      <c r="K16" s="17">
        <f t="shared" si="11"/>
        <v>-0.39684299999998984</v>
      </c>
      <c r="L16" s="16">
        <f t="shared" si="1"/>
        <v>39.00035239070814</v>
      </c>
      <c r="M16" s="16">
        <f t="shared" si="2"/>
        <v>-0.012257991805065939</v>
      </c>
      <c r="N16" s="16">
        <f t="shared" si="3"/>
        <v>-0.9998730936926272</v>
      </c>
      <c r="O16" s="16">
        <f t="shared" si="4"/>
        <v>-0.010175369597289536</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5">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111</v>
      </c>
      <c r="E17" s="1" t="s">
        <v>126</v>
      </c>
      <c r="F17" s="9">
        <f ca="1" t="shared" si="8"/>
        <v>238.116781</v>
      </c>
      <c r="G17" s="9">
        <f ca="1" t="shared" si="0"/>
        <v>-8.679048</v>
      </c>
      <c r="H17" s="9">
        <f ca="1" t="shared" si="0"/>
        <v>-526.814757</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124</v>
      </c>
      <c r="D18" s="11" t="s">
        <v>116</v>
      </c>
      <c r="E18" s="11"/>
      <c r="F18" s="13">
        <f ca="1" t="shared" si="8"/>
        <v>342.331781</v>
      </c>
      <c r="G18" s="13">
        <f ca="1" t="shared" si="8"/>
        <v>-10.349698</v>
      </c>
      <c r="H18" s="13">
        <f ca="1" t="shared" si="8"/>
        <v>-513.62396</v>
      </c>
      <c r="I18" s="13">
        <f t="shared" si="9"/>
        <v>104.21499999999997</v>
      </c>
      <c r="J18" s="13">
        <f t="shared" si="10"/>
        <v>-1.6706500000000002</v>
      </c>
      <c r="K18" s="13">
        <f t="shared" si="11"/>
        <v>13.190796999999975</v>
      </c>
      <c r="L18" s="12">
        <f t="shared" si="1"/>
        <v>105.05976595213652</v>
      </c>
      <c r="M18" s="12">
        <f t="shared" si="2"/>
        <v>0.9919591868068561</v>
      </c>
      <c r="N18" s="12">
        <f t="shared" si="3"/>
        <v>-0.01590190102613707</v>
      </c>
      <c r="O18" s="12">
        <f t="shared" si="4"/>
        <v>0.12555517214848436</v>
      </c>
      <c r="P18" s="12">
        <f t="shared" si="12"/>
        <v>-1.6176886197675606</v>
      </c>
      <c r="Q18" s="12">
        <f t="shared" si="13"/>
        <v>-0.7602668734003933</v>
      </c>
      <c r="R18" s="12">
        <f t="shared" si="14"/>
        <v>-0.20317417969104992</v>
      </c>
      <c r="S18" s="12">
        <f t="shared" si="15"/>
        <v>1.7989446730259984</v>
      </c>
      <c r="T18" s="12">
        <f t="shared" si="5"/>
        <v>-0.8992431196043692</v>
      </c>
      <c r="U18" s="12">
        <f t="shared" si="6"/>
        <v>-0.42261826325183816</v>
      </c>
      <c r="V18" s="12">
        <f t="shared" si="7"/>
        <v>-0.1129407606234445</v>
      </c>
      <c r="W18" s="48">
        <f>IF(OR(Flag="Ignore",Flag="Hole",Flag="Det"),"",ACOS((Xnorm*VertexCalc!Xnorm+Ynorm*VertexCalc!Ynorm)/(SQRT(Xnorm^2+Ynorm^2)*SQRT(VertexCalc!Xnorm^2+VertexCalc!Ynorm^2)))*180/PI()*SIGN(Xnorm*Ynorm))</f>
        <v>0</v>
      </c>
      <c r="X18" s="64">
        <f>IF(OR(Flag="Ignore",Flag="Hole",Flag="Det"),"",(1-(Xnorm*GutCalc!Xnorm+Ynorm*GutCalc!Ynorm)/(SQRT(Xnorm^2+Ynorm^2)*SQRT(GutCalc!Xnorm^2+GutCalc!Ynorm^2))))</f>
        <v>0</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90.00000009553253</v>
      </c>
    </row>
    <row r="19" spans="3:28" ht="13.5" thickBot="1">
      <c r="C19" s="14"/>
      <c r="D19" s="15" t="s">
        <v>117</v>
      </c>
      <c r="E19" s="15" t="s">
        <v>158</v>
      </c>
      <c r="F19" s="17">
        <f ca="1" t="shared" si="8"/>
        <v>292.158272</v>
      </c>
      <c r="G19" s="17">
        <f ca="1" t="shared" si="8"/>
        <v>-72.58604</v>
      </c>
      <c r="H19" s="17">
        <f ca="1" t="shared" si="8"/>
        <v>-519.847765</v>
      </c>
      <c r="I19" s="17">
        <f t="shared" si="9"/>
        <v>-50.17350899999997</v>
      </c>
      <c r="J19" s="17">
        <f t="shared" si="10"/>
        <v>-62.23634199999999</v>
      </c>
      <c r="K19" s="17">
        <f t="shared" si="11"/>
        <v>-6.22380499999997</v>
      </c>
      <c r="L19" s="16">
        <f t="shared" si="1"/>
        <v>80.18403219838764</v>
      </c>
      <c r="M19" s="16">
        <f t="shared" si="2"/>
        <v>-0.6257294329607045</v>
      </c>
      <c r="N19" s="16">
        <f t="shared" si="3"/>
        <v>-0.7761687744265304</v>
      </c>
      <c r="O19" s="16">
        <f t="shared" si="4"/>
        <v>-0.07761900754256557</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5">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116</v>
      </c>
      <c r="E20" s="1" t="s">
        <v>126</v>
      </c>
      <c r="F20" s="9">
        <f ca="1" t="shared" si="8"/>
        <v>342.331781</v>
      </c>
      <c r="G20" s="9">
        <f ca="1" t="shared" si="8"/>
        <v>-10.349698</v>
      </c>
      <c r="H20" s="9">
        <f ca="1" t="shared" si="8"/>
        <v>-513.62396</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125</v>
      </c>
      <c r="D21" s="11" t="s">
        <v>118</v>
      </c>
      <c r="E21" s="11"/>
      <c r="F21" s="13">
        <f ca="1" t="shared" si="8"/>
        <v>382.11503500000003</v>
      </c>
      <c r="G21" s="13">
        <f ca="1" t="shared" si="8"/>
        <v>-10.987456</v>
      </c>
      <c r="H21" s="13">
        <f ca="1" t="shared" si="8"/>
        <v>-508.588478</v>
      </c>
      <c r="I21" s="13">
        <f t="shared" si="9"/>
        <v>39.783254000000056</v>
      </c>
      <c r="J21" s="13">
        <f t="shared" si="10"/>
        <v>-0.6377579999999998</v>
      </c>
      <c r="K21" s="13">
        <f t="shared" si="11"/>
        <v>5.035482000000002</v>
      </c>
      <c r="L21" s="12">
        <f t="shared" si="1"/>
        <v>40.105736660325896</v>
      </c>
      <c r="M21" s="12">
        <f t="shared" si="2"/>
        <v>0.9919591887051696</v>
      </c>
      <c r="N21" s="12">
        <f t="shared" si="3"/>
        <v>-0.015901914616391875</v>
      </c>
      <c r="O21" s="12">
        <f t="shared" si="4"/>
        <v>0.1255551554294548</v>
      </c>
      <c r="P21" s="12">
        <f t="shared" si="12"/>
        <v>-0.9909726197938077</v>
      </c>
      <c r="Q21" s="12">
        <f t="shared" si="13"/>
        <v>1.5649312130883164E-08</v>
      </c>
      <c r="R21" s="12">
        <f t="shared" si="14"/>
        <v>0.874317914660456</v>
      </c>
      <c r="S21" s="12">
        <f t="shared" si="15"/>
        <v>1.321536435016913</v>
      </c>
      <c r="T21" s="12">
        <f t="shared" si="5"/>
        <v>-0.7498640170152594</v>
      </c>
      <c r="U21" s="12">
        <f t="shared" si="6"/>
        <v>1.1841756092546086E-08</v>
      </c>
      <c r="V21" s="12">
        <f t="shared" si="7"/>
        <v>0.6615919860350021</v>
      </c>
      <c r="W21" s="48">
        <f>IF(OR(Flag="Ignore",Flag="Hole",Flag="Det"),"",ACOS((Xnorm*VertexCalc!Xnorm+Ynorm*VertexCalc!Ynorm)/(SQRT(Xnorm^2+Ynorm^2)*SQRT(VertexCalc!Xnorm^2+VertexCalc!Ynorm^2)))*180/PI()*SIGN(Xnorm*Ynorm))</f>
        <v>-1.2074182617838684E-06</v>
      </c>
      <c r="X21" s="64">
        <f>IF(OR(Flag="Ignore",Flag="Hole",Flag="Det"),"",(1-(Xnorm*GutCalc!Xnorm+Ynorm*GutCalc!Ynorm)/(SQRT(Xnorm^2+Ynorm^2)*SQRT(GutCalc!Xnorm^2+GutCalc!Ynorm^2))))</f>
        <v>0</v>
      </c>
      <c r="Y21" s="48">
        <f>IF(OR(Flag="Ignore",Flag="Hole",Flag="Det"),"",VertexCalc!Xsag*COS(Theta*PI()/180)-VertexCalc!Ysag*SIN(Theta*PI()/180))</f>
        <v>2.1073424116835323E-08</v>
      </c>
      <c r="Z21" s="48">
        <f>IF(OR(Flag="Ignore",Flag="Hole",Flag="Det"),"",VertexCalc!Xsag*SIN(Theta*PI()/180)+VertexCalc!Ysag*COS(Theta*PI()/180))</f>
        <v>0.9999999999999998</v>
      </c>
      <c r="AA21" s="48">
        <f>IF(OR(Flag="Ignore",Flag="Hole",Flag="Det"),"",VertexCalc!Zsag)</f>
        <v>0</v>
      </c>
      <c r="AB21" s="49">
        <f t="shared" si="16"/>
        <v>90.00000022691687</v>
      </c>
    </row>
    <row r="22" spans="3:28" ht="13.5" thickBot="1">
      <c r="C22" s="14"/>
      <c r="D22" s="15" t="s">
        <v>119</v>
      </c>
      <c r="E22" s="15" t="s">
        <v>158</v>
      </c>
      <c r="F22" s="17">
        <f ca="1" t="shared" si="8"/>
        <v>382.154575</v>
      </c>
      <c r="G22" s="17">
        <f ca="1" t="shared" si="8"/>
        <v>-11.624777</v>
      </c>
      <c r="H22" s="17">
        <f ca="1" t="shared" si="8"/>
        <v>-468.51527</v>
      </c>
      <c r="I22" s="17">
        <f t="shared" si="9"/>
        <v>0.03953999999998814</v>
      </c>
      <c r="J22" s="17">
        <f t="shared" si="10"/>
        <v>-0.637321</v>
      </c>
      <c r="K22" s="17">
        <f t="shared" si="11"/>
        <v>40.07320800000002</v>
      </c>
      <c r="L22" s="16">
        <f t="shared" si="1"/>
        <v>40.078295134397955</v>
      </c>
      <c r="M22" s="16">
        <f t="shared" si="2"/>
        <v>0.0009865689113620051</v>
      </c>
      <c r="N22" s="16">
        <f t="shared" si="3"/>
        <v>-0.015901898967079744</v>
      </c>
      <c r="O22" s="16">
        <f t="shared" si="4"/>
        <v>0.9998730700899109</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5"/>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135</v>
      </c>
      <c r="I23" s="9"/>
      <c r="J23" s="9"/>
      <c r="K23" s="9"/>
      <c r="X23" s="34"/>
      <c r="Y23" s="9"/>
      <c r="Z23" s="9"/>
    </row>
    <row r="24" spans="1:26" ht="12.75">
      <c r="A24" s="1" t="s">
        <v>17</v>
      </c>
      <c r="B24" s="1" t="str">
        <f>"-Zsyno"</f>
        <v>-Zsyno</v>
      </c>
      <c r="C24" s="1" t="s">
        <v>128</v>
      </c>
      <c r="I24" s="9"/>
      <c r="J24" s="9"/>
      <c r="K24" s="9"/>
      <c r="X24" s="34"/>
      <c r="Y24" s="9"/>
      <c r="Z24" s="9"/>
    </row>
    <row r="25" spans="1:3" ht="12.75">
      <c r="A25" s="1" t="s">
        <v>80</v>
      </c>
      <c r="B25" s="1" t="s">
        <v>131</v>
      </c>
      <c r="C25" s="1" t="s">
        <v>129</v>
      </c>
    </row>
    <row r="26" spans="1:3" ht="12.75">
      <c r="A26" s="1" t="s">
        <v>81</v>
      </c>
      <c r="B26" s="1" t="s">
        <v>132</v>
      </c>
      <c r="C26" s="1" t="s">
        <v>130</v>
      </c>
    </row>
  </sheetData>
  <printOptions/>
  <pageMargins left="0.25" right="0.34" top="0.984251968503937" bottom="0.984251968503937" header="0.5118110236220472" footer="0.5118110236220472"/>
  <pageSetup fitToHeight="1" fitToWidth="1" horizontalDpi="600" verticalDpi="600" orientation="landscape" paperSize="9" scale="47" r:id="rId1"/>
  <headerFooter alignWithMargins="0">
    <oddHeader>&amp;L&amp;F, &amp;A&amp;R&amp;T, &amp;D</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62"/>
  <sheetViews>
    <sheetView zoomScale="70" zoomScaleNormal="70" workbookViewId="0" topLeftCell="A1">
      <selection activeCell="M5" sqref="M5"/>
    </sheetView>
  </sheetViews>
  <sheetFormatPr defaultColWidth="12" defaultRowHeight="12.75"/>
  <cols>
    <col min="1" max="1" width="12" style="19" customWidth="1"/>
    <col min="2" max="2" width="18.5" style="19" customWidth="1"/>
    <col min="3" max="3" width="20.16015625" style="19" customWidth="1"/>
    <col min="4" max="4" width="12" style="19" customWidth="1"/>
    <col min="5" max="6" width="12" style="1" customWidth="1"/>
    <col min="7" max="7" width="11.5" style="21" customWidth="1"/>
    <col min="8" max="9" width="10.83203125" style="21" customWidth="1"/>
    <col min="10" max="12" width="12" style="1" customWidth="1"/>
    <col min="13" max="13" width="12" style="114" customWidth="1"/>
    <col min="14" max="22" width="12" style="1" customWidth="1"/>
    <col min="23" max="23" width="12" style="30" customWidth="1"/>
    <col min="24" max="24" width="12" style="31" customWidth="1"/>
    <col min="25" max="25" width="12" style="30" customWidth="1"/>
    <col min="26" max="26" width="12" style="31" customWidth="1"/>
    <col min="27" max="27" width="12" style="30" customWidth="1"/>
    <col min="28" max="28" width="12" style="31" customWidth="1"/>
    <col min="29" max="16384" width="12" style="19" customWidth="1"/>
  </cols>
  <sheetData>
    <row r="1" spans="3:28" s="25" customFormat="1" ht="12.75">
      <c r="C1" s="25" t="s">
        <v>127</v>
      </c>
      <c r="D1" s="25" t="s">
        <v>2</v>
      </c>
      <c r="E1" s="5" t="s">
        <v>530</v>
      </c>
      <c r="F1" s="5" t="s">
        <v>156</v>
      </c>
      <c r="G1" s="27" t="s">
        <v>455</v>
      </c>
      <c r="H1" s="27" t="s">
        <v>456</v>
      </c>
      <c r="I1" s="27" t="s">
        <v>457</v>
      </c>
      <c r="J1" s="7" t="s">
        <v>577</v>
      </c>
      <c r="K1" s="7" t="s">
        <v>578</v>
      </c>
      <c r="L1" s="7" t="s">
        <v>579</v>
      </c>
      <c r="M1" s="111" t="s">
        <v>459</v>
      </c>
      <c r="N1" s="7" t="s">
        <v>14</v>
      </c>
      <c r="O1" s="7" t="s">
        <v>15</v>
      </c>
      <c r="P1" s="7" t="s">
        <v>16</v>
      </c>
      <c r="Q1" s="7" t="s">
        <v>21</v>
      </c>
      <c r="R1" s="7" t="s">
        <v>22</v>
      </c>
      <c r="S1" s="7" t="s">
        <v>23</v>
      </c>
      <c r="T1" s="7" t="s">
        <v>356</v>
      </c>
      <c r="U1" s="7" t="s">
        <v>355</v>
      </c>
      <c r="V1" s="7" t="s">
        <v>357</v>
      </c>
      <c r="W1" s="101" t="s">
        <v>382</v>
      </c>
      <c r="X1" s="102"/>
      <c r="Y1" s="101" t="s">
        <v>383</v>
      </c>
      <c r="Z1" s="102"/>
      <c r="AA1" s="101" t="s">
        <v>384</v>
      </c>
      <c r="AB1" s="102"/>
    </row>
    <row r="2" spans="1:28" ht="13.5" thickBot="1">
      <c r="A2" s="19" t="s">
        <v>535</v>
      </c>
      <c r="B2" s="19" t="str">
        <f>PhotGlob!J4</f>
        <v>(BOLPHT155)</v>
      </c>
      <c r="D2" s="19" t="s">
        <v>91</v>
      </c>
      <c r="E2" s="1" t="s">
        <v>527</v>
      </c>
      <c r="F2" s="1" t="s">
        <v>126</v>
      </c>
      <c r="G2" s="9">
        <f aca="true" ca="1" t="shared" si="0" ref="G2:I11">IF(Flag="Ignore","",INDIRECT(Axe&amp;"0")+INDIRECT(Axe&amp;"fact")*INDIRECT("VerticesSyno!"&amp;AxeSyno&amp;Local))</f>
      </c>
      <c r="H2" s="9">
        <f ca="1" t="shared" si="0"/>
      </c>
      <c r="I2" s="9">
        <f ca="1" t="shared" si="0"/>
      </c>
      <c r="J2" s="9">
        <f aca="true" ca="1" t="shared" si="1" ref="J2:L21">IF(Flag="Ignore","",INDIRECT(Axe&amp;"fact")*INDIRECT("VerticesSyno!"&amp;AxeSyno&amp;Local))</f>
      </c>
      <c r="K2" s="9">
        <f ca="1" t="shared" si="1"/>
      </c>
      <c r="L2" s="9">
        <f ca="1" t="shared" si="1"/>
      </c>
      <c r="M2" s="112">
        <f>IF(Flag="Ignore","",IF(OR(Flag="Hole",Flag="Det"),1,SIGN(XnormP*GutCalc!Xnorm+YnormP*GutCalc!Ynorm+ZnormP*GutCalc!Znorm)))</f>
      </c>
      <c r="N2" s="9">
        <f aca="true" ca="1" t="shared" si="2" ref="N2:P21">IF(Flag="Ignore","",INDIRECT(Axe&amp;"fact")*INDIRECT("VerticesSyno!"&amp;AxeSyno&amp;Local)*NormDir)</f>
      </c>
      <c r="O2" s="9">
        <f ca="1" t="shared" si="2"/>
      </c>
      <c r="P2" s="9">
        <f ca="1" t="shared" si="2"/>
      </c>
      <c r="Q2" s="9">
        <f aca="true" ca="1" t="shared" si="3" ref="Q2:S21">IF(Flag="Ignore","",INDIRECT(Axe&amp;"fact")*INDIRECT("VerticesSyno!"&amp;AxeSyno&amp;Local))</f>
      </c>
      <c r="R2" s="9">
        <f ca="1" t="shared" si="3"/>
      </c>
      <c r="S2" s="9">
        <f ca="1" t="shared" si="3"/>
      </c>
      <c r="T2" s="9">
        <f aca="true" ca="1" t="shared" si="4" ref="T2:V21">IF(Flag="Ignore","",INDIRECT(Axe&amp;"fact")*INDIRECT("VerticesSyno!"&amp;AxeSyno&amp;Local)*NormDir*(-1))</f>
      </c>
      <c r="U2" s="9">
        <f ca="1" t="shared" si="4"/>
      </c>
      <c r="V2" s="9">
        <f ca="1" t="shared" si="4"/>
      </c>
      <c r="W2" s="30">
        <f>IF(Flag="Ignore","",Xtang*Xnorm+Ytang*Ynorm+Ztang*Znorm)</f>
      </c>
      <c r="X2" s="31">
        <f>IF(Flag="Ignore","",ACOS(W2)*180/PI())</f>
      </c>
      <c r="Y2" s="30">
        <f>IF(Flag="Ignore","",Xsag*Xnorm+Ysag*Ynorm+Zsag*Znorm)</f>
      </c>
      <c r="Z2" s="31">
        <f>IF(Flag="Ignore","",ACOS(Y2)*180/PI())</f>
      </c>
      <c r="AA2" s="30">
        <f>IF(Flag="Ignore","",Xsag*Xtang+Ysag*Ytang+Zsag*Ztang)</f>
      </c>
      <c r="AB2" s="31">
        <f>IF(Flag="Ignore","",ACOS(AA2)*180/PI())</f>
      </c>
    </row>
    <row r="3" spans="1:28" ht="12.75">
      <c r="A3" s="55" t="s">
        <v>536</v>
      </c>
      <c r="B3" s="55" t="str">
        <f>SpecUpGlob!J4</f>
        <v>(BOLSP501G)</v>
      </c>
      <c r="C3" s="10" t="s">
        <v>120</v>
      </c>
      <c r="D3" s="11" t="s">
        <v>92</v>
      </c>
      <c r="E3" s="11" t="s">
        <v>527</v>
      </c>
      <c r="F3" s="11" t="s">
        <v>126</v>
      </c>
      <c r="G3" s="9">
        <f ca="1" t="shared" si="0"/>
      </c>
      <c r="H3" s="9">
        <f ca="1" t="shared" si="0"/>
      </c>
      <c r="I3" s="9">
        <f ca="1" t="shared" si="0"/>
      </c>
      <c r="J3" s="9">
        <f ca="1" t="shared" si="1"/>
      </c>
      <c r="K3" s="9">
        <f ca="1" t="shared" si="1"/>
      </c>
      <c r="L3" s="9">
        <f ca="1" t="shared" si="1"/>
      </c>
      <c r="M3" s="112">
        <f>IF(Flag="Ignore","",IF(OR(Flag="Hole",Flag="Det"),1,SIGN(XnormP*GutCalc!Xnorm+YnormP*GutCalc!Ynorm+ZnormP*GutCalc!Znorm)))</f>
      </c>
      <c r="N3" s="9">
        <f ca="1" t="shared" si="2"/>
      </c>
      <c r="O3" s="9">
        <f ca="1" t="shared" si="2"/>
      </c>
      <c r="P3" s="9">
        <f ca="1" t="shared" si="2"/>
      </c>
      <c r="Q3" s="9">
        <f ca="1" t="shared" si="3"/>
      </c>
      <c r="R3" s="9">
        <f ca="1" t="shared" si="3"/>
      </c>
      <c r="S3" s="9">
        <f ca="1" t="shared" si="3"/>
      </c>
      <c r="T3" s="9">
        <f ca="1" t="shared" si="4"/>
      </c>
      <c r="U3" s="9">
        <f ca="1" t="shared" si="4"/>
      </c>
      <c r="V3" s="9">
        <f ca="1" t="shared" si="4"/>
      </c>
      <c r="W3" s="30">
        <f aca="true" t="shared" si="5" ref="W3:W48">IF(Flag="Ignore","",Xtang*Xnorm+Ytang*Ynorm+Ztang*Znorm)</f>
      </c>
      <c r="X3" s="31">
        <f aca="true" t="shared" si="6" ref="X3:X48">IF(Flag="Ignore","",ACOS(W3)*180/PI())</f>
      </c>
      <c r="Y3" s="30">
        <f aca="true" t="shared" si="7" ref="Y3:Y48">IF(Flag="Ignore","",Xsag*Xnorm+Ysag*Ynorm+Zsag*Znorm)</f>
      </c>
      <c r="Z3" s="31">
        <f aca="true" t="shared" si="8" ref="Z3:Z48">IF(Flag="Ignore","",ACOS(Y3)*180/PI())</f>
      </c>
      <c r="AA3" s="30">
        <f aca="true" t="shared" si="9" ref="AA3:AA48">IF(Flag="Ignore","",Xsag*Xtang+Ysag*Ytang+Zsag*Ztang)</f>
      </c>
      <c r="AB3" s="31">
        <f aca="true" t="shared" si="10" ref="AB3:AB48">IF(Flag="Ignore","",ACOS(AA3)*180/PI())</f>
      </c>
    </row>
    <row r="4" spans="1:28" ht="13.5" thickBot="1">
      <c r="A4" s="55" t="s">
        <v>537</v>
      </c>
      <c r="B4" s="55" t="str">
        <f>SpecLoGlob!J4</f>
        <v>(BOLSP501F_LO)</v>
      </c>
      <c r="C4" s="14"/>
      <c r="D4" s="15" t="s">
        <v>93</v>
      </c>
      <c r="E4" s="15" t="s">
        <v>527</v>
      </c>
      <c r="F4" s="15" t="s">
        <v>126</v>
      </c>
      <c r="G4" s="9">
        <f ca="1" t="shared" si="0"/>
      </c>
      <c r="H4" s="9">
        <f ca="1" t="shared" si="0"/>
      </c>
      <c r="I4" s="9">
        <f ca="1" t="shared" si="0"/>
      </c>
      <c r="J4" s="9">
        <f ca="1" t="shared" si="1"/>
      </c>
      <c r="K4" s="9">
        <f ca="1" t="shared" si="1"/>
      </c>
      <c r="L4" s="9">
        <f ca="1" t="shared" si="1"/>
      </c>
      <c r="M4" s="112">
        <f>IF(Flag="Ignore","",IF(OR(Flag="Hole",Flag="Det"),1,SIGN(XnormP*GutCalc!Xnorm+YnormP*GutCalc!Ynorm+ZnormP*GutCalc!Znorm)))</f>
      </c>
      <c r="N4" s="9">
        <f ca="1" t="shared" si="2"/>
      </c>
      <c r="O4" s="9">
        <f ca="1" t="shared" si="2"/>
      </c>
      <c r="P4" s="9">
        <f ca="1" t="shared" si="2"/>
      </c>
      <c r="Q4" s="9">
        <f ca="1" t="shared" si="3"/>
      </c>
      <c r="R4" s="9">
        <f ca="1" t="shared" si="3"/>
      </c>
      <c r="S4" s="9">
        <f ca="1" t="shared" si="3"/>
      </c>
      <c r="T4" s="9">
        <f ca="1" t="shared" si="4"/>
      </c>
      <c r="U4" s="9">
        <f ca="1" t="shared" si="4"/>
      </c>
      <c r="V4" s="9">
        <f ca="1" t="shared" si="4"/>
      </c>
      <c r="W4" s="30">
        <f t="shared" si="5"/>
      </c>
      <c r="X4" s="31">
        <f t="shared" si="6"/>
      </c>
      <c r="Y4" s="30">
        <f t="shared" si="7"/>
      </c>
      <c r="Z4" s="31">
        <f t="shared" si="8"/>
      </c>
      <c r="AA4" s="30">
        <f t="shared" si="9"/>
      </c>
      <c r="AB4" s="31">
        <f t="shared" si="10"/>
      </c>
    </row>
    <row r="5" spans="3:28" ht="12.75">
      <c r="C5" s="10" t="s">
        <v>121</v>
      </c>
      <c r="D5" s="11" t="s">
        <v>94</v>
      </c>
      <c r="E5" s="11" t="s">
        <v>527</v>
      </c>
      <c r="F5" s="11" t="s">
        <v>157</v>
      </c>
      <c r="G5" s="9">
        <f ca="1" t="shared" si="0"/>
        <v>202</v>
      </c>
      <c r="H5" s="9">
        <f ca="1" t="shared" si="0"/>
        <v>0</v>
      </c>
      <c r="I5" s="9">
        <f ca="1" t="shared" si="0"/>
        <v>0</v>
      </c>
      <c r="J5" s="9">
        <f ca="1" t="shared" si="1"/>
        <v>-1</v>
      </c>
      <c r="K5" s="9">
        <f ca="1" t="shared" si="1"/>
        <v>0</v>
      </c>
      <c r="L5" s="9">
        <f ca="1" t="shared" si="1"/>
        <v>0</v>
      </c>
      <c r="M5" s="112">
        <f>IF(Flag="Ignore","",IF(OR(Flag="Hole",Flag="Det"),1,SIGN(XnormP*GutCalc!Xnorm+YnormP*GutCalc!Ynorm+ZnormP*GutCalc!Znorm)))</f>
        <v>1</v>
      </c>
      <c r="N5" s="9">
        <f ca="1" t="shared" si="2"/>
        <v>-1</v>
      </c>
      <c r="O5" s="9">
        <f ca="1" t="shared" si="2"/>
        <v>0</v>
      </c>
      <c r="P5" s="9">
        <f ca="1" t="shared" si="2"/>
        <v>0</v>
      </c>
      <c r="Q5" s="9">
        <f ca="1" t="shared" si="3"/>
        <v>0</v>
      </c>
      <c r="R5" s="9">
        <f ca="1" t="shared" si="3"/>
        <v>1</v>
      </c>
      <c r="S5" s="9">
        <f ca="1" t="shared" si="3"/>
        <v>0</v>
      </c>
      <c r="T5" s="9">
        <f ca="1" t="shared" si="4"/>
        <v>0</v>
      </c>
      <c r="U5" s="9">
        <f ca="1" t="shared" si="4"/>
        <v>0</v>
      </c>
      <c r="V5" s="9">
        <f ca="1" t="shared" si="4"/>
        <v>-1</v>
      </c>
      <c r="W5" s="30">
        <f t="shared" si="5"/>
        <v>0</v>
      </c>
      <c r="X5" s="31">
        <f t="shared" si="6"/>
        <v>90</v>
      </c>
      <c r="Y5" s="30">
        <f t="shared" si="7"/>
        <v>0</v>
      </c>
      <c r="Z5" s="31">
        <f t="shared" si="8"/>
        <v>90</v>
      </c>
      <c r="AA5" s="30">
        <f t="shared" si="9"/>
        <v>0</v>
      </c>
      <c r="AB5" s="31">
        <f t="shared" si="10"/>
        <v>90</v>
      </c>
    </row>
    <row r="6" spans="1:28" ht="12.75">
      <c r="A6" s="23"/>
      <c r="B6" s="1"/>
      <c r="C6" s="18"/>
      <c r="D6" s="19" t="s">
        <v>95</v>
      </c>
      <c r="E6" s="19" t="s">
        <v>527</v>
      </c>
      <c r="F6" s="19"/>
      <c r="G6" s="9">
        <f ca="1" t="shared" si="0"/>
        <v>123.620663</v>
      </c>
      <c r="H6" s="9">
        <f ca="1" t="shared" si="0"/>
        <v>0</v>
      </c>
      <c r="I6" s="9">
        <f ca="1" t="shared" si="0"/>
        <v>-243.065859</v>
      </c>
      <c r="J6" s="9">
        <f ca="1" t="shared" si="1"/>
        <v>-0.9885381963040137</v>
      </c>
      <c r="K6" s="9">
        <f ca="1" t="shared" si="1"/>
        <v>0</v>
      </c>
      <c r="L6" s="9">
        <f ca="1" t="shared" si="1"/>
        <v>-0.15097097220329236</v>
      </c>
      <c r="M6" s="112">
        <f>IF(Flag="Ignore","",IF(OR(Flag="Hole",Flag="Det"),1,SIGN(XnormP*GutCalc!Xnorm+YnormP*GutCalc!Ynorm+ZnormP*GutCalc!Znorm)))</f>
        <v>-1</v>
      </c>
      <c r="N6" s="9">
        <f ca="1" t="shared" si="2"/>
        <v>0.9885381963040137</v>
      </c>
      <c r="O6" s="9">
        <f ca="1" t="shared" si="2"/>
        <v>0</v>
      </c>
      <c r="P6" s="9">
        <f ca="1" t="shared" si="2"/>
        <v>0.15097097220329236</v>
      </c>
      <c r="Q6" s="9">
        <f ca="1" t="shared" si="3"/>
        <v>0</v>
      </c>
      <c r="R6" s="9">
        <f ca="1" t="shared" si="3"/>
        <v>1</v>
      </c>
      <c r="S6" s="9">
        <f ca="1" t="shared" si="3"/>
        <v>0</v>
      </c>
      <c r="T6" s="9">
        <f ca="1" t="shared" si="4"/>
        <v>-0.15097097220329236</v>
      </c>
      <c r="U6" s="9">
        <f ca="1" t="shared" si="4"/>
        <v>0</v>
      </c>
      <c r="V6" s="9">
        <f ca="1" t="shared" si="4"/>
        <v>0.9885381963040137</v>
      </c>
      <c r="W6" s="30">
        <f t="shared" si="5"/>
        <v>0</v>
      </c>
      <c r="X6" s="31">
        <f t="shared" si="6"/>
        <v>90</v>
      </c>
      <c r="Y6" s="30">
        <f t="shared" si="7"/>
        <v>0</v>
      </c>
      <c r="Z6" s="31">
        <f t="shared" si="8"/>
        <v>90</v>
      </c>
      <c r="AA6" s="30">
        <f t="shared" si="9"/>
        <v>0</v>
      </c>
      <c r="AB6" s="31">
        <f t="shared" si="10"/>
        <v>90</v>
      </c>
    </row>
    <row r="7" spans="1:28" ht="12.75">
      <c r="A7" s="1"/>
      <c r="B7" s="1"/>
      <c r="C7" s="18"/>
      <c r="D7" s="19" t="s">
        <v>97</v>
      </c>
      <c r="E7" s="19" t="s">
        <v>527</v>
      </c>
      <c r="F7" s="19"/>
      <c r="G7" s="9">
        <f ca="1" t="shared" si="0"/>
        <v>316.125371</v>
      </c>
      <c r="H7" s="9">
        <f ca="1" t="shared" si="0"/>
        <v>0</v>
      </c>
      <c r="I7" s="9">
        <f ca="1" t="shared" si="0"/>
        <v>-200.09302</v>
      </c>
      <c r="J7" s="9">
        <f ca="1" t="shared" si="1"/>
        <v>-0.9513613165986495</v>
      </c>
      <c r="K7" s="9">
        <f ca="1" t="shared" si="1"/>
        <v>0</v>
      </c>
      <c r="L7" s="9">
        <f ca="1" t="shared" si="1"/>
        <v>0.3080773365239388</v>
      </c>
      <c r="M7" s="112">
        <f>IF(Flag="Ignore","",IF(OR(Flag="Hole",Flag="Det"),1,SIGN(XnormP*GutCalc!Xnorm+YnormP*GutCalc!Ynorm+ZnormP*GutCalc!Znorm)))</f>
        <v>1</v>
      </c>
      <c r="N7" s="9">
        <f ca="1" t="shared" si="2"/>
        <v>-0.9513613165986495</v>
      </c>
      <c r="O7" s="9">
        <f ca="1" t="shared" si="2"/>
        <v>0</v>
      </c>
      <c r="P7" s="9">
        <f ca="1" t="shared" si="2"/>
        <v>0.3080773365239388</v>
      </c>
      <c r="Q7" s="9">
        <f ca="1" t="shared" si="3"/>
        <v>0</v>
      </c>
      <c r="R7" s="9">
        <f ca="1" t="shared" si="3"/>
        <v>1</v>
      </c>
      <c r="S7" s="9">
        <f ca="1" t="shared" si="3"/>
        <v>0</v>
      </c>
      <c r="T7" s="9">
        <f ca="1" t="shared" si="4"/>
        <v>-0.3080773365239388</v>
      </c>
      <c r="U7" s="9">
        <f ca="1" t="shared" si="4"/>
        <v>0</v>
      </c>
      <c r="V7" s="9">
        <f ca="1" t="shared" si="4"/>
        <v>-0.9513613165986495</v>
      </c>
      <c r="W7" s="30">
        <f t="shared" si="5"/>
        <v>0</v>
      </c>
      <c r="X7" s="31">
        <f t="shared" si="6"/>
        <v>90</v>
      </c>
      <c r="Y7" s="30">
        <f t="shared" si="7"/>
        <v>0</v>
      </c>
      <c r="Z7" s="31">
        <f t="shared" si="8"/>
        <v>90</v>
      </c>
      <c r="AA7" s="30">
        <f t="shared" si="9"/>
        <v>0</v>
      </c>
      <c r="AB7" s="31">
        <f t="shared" si="10"/>
        <v>90</v>
      </c>
    </row>
    <row r="8" spans="1:28" ht="13.5" thickBot="1">
      <c r="A8" s="1"/>
      <c r="B8" s="1"/>
      <c r="C8" s="14"/>
      <c r="D8" s="15" t="s">
        <v>98</v>
      </c>
      <c r="E8" s="15" t="s">
        <v>527</v>
      </c>
      <c r="F8" s="15"/>
      <c r="G8" s="9">
        <f ca="1" t="shared" si="0"/>
        <v>119.782896</v>
      </c>
      <c r="H8" s="9">
        <f ca="1" t="shared" si="0"/>
        <v>0</v>
      </c>
      <c r="I8" s="9">
        <f ca="1" t="shared" si="0"/>
        <v>-179.687314</v>
      </c>
      <c r="J8" s="9">
        <f ca="1" t="shared" si="1"/>
        <v>-0.9652659093802869</v>
      </c>
      <c r="K8" s="9">
        <f ca="1" t="shared" si="1"/>
        <v>0</v>
      </c>
      <c r="L8" s="9">
        <f ca="1" t="shared" si="1"/>
        <v>0.26126944748333636</v>
      </c>
      <c r="M8" s="112">
        <f>IF(Flag="Ignore","",IF(OR(Flag="Hole",Flag="Det"),1,SIGN(XnormP*GutCalc!Xnorm+YnormP*GutCalc!Ynorm+ZnormP*GutCalc!Znorm)))</f>
        <v>-1</v>
      </c>
      <c r="N8" s="9">
        <f ca="1" t="shared" si="2"/>
        <v>0.9652659093802869</v>
      </c>
      <c r="O8" s="9">
        <f ca="1" t="shared" si="2"/>
        <v>0</v>
      </c>
      <c r="P8" s="9">
        <f ca="1" t="shared" si="2"/>
        <v>-0.26126944748333636</v>
      </c>
      <c r="Q8" s="9">
        <f ca="1" t="shared" si="3"/>
        <v>0</v>
      </c>
      <c r="R8" s="9">
        <f ca="1" t="shared" si="3"/>
        <v>1</v>
      </c>
      <c r="S8" s="9">
        <f ca="1" t="shared" si="3"/>
        <v>0</v>
      </c>
      <c r="T8" s="9">
        <f ca="1" t="shared" si="4"/>
        <v>0.26126944748333636</v>
      </c>
      <c r="U8" s="9">
        <f ca="1" t="shared" si="4"/>
        <v>0</v>
      </c>
      <c r="V8" s="9">
        <f ca="1" t="shared" si="4"/>
        <v>0.9652659093802869</v>
      </c>
      <c r="W8" s="30">
        <f t="shared" si="5"/>
        <v>0</v>
      </c>
      <c r="X8" s="31">
        <f t="shared" si="6"/>
        <v>90</v>
      </c>
      <c r="Y8" s="30">
        <f t="shared" si="7"/>
        <v>0</v>
      </c>
      <c r="Z8" s="31">
        <f t="shared" si="8"/>
        <v>90</v>
      </c>
      <c r="AA8" s="30">
        <f t="shared" si="9"/>
        <v>0</v>
      </c>
      <c r="AB8" s="31">
        <f t="shared" si="10"/>
        <v>90</v>
      </c>
    </row>
    <row r="9" spans="1:28" ht="12.75">
      <c r="A9" s="23" t="s">
        <v>581</v>
      </c>
      <c r="B9" s="1"/>
      <c r="C9" s="10" t="s">
        <v>122</v>
      </c>
      <c r="D9" s="11" t="s">
        <v>101</v>
      </c>
      <c r="E9" s="11" t="s">
        <v>527</v>
      </c>
      <c r="F9" s="11"/>
      <c r="G9" s="9">
        <f ca="1" t="shared" si="0"/>
        <v>296.150668</v>
      </c>
      <c r="H9" s="9">
        <f ca="1" t="shared" si="0"/>
        <v>0</v>
      </c>
      <c r="I9" s="9">
        <f ca="1" t="shared" si="0"/>
        <v>-259.533222</v>
      </c>
      <c r="J9" s="9">
        <f ca="1" t="shared" si="1"/>
        <v>-0.9866933234324157</v>
      </c>
      <c r="K9" s="9">
        <f ca="1" t="shared" si="1"/>
        <v>0</v>
      </c>
      <c r="L9" s="9">
        <f ca="1" t="shared" si="1"/>
        <v>0.16259239063958172</v>
      </c>
      <c r="M9" s="112">
        <f>IF(Flag="Ignore","",IF(OR(Flag="Hole",Flag="Det"),1,SIGN(XnormP*GutCalc!Xnorm+YnormP*GutCalc!Ynorm+ZnormP*GutCalc!Znorm)))</f>
        <v>1</v>
      </c>
      <c r="N9" s="9">
        <f ca="1" t="shared" si="2"/>
        <v>-0.9866933234324157</v>
      </c>
      <c r="O9" s="9">
        <f ca="1" t="shared" si="2"/>
        <v>0</v>
      </c>
      <c r="P9" s="9">
        <f ca="1" t="shared" si="2"/>
        <v>0.16259239063958172</v>
      </c>
      <c r="Q9" s="9">
        <f ca="1" t="shared" si="3"/>
        <v>0</v>
      </c>
      <c r="R9" s="9">
        <f ca="1" t="shared" si="3"/>
        <v>1</v>
      </c>
      <c r="S9" s="9">
        <f ca="1" t="shared" si="3"/>
        <v>0</v>
      </c>
      <c r="T9" s="9">
        <f ca="1" t="shared" si="4"/>
        <v>-0.16259239063958172</v>
      </c>
      <c r="U9" s="9">
        <f ca="1" t="shared" si="4"/>
        <v>0</v>
      </c>
      <c r="V9" s="9">
        <f ca="1" t="shared" si="4"/>
        <v>-0.9866933234324157</v>
      </c>
      <c r="W9" s="30">
        <f t="shared" si="5"/>
        <v>0</v>
      </c>
      <c r="X9" s="31">
        <f t="shared" si="6"/>
        <v>90</v>
      </c>
      <c r="Y9" s="30">
        <f t="shared" si="7"/>
        <v>0</v>
      </c>
      <c r="Z9" s="31">
        <f t="shared" si="8"/>
        <v>90</v>
      </c>
      <c r="AA9" s="30">
        <f t="shared" si="9"/>
        <v>0</v>
      </c>
      <c r="AB9" s="31">
        <f t="shared" si="10"/>
        <v>90</v>
      </c>
    </row>
    <row r="10" spans="1:28" ht="12.75">
      <c r="A10" s="1" t="s">
        <v>568</v>
      </c>
      <c r="B10" s="1"/>
      <c r="C10" s="18"/>
      <c r="D10" s="19" t="s">
        <v>104</v>
      </c>
      <c r="E10" s="19" t="s">
        <v>527</v>
      </c>
      <c r="F10" s="19"/>
      <c r="G10" s="9">
        <f ca="1" t="shared" si="0"/>
        <v>94.233806</v>
      </c>
      <c r="H10" s="9">
        <f ca="1" t="shared" si="0"/>
        <v>0</v>
      </c>
      <c r="I10" s="9">
        <f ca="1" t="shared" si="0"/>
        <v>-279.482925</v>
      </c>
      <c r="J10" s="9">
        <f ca="1" t="shared" si="1"/>
        <v>-0.9580859005476418</v>
      </c>
      <c r="K10" s="9">
        <f ca="1" t="shared" si="1"/>
        <v>0</v>
      </c>
      <c r="L10" s="9">
        <f ca="1" t="shared" si="1"/>
        <v>0.2864810764637242</v>
      </c>
      <c r="M10" s="112">
        <f>IF(Flag="Ignore","",IF(OR(Flag="Hole",Flag="Det"),1,SIGN(XnormP*GutCalc!Xnorm+YnormP*GutCalc!Ynorm+ZnormP*GutCalc!Znorm)))</f>
        <v>-1</v>
      </c>
      <c r="N10" s="9">
        <f ca="1" t="shared" si="2"/>
        <v>0.9580859005476418</v>
      </c>
      <c r="O10" s="9">
        <f ca="1" t="shared" si="2"/>
        <v>0</v>
      </c>
      <c r="P10" s="9">
        <f ca="1" t="shared" si="2"/>
        <v>-0.2864810764637242</v>
      </c>
      <c r="Q10" s="9">
        <f ca="1" t="shared" si="3"/>
        <v>0</v>
      </c>
      <c r="R10" s="9">
        <f ca="1" t="shared" si="3"/>
        <v>1</v>
      </c>
      <c r="S10" s="9">
        <f ca="1" t="shared" si="3"/>
        <v>0</v>
      </c>
      <c r="T10" s="9">
        <f ca="1" t="shared" si="4"/>
        <v>0.2864810764637242</v>
      </c>
      <c r="U10" s="9">
        <f ca="1" t="shared" si="4"/>
        <v>0</v>
      </c>
      <c r="V10" s="9">
        <f ca="1" t="shared" si="4"/>
        <v>0.9580859005476418</v>
      </c>
      <c r="W10" s="30">
        <f t="shared" si="5"/>
        <v>0</v>
      </c>
      <c r="X10" s="31">
        <f t="shared" si="6"/>
        <v>90</v>
      </c>
      <c r="Y10" s="30">
        <f t="shared" si="7"/>
        <v>0</v>
      </c>
      <c r="Z10" s="31">
        <f t="shared" si="8"/>
        <v>90</v>
      </c>
      <c r="AA10" s="30">
        <f t="shared" si="9"/>
        <v>0</v>
      </c>
      <c r="AB10" s="31">
        <f t="shared" si="10"/>
        <v>90</v>
      </c>
    </row>
    <row r="11" spans="1:28" ht="12.75">
      <c r="A11" s="1" t="s">
        <v>569</v>
      </c>
      <c r="B11" s="1"/>
      <c r="C11" s="18"/>
      <c r="D11" s="19" t="s">
        <v>107</v>
      </c>
      <c r="E11" s="19" t="s">
        <v>527</v>
      </c>
      <c r="F11" s="19"/>
      <c r="G11" s="9">
        <f ca="1" t="shared" si="0"/>
        <v>240.46642400000002</v>
      </c>
      <c r="H11" s="9">
        <f ca="1" t="shared" si="0"/>
        <v>0</v>
      </c>
      <c r="I11" s="9">
        <f ca="1" t="shared" si="0"/>
        <v>-397.635459</v>
      </c>
      <c r="J11" s="9">
        <f ca="1" t="shared" si="1"/>
        <v>-0.9974275384838198</v>
      </c>
      <c r="K11" s="9">
        <f ca="1" t="shared" si="1"/>
        <v>0</v>
      </c>
      <c r="L11" s="9">
        <f ca="1" t="shared" si="1"/>
        <v>-0.07168197454108007</v>
      </c>
      <c r="M11" s="112">
        <f>IF(Flag="Ignore","",IF(OR(Flag="Hole",Flag="Det"),1,SIGN(XnormP*GutCalc!Xnorm+YnormP*GutCalc!Ynorm+ZnormP*GutCalc!Znorm)))</f>
        <v>1</v>
      </c>
      <c r="N11" s="9">
        <f ca="1" t="shared" si="2"/>
        <v>-0.9974275384838198</v>
      </c>
      <c r="O11" s="9">
        <f ca="1" t="shared" si="2"/>
        <v>0</v>
      </c>
      <c r="P11" s="9">
        <f ca="1" t="shared" si="2"/>
        <v>-0.07168197454108007</v>
      </c>
      <c r="Q11" s="9">
        <f ca="1" t="shared" si="3"/>
        <v>0</v>
      </c>
      <c r="R11" s="9">
        <f ca="1" t="shared" si="3"/>
        <v>1</v>
      </c>
      <c r="S11" s="9">
        <f ca="1" t="shared" si="3"/>
        <v>0</v>
      </c>
      <c r="T11" s="9">
        <f ca="1" t="shared" si="4"/>
        <v>0.07168197454108007</v>
      </c>
      <c r="U11" s="9">
        <f ca="1" t="shared" si="4"/>
        <v>0</v>
      </c>
      <c r="V11" s="9">
        <f ca="1" t="shared" si="4"/>
        <v>-0.9974275384838198</v>
      </c>
      <c r="W11" s="30">
        <f t="shared" si="5"/>
        <v>0</v>
      </c>
      <c r="X11" s="31">
        <f t="shared" si="6"/>
        <v>90</v>
      </c>
      <c r="Y11" s="30">
        <f t="shared" si="7"/>
        <v>0</v>
      </c>
      <c r="Z11" s="31">
        <f t="shared" si="8"/>
        <v>90</v>
      </c>
      <c r="AA11" s="30">
        <f t="shared" si="9"/>
        <v>0</v>
      </c>
      <c r="AB11" s="31">
        <f t="shared" si="10"/>
        <v>90</v>
      </c>
    </row>
    <row r="12" spans="1:28" ht="12.75">
      <c r="A12" s="1" t="s">
        <v>570</v>
      </c>
      <c r="B12" s="1"/>
      <c r="C12" s="18"/>
      <c r="D12" s="19" t="s">
        <v>108</v>
      </c>
      <c r="E12" s="19" t="s">
        <v>527</v>
      </c>
      <c r="F12" s="19" t="s">
        <v>157</v>
      </c>
      <c r="G12" s="9">
        <f aca="true" ca="1" t="shared" si="11" ref="G12:I21">IF(Flag="Ignore","",INDIRECT(Axe&amp;"0")+INDIRECT(Axe&amp;"fact")*INDIRECT("VerticesSyno!"&amp;AxeSyno&amp;Local))</f>
        <v>192.868434</v>
      </c>
      <c r="H12" s="9">
        <f ca="1" t="shared" si="11"/>
        <v>0</v>
      </c>
      <c r="I12" s="9">
        <f ca="1" t="shared" si="11"/>
        <v>-448.96217</v>
      </c>
      <c r="J12" s="9">
        <f ca="1" t="shared" si="1"/>
        <v>-0.6799712953275036</v>
      </c>
      <c r="K12" s="9">
        <f ca="1" t="shared" si="1"/>
        <v>0</v>
      </c>
      <c r="L12" s="9">
        <f ca="1" t="shared" si="1"/>
        <v>-0.7332387316083603</v>
      </c>
      <c r="M12" s="112">
        <f>IF(Flag="Ignore","",IF(OR(Flag="Hole",Flag="Det"),1,SIGN(XnormP*GutCalc!Xnorm+YnormP*GutCalc!Ynorm+ZnormP*GutCalc!Znorm)))</f>
        <v>1</v>
      </c>
      <c r="N12" s="9">
        <f ca="1" t="shared" si="2"/>
        <v>-0.6799712953275036</v>
      </c>
      <c r="O12" s="9">
        <f ca="1" t="shared" si="2"/>
        <v>0</v>
      </c>
      <c r="P12" s="9">
        <f ca="1" t="shared" si="2"/>
        <v>-0.7332387316083603</v>
      </c>
      <c r="Q12" s="9">
        <f ca="1" t="shared" si="3"/>
        <v>0</v>
      </c>
      <c r="R12" s="9">
        <f ca="1" t="shared" si="3"/>
        <v>1</v>
      </c>
      <c r="S12" s="9">
        <f ca="1" t="shared" si="3"/>
        <v>0</v>
      </c>
      <c r="T12" s="9">
        <f ca="1" t="shared" si="4"/>
        <v>0.7332387316083603</v>
      </c>
      <c r="U12" s="9">
        <f ca="1" t="shared" si="4"/>
        <v>0</v>
      </c>
      <c r="V12" s="9">
        <f ca="1" t="shared" si="4"/>
        <v>-0.6799712953275036</v>
      </c>
      <c r="W12" s="30">
        <f t="shared" si="5"/>
        <v>0</v>
      </c>
      <c r="X12" s="31">
        <f t="shared" si="6"/>
        <v>90</v>
      </c>
      <c r="Y12" s="30">
        <f t="shared" si="7"/>
        <v>0</v>
      </c>
      <c r="Z12" s="31">
        <f t="shared" si="8"/>
        <v>90</v>
      </c>
      <c r="AA12" s="30">
        <f t="shared" si="9"/>
        <v>0</v>
      </c>
      <c r="AB12" s="31">
        <f t="shared" si="10"/>
        <v>90</v>
      </c>
    </row>
    <row r="13" spans="1:28" ht="13.5" thickBot="1">
      <c r="A13" s="23" t="s">
        <v>134</v>
      </c>
      <c r="B13" s="1"/>
      <c r="C13" s="14"/>
      <c r="D13" s="15" t="s">
        <v>109</v>
      </c>
      <c r="E13" s="15" t="s">
        <v>527</v>
      </c>
      <c r="F13" s="15"/>
      <c r="G13" s="9">
        <f ca="1" t="shared" si="11"/>
        <v>104.472165</v>
      </c>
      <c r="H13" s="9">
        <f ca="1" t="shared" si="11"/>
        <v>0</v>
      </c>
      <c r="I13" s="9">
        <f ca="1" t="shared" si="11"/>
        <v>-544.283205</v>
      </c>
      <c r="J13" s="9">
        <f ca="1" t="shared" si="1"/>
        <v>-0.8897464246421136</v>
      </c>
      <c r="K13" s="9">
        <f ca="1" t="shared" si="1"/>
        <v>0</v>
      </c>
      <c r="L13" s="9">
        <f ca="1" t="shared" si="1"/>
        <v>-0.4564551454815419</v>
      </c>
      <c r="M13" s="112">
        <f>IF(Flag="Ignore","",IF(OR(Flag="Hole",Flag="Det"),1,SIGN(XnormP*GutCalc!Xnorm+YnormP*GutCalc!Ynorm+ZnormP*GutCalc!Znorm)))</f>
        <v>-1</v>
      </c>
      <c r="N13" s="9">
        <f ca="1" t="shared" si="2"/>
        <v>0.8897464246421136</v>
      </c>
      <c r="O13" s="9">
        <f ca="1" t="shared" si="2"/>
        <v>0</v>
      </c>
      <c r="P13" s="9">
        <f ca="1" t="shared" si="2"/>
        <v>0.4564551454815419</v>
      </c>
      <c r="Q13" s="9">
        <f ca="1" t="shared" si="3"/>
        <v>0</v>
      </c>
      <c r="R13" s="9">
        <f ca="1" t="shared" si="3"/>
        <v>1</v>
      </c>
      <c r="S13" s="9">
        <f ca="1" t="shared" si="3"/>
        <v>0</v>
      </c>
      <c r="T13" s="9">
        <f ca="1" t="shared" si="4"/>
        <v>-0.4564551454815419</v>
      </c>
      <c r="U13" s="9">
        <f ca="1" t="shared" si="4"/>
        <v>0</v>
      </c>
      <c r="V13" s="9">
        <f ca="1" t="shared" si="4"/>
        <v>0.8897464246421136</v>
      </c>
      <c r="W13" s="30">
        <f t="shared" si="5"/>
        <v>0</v>
      </c>
      <c r="X13" s="31">
        <f t="shared" si="6"/>
        <v>90</v>
      </c>
      <c r="Y13" s="30">
        <f t="shared" si="7"/>
        <v>0</v>
      </c>
      <c r="Z13" s="31">
        <f t="shared" si="8"/>
        <v>90</v>
      </c>
      <c r="AA13" s="30">
        <f t="shared" si="9"/>
        <v>0</v>
      </c>
      <c r="AB13" s="31">
        <f t="shared" si="10"/>
        <v>90</v>
      </c>
    </row>
    <row r="14" spans="1:28" ht="12.75">
      <c r="A14" s="22" t="s">
        <v>110</v>
      </c>
      <c r="B14" s="22">
        <v>202</v>
      </c>
      <c r="C14" s="10" t="s">
        <v>123</v>
      </c>
      <c r="D14" s="11" t="s">
        <v>111</v>
      </c>
      <c r="E14" s="11" t="s">
        <v>527</v>
      </c>
      <c r="F14" s="11"/>
      <c r="G14" s="9">
        <f ca="1" t="shared" si="11"/>
        <v>238.419841</v>
      </c>
      <c r="H14" s="9">
        <f ca="1" t="shared" si="11"/>
        <v>0</v>
      </c>
      <c r="I14" s="9">
        <f ca="1" t="shared" si="11"/>
        <v>-527.460001</v>
      </c>
      <c r="J14" s="9">
        <f ca="1" t="shared" si="1"/>
        <v>-0.9051344700049381</v>
      </c>
      <c r="K14" s="9">
        <f ca="1" t="shared" si="1"/>
        <v>0</v>
      </c>
      <c r="L14" s="9">
        <f ca="1" t="shared" si="1"/>
        <v>-0.4251253829270604</v>
      </c>
      <c r="M14" s="112">
        <f>IF(Flag="Ignore","",IF(OR(Flag="Hole",Flag="Det"),1,SIGN(XnormP*GutCalc!Xnorm+YnormP*GutCalc!Ynorm+ZnormP*GutCalc!Znorm)))</f>
        <v>1</v>
      </c>
      <c r="N14" s="9">
        <f ca="1" t="shared" si="2"/>
        <v>-0.9051344700049381</v>
      </c>
      <c r="O14" s="9">
        <f ca="1" t="shared" si="2"/>
        <v>0</v>
      </c>
      <c r="P14" s="9">
        <f ca="1" t="shared" si="2"/>
        <v>-0.4251253829270604</v>
      </c>
      <c r="Q14" s="9">
        <f ca="1" t="shared" si="3"/>
        <v>0</v>
      </c>
      <c r="R14" s="9">
        <f ca="1" t="shared" si="3"/>
        <v>1</v>
      </c>
      <c r="S14" s="9">
        <f ca="1" t="shared" si="3"/>
        <v>0</v>
      </c>
      <c r="T14" s="9">
        <f ca="1" t="shared" si="4"/>
        <v>0.4251253829270604</v>
      </c>
      <c r="U14" s="9">
        <f ca="1" t="shared" si="4"/>
        <v>0</v>
      </c>
      <c r="V14" s="9">
        <f ca="1" t="shared" si="4"/>
        <v>-0.9051344700049381</v>
      </c>
      <c r="W14" s="30">
        <f t="shared" si="5"/>
        <v>0</v>
      </c>
      <c r="X14" s="31">
        <f t="shared" si="6"/>
        <v>90</v>
      </c>
      <c r="Y14" s="30">
        <f t="shared" si="7"/>
        <v>0</v>
      </c>
      <c r="Z14" s="31">
        <f t="shared" si="8"/>
        <v>90</v>
      </c>
      <c r="AA14" s="30">
        <f t="shared" si="9"/>
        <v>0</v>
      </c>
      <c r="AB14" s="31">
        <f t="shared" si="10"/>
        <v>90</v>
      </c>
    </row>
    <row r="15" spans="1:28" ht="12.75">
      <c r="A15" s="22" t="s">
        <v>112</v>
      </c>
      <c r="B15" s="22">
        <v>0</v>
      </c>
      <c r="C15" s="18"/>
      <c r="D15" s="19" t="s">
        <v>113</v>
      </c>
      <c r="E15" s="19" t="s">
        <v>527</v>
      </c>
      <c r="F15" s="19"/>
      <c r="G15" s="9">
        <f ca="1" t="shared" si="11"/>
        <v>139.942327</v>
      </c>
      <c r="H15" s="9">
        <f ca="1" t="shared" si="11"/>
        <v>1.82E-14</v>
      </c>
      <c r="I15" s="9">
        <f ca="1" t="shared" si="11"/>
        <v>-619.802728</v>
      </c>
      <c r="J15" s="9">
        <f ca="1" t="shared" si="1"/>
        <v>-0.5158082818360727</v>
      </c>
      <c r="K15" s="9">
        <f ca="1" t="shared" si="1"/>
        <v>0.7071067811865475</v>
      </c>
      <c r="L15" s="9">
        <f ca="1" t="shared" si="1"/>
        <v>-0.4836753212531301</v>
      </c>
      <c r="M15" s="112">
        <f>IF(Flag="Ignore","",IF(OR(Flag="Hole",Flag="Det"),1,SIGN(XnormP*GutCalc!Xnorm+YnormP*GutCalc!Ynorm+ZnormP*GutCalc!Znorm)))</f>
        <v>-1</v>
      </c>
      <c r="N15" s="9">
        <f ca="1" t="shared" si="2"/>
        <v>0.5158082818360727</v>
      </c>
      <c r="O15" s="9">
        <f ca="1" t="shared" si="2"/>
        <v>-0.7071067811865475</v>
      </c>
      <c r="P15" s="9">
        <f ca="1" t="shared" si="2"/>
        <v>0.4836753212531301</v>
      </c>
      <c r="Q15" s="9">
        <f ca="1" t="shared" si="3"/>
        <v>0.5158082818360726</v>
      </c>
      <c r="R15" s="9">
        <f ca="1" t="shared" si="3"/>
        <v>0.7071067811865476</v>
      </c>
      <c r="S15" s="9">
        <f ca="1" t="shared" si="3"/>
        <v>0.48367532125313006</v>
      </c>
      <c r="T15" s="9">
        <f ca="1" t="shared" si="4"/>
        <v>-0.6840201991013403</v>
      </c>
      <c r="U15" s="9">
        <f ca="1" t="shared" si="4"/>
        <v>0</v>
      </c>
      <c r="V15" s="9">
        <f ca="1" t="shared" si="4"/>
        <v>0.7294630677569378</v>
      </c>
      <c r="W15" s="30">
        <f t="shared" si="5"/>
        <v>0</v>
      </c>
      <c r="X15" s="31">
        <f t="shared" si="6"/>
        <v>90</v>
      </c>
      <c r="Y15" s="30">
        <f t="shared" si="7"/>
        <v>0</v>
      </c>
      <c r="Z15" s="31">
        <f t="shared" si="8"/>
        <v>90</v>
      </c>
      <c r="AA15" s="30">
        <f t="shared" si="9"/>
        <v>5.551115123125783E-17</v>
      </c>
      <c r="AB15" s="31">
        <f t="shared" si="10"/>
        <v>90</v>
      </c>
    </row>
    <row r="16" spans="1:28" ht="13.5" thickBot="1">
      <c r="A16" s="22" t="s">
        <v>114</v>
      </c>
      <c r="B16" s="22">
        <v>0</v>
      </c>
      <c r="C16" s="14"/>
      <c r="D16" s="15" t="s">
        <v>115</v>
      </c>
      <c r="E16" s="15" t="s">
        <v>527</v>
      </c>
      <c r="F16" s="15" t="s">
        <v>158</v>
      </c>
      <c r="G16" s="9">
        <f ca="1" t="shared" si="11"/>
        <v>139.942327</v>
      </c>
      <c r="H16" s="9">
        <f ca="1" t="shared" si="11"/>
        <v>-50</v>
      </c>
      <c r="I16" s="9">
        <f ca="1" t="shared" si="11"/>
        <v>-619.802728</v>
      </c>
      <c r="J16" s="9">
        <f ca="1" t="shared" si="1"/>
        <v>-6.1257422745431E-17</v>
      </c>
      <c r="K16" s="9">
        <f ca="1" t="shared" si="1"/>
        <v>1</v>
      </c>
      <c r="L16" s="9">
        <f ca="1" t="shared" si="1"/>
        <v>0</v>
      </c>
      <c r="M16" s="112">
        <f>IF(Flag="Ignore","",IF(OR(Flag="Hole",Flag="Det"),1,SIGN(XnormP*GutCalc!Xnorm+YnormP*GutCalc!Ynorm+ZnormP*GutCalc!Znorm)))</f>
        <v>1</v>
      </c>
      <c r="N16" s="9">
        <f ca="1" t="shared" si="2"/>
        <v>-6.1257422745431E-17</v>
      </c>
      <c r="O16" s="9">
        <f ca="1" t="shared" si="2"/>
        <v>1</v>
      </c>
      <c r="P16" s="9">
        <f ca="1" t="shared" si="2"/>
        <v>0</v>
      </c>
      <c r="Q16" s="9">
        <f ca="1" t="shared" si="3"/>
        <v>1</v>
      </c>
      <c r="R16" s="9">
        <f ca="1" t="shared" si="3"/>
        <v>6.1257422745431E-17</v>
      </c>
      <c r="S16" s="9">
        <f ca="1" t="shared" si="3"/>
        <v>0</v>
      </c>
      <c r="T16" s="9">
        <f ca="1" t="shared" si="4"/>
        <v>0</v>
      </c>
      <c r="U16" s="9">
        <f ca="1" t="shared" si="4"/>
        <v>0</v>
      </c>
      <c r="V16" s="9">
        <f ca="1" t="shared" si="4"/>
        <v>-1</v>
      </c>
      <c r="W16" s="30">
        <f t="shared" si="5"/>
        <v>0</v>
      </c>
      <c r="X16" s="31">
        <f t="shared" si="6"/>
        <v>90</v>
      </c>
      <c r="Y16" s="30">
        <f t="shared" si="7"/>
        <v>0</v>
      </c>
      <c r="Z16" s="31">
        <f t="shared" si="8"/>
        <v>90</v>
      </c>
      <c r="AA16" s="30">
        <f t="shared" si="9"/>
        <v>0</v>
      </c>
      <c r="AB16" s="31">
        <f t="shared" si="10"/>
        <v>90</v>
      </c>
    </row>
    <row r="17" spans="1:28" ht="13.5" thickBot="1">
      <c r="A17" s="22" t="s">
        <v>571</v>
      </c>
      <c r="B17" s="22">
        <v>-1</v>
      </c>
      <c r="D17" s="19" t="s">
        <v>111</v>
      </c>
      <c r="E17" s="1" t="s">
        <v>527</v>
      </c>
      <c r="F17" s="1" t="s">
        <v>126</v>
      </c>
      <c r="G17" s="9">
        <f ca="1" t="shared" si="11"/>
      </c>
      <c r="H17" s="9">
        <f ca="1" t="shared" si="11"/>
      </c>
      <c r="I17" s="9">
        <f ca="1" t="shared" si="11"/>
      </c>
      <c r="J17" s="9">
        <f ca="1" t="shared" si="1"/>
      </c>
      <c r="K17" s="9">
        <f ca="1" t="shared" si="1"/>
      </c>
      <c r="L17" s="9">
        <f ca="1" t="shared" si="1"/>
      </c>
      <c r="M17" s="112">
        <f>IF(Flag="Ignore","",IF(OR(Flag="Hole",Flag="Det"),1,SIGN(XnormP*GutCalc!Xnorm+YnormP*GutCalc!Ynorm+ZnormP*GutCalc!Znorm)))</f>
      </c>
      <c r="N17" s="9">
        <f ca="1" t="shared" si="2"/>
      </c>
      <c r="O17" s="9">
        <f ca="1" t="shared" si="2"/>
      </c>
      <c r="P17" s="9">
        <f ca="1" t="shared" si="2"/>
      </c>
      <c r="Q17" s="9">
        <f ca="1" t="shared" si="3"/>
      </c>
      <c r="R17" s="9">
        <f ca="1" t="shared" si="3"/>
      </c>
      <c r="S17" s="9">
        <f ca="1" t="shared" si="3"/>
      </c>
      <c r="T17" s="9">
        <f ca="1" t="shared" si="4"/>
      </c>
      <c r="U17" s="9">
        <f ca="1" t="shared" si="4"/>
      </c>
      <c r="V17" s="9">
        <f ca="1" t="shared" si="4"/>
      </c>
      <c r="W17" s="30">
        <f t="shared" si="5"/>
      </c>
      <c r="X17" s="31">
        <f t="shared" si="6"/>
      </c>
      <c r="Y17" s="30">
        <f t="shared" si="7"/>
      </c>
      <c r="Z17" s="31">
        <f t="shared" si="8"/>
      </c>
      <c r="AA17" s="30">
        <f t="shared" si="9"/>
      </c>
      <c r="AB17" s="31">
        <f t="shared" si="10"/>
      </c>
    </row>
    <row r="18" spans="1:28" ht="12.75">
      <c r="A18" s="22" t="s">
        <v>572</v>
      </c>
      <c r="B18" s="22">
        <v>1</v>
      </c>
      <c r="C18" s="10" t="s">
        <v>124</v>
      </c>
      <c r="D18" s="11" t="s">
        <v>116</v>
      </c>
      <c r="E18" s="11" t="s">
        <v>527</v>
      </c>
      <c r="F18" s="11"/>
      <c r="G18" s="9">
        <f ca="1" t="shared" si="11"/>
        <v>337.64034100000003</v>
      </c>
      <c r="H18" s="9">
        <f ca="1" t="shared" si="11"/>
        <v>7.15E-15</v>
      </c>
      <c r="I18" s="9">
        <f ca="1" t="shared" si="11"/>
        <v>-514.998367</v>
      </c>
      <c r="J18" s="9">
        <f ca="1" t="shared" si="1"/>
        <v>-0.8992431213587703</v>
      </c>
      <c r="K18" s="9">
        <f ca="1" t="shared" si="1"/>
        <v>-0.42261826174069944</v>
      </c>
      <c r="L18" s="9">
        <f ca="1" t="shared" si="1"/>
        <v>-0.1129407523093658</v>
      </c>
      <c r="M18" s="112">
        <f>IF(Flag="Ignore","",IF(OR(Flag="Hole",Flag="Det"),1,SIGN(XnormP*GutCalc!Xnorm+YnormP*GutCalc!Ynorm+ZnormP*GutCalc!Znorm)))</f>
        <v>1</v>
      </c>
      <c r="N18" s="9">
        <f ca="1" t="shared" si="2"/>
        <v>-0.8992431213587703</v>
      </c>
      <c r="O18" s="9">
        <f ca="1" t="shared" si="2"/>
        <v>-0.42261826174069944</v>
      </c>
      <c r="P18" s="9">
        <f ca="1" t="shared" si="2"/>
        <v>-0.1129407523093658</v>
      </c>
      <c r="Q18" s="9">
        <f ca="1" t="shared" si="3"/>
        <v>-0.4193239540327994</v>
      </c>
      <c r="R18" s="9">
        <f ca="1" t="shared" si="3"/>
        <v>0.9063077870366499</v>
      </c>
      <c r="S18" s="9">
        <f ca="1" t="shared" si="3"/>
        <v>-0.05266513771964412</v>
      </c>
      <c r="T18" s="9">
        <f ca="1" t="shared" si="4"/>
        <v>0.12461633224916628</v>
      </c>
      <c r="U18" s="9">
        <f ca="1" t="shared" si="4"/>
        <v>0</v>
      </c>
      <c r="V18" s="9">
        <f ca="1" t="shared" si="4"/>
        <v>-0.9922050038861754</v>
      </c>
      <c r="W18" s="30">
        <f t="shared" si="5"/>
        <v>0</v>
      </c>
      <c r="X18" s="31">
        <f t="shared" si="6"/>
        <v>90</v>
      </c>
      <c r="Y18" s="30">
        <f t="shared" si="7"/>
        <v>-3.0357660829594124E-17</v>
      </c>
      <c r="Z18" s="31">
        <f t="shared" si="8"/>
        <v>90</v>
      </c>
      <c r="AA18" s="30">
        <f t="shared" si="9"/>
        <v>6.938893903907228E-18</v>
      </c>
      <c r="AB18" s="31">
        <f t="shared" si="10"/>
        <v>90</v>
      </c>
    </row>
    <row r="19" spans="1:28" ht="13.5" thickBot="1">
      <c r="A19" s="22" t="s">
        <v>573</v>
      </c>
      <c r="B19" s="22">
        <v>1</v>
      </c>
      <c r="C19" s="14"/>
      <c r="D19" s="15" t="s">
        <v>117</v>
      </c>
      <c r="E19" s="15" t="s">
        <v>527</v>
      </c>
      <c r="F19" s="15" t="s">
        <v>158</v>
      </c>
      <c r="G19" s="9">
        <f ca="1" t="shared" si="11"/>
        <v>283.429289</v>
      </c>
      <c r="H19" s="9">
        <f ca="1" t="shared" si="11"/>
        <v>-65.113778</v>
      </c>
      <c r="I19" s="9">
        <f ca="1" t="shared" si="11"/>
        <v>-521.807023</v>
      </c>
      <c r="J19" s="9">
        <f ca="1" t="shared" si="1"/>
        <v>-0.6377770827670182</v>
      </c>
      <c r="K19" s="9">
        <f ca="1" t="shared" si="1"/>
        <v>-0.766044443118978</v>
      </c>
      <c r="L19" s="9">
        <f ca="1" t="shared" si="1"/>
        <v>-0.0801018343343452</v>
      </c>
      <c r="M19" s="112">
        <f>IF(Flag="Ignore","",IF(OR(Flag="Hole",Flag="Det"),1,SIGN(XnormP*GutCalc!Xnorm+YnormP*GutCalc!Ynorm+ZnormP*GutCalc!Znorm)))</f>
        <v>1</v>
      </c>
      <c r="N19" s="9">
        <f ca="1" t="shared" si="2"/>
        <v>-0.6377770827670182</v>
      </c>
      <c r="O19" s="9">
        <f ca="1" t="shared" si="2"/>
        <v>-0.766044443118978</v>
      </c>
      <c r="P19" s="9">
        <f ca="1" t="shared" si="2"/>
        <v>-0.0801018343343452</v>
      </c>
      <c r="Q19" s="9">
        <f ca="1" t="shared" si="3"/>
        <v>-0.7600731296618486</v>
      </c>
      <c r="R19" s="9">
        <f ca="1" t="shared" si="3"/>
        <v>0.6427876096865394</v>
      </c>
      <c r="S19" s="9">
        <f ca="1" t="shared" si="3"/>
        <v>-0.09546164884134213</v>
      </c>
      <c r="T19" s="9">
        <f ca="1" t="shared" si="4"/>
        <v>0.12461633224916628</v>
      </c>
      <c r="U19" s="9">
        <f ca="1" t="shared" si="4"/>
        <v>0</v>
      </c>
      <c r="V19" s="9">
        <f ca="1" t="shared" si="4"/>
        <v>-0.9922050038861754</v>
      </c>
      <c r="W19" s="30">
        <f t="shared" si="5"/>
        <v>0</v>
      </c>
      <c r="X19" s="31">
        <f t="shared" si="6"/>
        <v>90</v>
      </c>
      <c r="Y19" s="30">
        <f t="shared" si="7"/>
        <v>-1.0928757898653885E-16</v>
      </c>
      <c r="Z19" s="31">
        <f t="shared" si="8"/>
        <v>90</v>
      </c>
      <c r="AA19" s="30">
        <f t="shared" si="9"/>
        <v>1.3877787807814457E-17</v>
      </c>
      <c r="AB19" s="31">
        <f t="shared" si="10"/>
        <v>90</v>
      </c>
    </row>
    <row r="20" spans="4:28" ht="13.5" thickBot="1">
      <c r="D20" s="19" t="s">
        <v>116</v>
      </c>
      <c r="E20" s="1" t="s">
        <v>527</v>
      </c>
      <c r="F20" s="1" t="s">
        <v>126</v>
      </c>
      <c r="G20" s="9">
        <f ca="1" t="shared" si="11"/>
      </c>
      <c r="H20" s="9">
        <f ca="1" t="shared" si="11"/>
      </c>
      <c r="I20" s="9">
        <f ca="1" t="shared" si="11"/>
      </c>
      <c r="J20" s="9">
        <f ca="1" t="shared" si="1"/>
      </c>
      <c r="K20" s="9">
        <f ca="1" t="shared" si="1"/>
      </c>
      <c r="L20" s="9">
        <f ca="1" t="shared" si="1"/>
      </c>
      <c r="M20" s="112">
        <f>IF(Flag="Ignore","",IF(OR(Flag="Hole",Flag="Det"),1,SIGN(XnormP*GutCalc!Xnorm+YnormP*GutCalc!Ynorm+ZnormP*GutCalc!Znorm)))</f>
      </c>
      <c r="N20" s="9">
        <f ca="1" t="shared" si="2"/>
      </c>
      <c r="O20" s="9">
        <f ca="1" t="shared" si="2"/>
      </c>
      <c r="P20" s="9">
        <f ca="1" t="shared" si="2"/>
      </c>
      <c r="Q20" s="9">
        <f ca="1" t="shared" si="3"/>
      </c>
      <c r="R20" s="9">
        <f ca="1" t="shared" si="3"/>
      </c>
      <c r="S20" s="9">
        <f ca="1" t="shared" si="3"/>
      </c>
      <c r="T20" s="9">
        <f ca="1" t="shared" si="4"/>
      </c>
      <c r="U20" s="9">
        <f ca="1" t="shared" si="4"/>
      </c>
      <c r="V20" s="9">
        <f ca="1" t="shared" si="4"/>
      </c>
      <c r="W20" s="30">
        <f t="shared" si="5"/>
      </c>
      <c r="X20" s="31">
        <f t="shared" si="6"/>
      </c>
      <c r="Y20" s="30">
        <f t="shared" si="7"/>
      </c>
      <c r="Z20" s="31">
        <f t="shared" si="8"/>
      </c>
      <c r="AA20" s="30">
        <f t="shared" si="9"/>
      </c>
      <c r="AB20" s="31">
        <f t="shared" si="10"/>
      </c>
    </row>
    <row r="21" spans="1:28" ht="12.75">
      <c r="A21" s="23" t="s">
        <v>589</v>
      </c>
      <c r="B21" s="1"/>
      <c r="C21" s="10" t="s">
        <v>125</v>
      </c>
      <c r="D21" s="11" t="s">
        <v>118</v>
      </c>
      <c r="E21" s="11" t="s">
        <v>527</v>
      </c>
      <c r="F21" s="11"/>
      <c r="G21" s="9">
        <f ca="1" t="shared" si="11"/>
        <v>381.297361</v>
      </c>
      <c r="H21" s="9">
        <f ca="1" t="shared" si="11"/>
        <v>-1.28E-14</v>
      </c>
      <c r="I21" s="9">
        <f ca="1" t="shared" si="11"/>
        <v>-509.515249</v>
      </c>
      <c r="J21" s="9">
        <f ca="1" t="shared" si="1"/>
        <v>-0.7498640170291299</v>
      </c>
      <c r="K21" s="9">
        <f ca="1" t="shared" si="1"/>
        <v>0</v>
      </c>
      <c r="L21" s="9">
        <f ca="1" t="shared" si="1"/>
        <v>0.6615919860192813</v>
      </c>
      <c r="M21" s="112">
        <f>IF(Flag="Ignore","",IF(OR(Flag="Hole",Flag="Det"),1,SIGN(XnormP*GutCalc!Xnorm+YnormP*GutCalc!Ynorm+ZnormP*GutCalc!Znorm)))</f>
        <v>1</v>
      </c>
      <c r="N21" s="9">
        <f ca="1" t="shared" si="2"/>
        <v>-0.7498640170291299</v>
      </c>
      <c r="O21" s="9">
        <f ca="1" t="shared" si="2"/>
        <v>0</v>
      </c>
      <c r="P21" s="9">
        <f ca="1" t="shared" si="2"/>
        <v>0.6615919860192813</v>
      </c>
      <c r="Q21" s="9">
        <f ca="1" t="shared" si="3"/>
        <v>0</v>
      </c>
      <c r="R21" s="9">
        <f ca="1" t="shared" si="3"/>
        <v>1</v>
      </c>
      <c r="S21" s="9">
        <f ca="1" t="shared" si="3"/>
        <v>0</v>
      </c>
      <c r="T21" s="9">
        <f ca="1" t="shared" si="4"/>
        <v>-0.6615919860192813</v>
      </c>
      <c r="U21" s="9">
        <f ca="1" t="shared" si="4"/>
        <v>0</v>
      </c>
      <c r="V21" s="9">
        <f ca="1" t="shared" si="4"/>
        <v>-0.7498640170291299</v>
      </c>
      <c r="W21" s="30">
        <f t="shared" si="5"/>
        <v>0</v>
      </c>
      <c r="X21" s="31">
        <f t="shared" si="6"/>
        <v>90</v>
      </c>
      <c r="Y21" s="30">
        <f t="shared" si="7"/>
        <v>0</v>
      </c>
      <c r="Z21" s="31">
        <f t="shared" si="8"/>
        <v>90</v>
      </c>
      <c r="AA21" s="30">
        <f t="shared" si="9"/>
        <v>0</v>
      </c>
      <c r="AB21" s="31">
        <f t="shared" si="10"/>
        <v>90</v>
      </c>
    </row>
    <row r="22" spans="1:28" ht="13.5" thickBot="1">
      <c r="A22" s="1" t="s">
        <v>582</v>
      </c>
      <c r="B22" s="1"/>
      <c r="C22" s="14"/>
      <c r="D22" s="15" t="s">
        <v>119</v>
      </c>
      <c r="E22" s="15" t="s">
        <v>527</v>
      </c>
      <c r="F22" s="15" t="s">
        <v>158</v>
      </c>
      <c r="G22" s="9">
        <f aca="true" ca="1" t="shared" si="12" ref="G22:I31">IF(Flag="Ignore","",INDIRECT(Axe&amp;"0")+INDIRECT(Axe&amp;"fact")*INDIRECT("VerticesSyno!"&amp;AxeSyno&amp;Local))</f>
        <v>381.298363</v>
      </c>
      <c r="H22" s="9">
        <f ca="1" t="shared" si="12"/>
        <v>-1.34E-14</v>
      </c>
      <c r="I22" s="9">
        <f ca="1" t="shared" si="12"/>
        <v>-468.515249</v>
      </c>
      <c r="J22" s="9">
        <f aca="true" ca="1" t="shared" si="13" ref="J22:L41">IF(Flag="Ignore","",INDIRECT(Axe&amp;"fact")*INDIRECT("VerticesSyno!"&amp;AxeSyno&amp;Local))</f>
        <v>2.4434609525453033E-05</v>
      </c>
      <c r="K22" s="9">
        <f ca="1" t="shared" si="13"/>
        <v>0</v>
      </c>
      <c r="L22" s="9">
        <f ca="1" t="shared" si="13"/>
        <v>0.9999999997014749</v>
      </c>
      <c r="M22" s="112">
        <f>IF(Flag="Ignore","",IF(OR(Flag="Hole",Flag="Det"),1,SIGN(XnormP*GutCalc!Xnorm+YnormP*GutCalc!Ynorm+ZnormP*GutCalc!Znorm)))</f>
        <v>1</v>
      </c>
      <c r="N22" s="9">
        <f aca="true" ca="1" t="shared" si="14" ref="N22:P41">IF(Flag="Ignore","",INDIRECT(Axe&amp;"fact")*INDIRECT("VerticesSyno!"&amp;AxeSyno&amp;Local)*NormDir)</f>
        <v>2.4434609525453033E-05</v>
      </c>
      <c r="O22" s="9">
        <f ca="1" t="shared" si="14"/>
        <v>0</v>
      </c>
      <c r="P22" s="9">
        <f ca="1" t="shared" si="14"/>
        <v>0.9999999997014749</v>
      </c>
      <c r="Q22" s="9">
        <f aca="true" ca="1" t="shared" si="15" ref="Q22:S41">IF(Flag="Ignore","",INDIRECT(Axe&amp;"fact")*INDIRECT("VerticesSyno!"&amp;AxeSyno&amp;Local))</f>
        <v>0</v>
      </c>
      <c r="R22" s="9">
        <f ca="1" t="shared" si="15"/>
        <v>1</v>
      </c>
      <c r="S22" s="9">
        <f ca="1" t="shared" si="15"/>
        <v>0</v>
      </c>
      <c r="T22" s="9">
        <f aca="true" ca="1" t="shared" si="16" ref="T22:V41">IF(Flag="Ignore","",INDIRECT(Axe&amp;"fact")*INDIRECT("VerticesSyno!"&amp;AxeSyno&amp;Local)*NormDir*(-1))</f>
        <v>-0.9999999997014749</v>
      </c>
      <c r="U22" s="9">
        <f ca="1" t="shared" si="16"/>
        <v>0</v>
      </c>
      <c r="V22" s="9">
        <f ca="1" t="shared" si="16"/>
        <v>2.4434609525453033E-05</v>
      </c>
      <c r="W22" s="30">
        <f t="shared" si="5"/>
        <v>0</v>
      </c>
      <c r="X22" s="31">
        <f t="shared" si="6"/>
        <v>90</v>
      </c>
      <c r="Y22" s="30">
        <f t="shared" si="7"/>
        <v>0</v>
      </c>
      <c r="Z22" s="31">
        <f t="shared" si="8"/>
        <v>90</v>
      </c>
      <c r="AA22" s="30">
        <f t="shared" si="9"/>
        <v>0</v>
      </c>
      <c r="AB22" s="31">
        <f t="shared" si="10"/>
        <v>90</v>
      </c>
    </row>
    <row r="23" spans="1:28" ht="13.5" thickBot="1">
      <c r="A23" s="1" t="s">
        <v>583</v>
      </c>
      <c r="B23" s="1"/>
      <c r="C23" s="14"/>
      <c r="D23" s="15" t="s">
        <v>98</v>
      </c>
      <c r="E23" s="15" t="s">
        <v>528</v>
      </c>
      <c r="F23" s="15" t="s">
        <v>126</v>
      </c>
      <c r="G23" s="9">
        <f ca="1" t="shared" si="12"/>
      </c>
      <c r="H23" s="9">
        <f ca="1" t="shared" si="12"/>
      </c>
      <c r="I23" s="9">
        <f ca="1" t="shared" si="12"/>
      </c>
      <c r="J23" s="9">
        <f ca="1" t="shared" si="13"/>
      </c>
      <c r="K23" s="9">
        <f ca="1" t="shared" si="13"/>
      </c>
      <c r="L23" s="9">
        <f ca="1" t="shared" si="13"/>
      </c>
      <c r="M23" s="112">
        <f>IF(Flag="Ignore","",IF(OR(Flag="Hole",Flag="Det"),1,SIGN(XnormP*GutCalc!Xnorm+YnormP*GutCalc!Ynorm+ZnormP*GutCalc!Znorm)))</f>
      </c>
      <c r="N23" s="9">
        <f ca="1" t="shared" si="14"/>
      </c>
      <c r="O23" s="9">
        <f ca="1" t="shared" si="14"/>
      </c>
      <c r="P23" s="9">
        <f ca="1" t="shared" si="14"/>
      </c>
      <c r="Q23" s="9">
        <f ca="1" t="shared" si="15"/>
      </c>
      <c r="R23" s="9">
        <f ca="1" t="shared" si="15"/>
      </c>
      <c r="S23" s="9">
        <f ca="1" t="shared" si="15"/>
      </c>
      <c r="T23" s="9">
        <f ca="1" t="shared" si="16"/>
      </c>
      <c r="U23" s="9">
        <f ca="1" t="shared" si="16"/>
      </c>
      <c r="V23" s="9">
        <f ca="1" t="shared" si="16"/>
      </c>
      <c r="W23" s="30">
        <f t="shared" si="5"/>
      </c>
      <c r="X23" s="31">
        <f t="shared" si="6"/>
      </c>
      <c r="Y23" s="30">
        <f t="shared" si="7"/>
      </c>
      <c r="Z23" s="31">
        <f t="shared" si="8"/>
      </c>
      <c r="AA23" s="30">
        <f t="shared" si="9"/>
      </c>
      <c r="AB23" s="31">
        <f t="shared" si="10"/>
      </c>
    </row>
    <row r="24" spans="1:28" ht="12.75">
      <c r="A24" s="1" t="s">
        <v>584</v>
      </c>
      <c r="B24" s="1"/>
      <c r="C24" s="10" t="s">
        <v>502</v>
      </c>
      <c r="D24" s="11" t="s">
        <v>503</v>
      </c>
      <c r="E24" s="11" t="s">
        <v>528</v>
      </c>
      <c r="F24" s="11"/>
      <c r="G24" s="9">
        <f ca="1" t="shared" si="12"/>
        <v>306.150668</v>
      </c>
      <c r="H24" s="9">
        <f ca="1" t="shared" si="12"/>
        <v>33.82</v>
      </c>
      <c r="I24" s="9">
        <f ca="1" t="shared" si="12"/>
        <v>-263.975222</v>
      </c>
      <c r="J24" s="9">
        <f ca="1" t="shared" si="13"/>
        <v>-0.5448036271387428</v>
      </c>
      <c r="K24" s="9">
        <f ca="1" t="shared" si="13"/>
        <v>0.7099523681147767</v>
      </c>
      <c r="L24" s="9">
        <f ca="1" t="shared" si="13"/>
        <v>0.4462696974528858</v>
      </c>
      <c r="M24" s="112">
        <f>IF(Flag="Ignore","",IF(OR(Flag="Hole",Flag="Det"),1,SIGN(XnormP*GutCalc!Xnorm+YnormP*GutCalc!Ynorm+ZnormP*GutCalc!Znorm)))</f>
        <v>1</v>
      </c>
      <c r="N24" s="9">
        <f ca="1" t="shared" si="14"/>
        <v>-0.5448036271387428</v>
      </c>
      <c r="O24" s="9">
        <f ca="1" t="shared" si="14"/>
        <v>0.7099523681147767</v>
      </c>
      <c r="P24" s="9">
        <f ca="1" t="shared" si="14"/>
        <v>0.4462696974528858</v>
      </c>
      <c r="Q24" s="9">
        <f ca="1" t="shared" si="15"/>
        <v>0.6876060018493141</v>
      </c>
      <c r="R24" s="9">
        <f ca="1" t="shared" si="15"/>
        <v>0.6828304098612817</v>
      </c>
      <c r="S24" s="9">
        <f ca="1" t="shared" si="15"/>
        <v>-0.24686153525706456</v>
      </c>
      <c r="T24" s="9">
        <f ca="1" t="shared" si="16"/>
        <v>-0.4799864519726267</v>
      </c>
      <c r="U24" s="9">
        <f ca="1" t="shared" si="16"/>
        <v>0.17236666260299444</v>
      </c>
      <c r="V24" s="9">
        <f ca="1" t="shared" si="16"/>
        <v>-0.8601759933559147</v>
      </c>
      <c r="W24" s="30">
        <f t="shared" si="5"/>
        <v>0</v>
      </c>
      <c r="X24" s="31">
        <f t="shared" si="6"/>
        <v>90</v>
      </c>
      <c r="Y24" s="30">
        <f t="shared" si="7"/>
        <v>6.938893903907228E-17</v>
      </c>
      <c r="Z24" s="31">
        <f t="shared" si="8"/>
        <v>90</v>
      </c>
      <c r="AA24" s="30">
        <f t="shared" si="9"/>
        <v>-5.551115123125783E-17</v>
      </c>
      <c r="AB24" s="31">
        <f t="shared" si="10"/>
        <v>90</v>
      </c>
    </row>
    <row r="25" spans="1:28" ht="12.75">
      <c r="A25" s="23" t="s">
        <v>134</v>
      </c>
      <c r="B25" s="1"/>
      <c r="C25" s="18"/>
      <c r="D25" s="19" t="s">
        <v>504</v>
      </c>
      <c r="E25" s="19" t="s">
        <v>528</v>
      </c>
      <c r="F25" s="19" t="s">
        <v>157</v>
      </c>
      <c r="G25" s="9">
        <f ca="1" t="shared" si="12"/>
        <v>314.982809</v>
      </c>
      <c r="H25" s="9">
        <f ca="1" t="shared" si="12"/>
        <v>141.695656</v>
      </c>
      <c r="I25" s="9">
        <f ca="1" t="shared" si="12"/>
        <v>-233.042376</v>
      </c>
      <c r="J25" s="9">
        <f ca="1" t="shared" si="13"/>
        <v>0.49644749895141155</v>
      </c>
      <c r="K25" s="9">
        <f ca="1" t="shared" si="13"/>
        <v>0.7528435614080758</v>
      </c>
      <c r="L25" s="9">
        <f ca="1" t="shared" si="13"/>
        <v>0.4321648445110881</v>
      </c>
      <c r="M25" s="112">
        <f>IF(Flag="Ignore","",IF(OR(Flag="Hole",Flag="Det"),1,SIGN(XnormP*GutCalc!Xnorm+YnormP*GutCalc!Ynorm+ZnormP*GutCalc!Znorm)))</f>
        <v>1</v>
      </c>
      <c r="N25" s="9">
        <f ca="1" t="shared" si="14"/>
        <v>0.49644749895141155</v>
      </c>
      <c r="O25" s="9">
        <f ca="1" t="shared" si="14"/>
        <v>0.7528435614080758</v>
      </c>
      <c r="P25" s="9">
        <f ca="1" t="shared" si="14"/>
        <v>0.4321648445110881</v>
      </c>
      <c r="Q25" s="9">
        <f ca="1" t="shared" si="15"/>
        <v>0.10552311724119295</v>
      </c>
      <c r="R25" s="9">
        <f ca="1" t="shared" si="15"/>
        <v>0.4418171429276573</v>
      </c>
      <c r="S25" s="9">
        <f ca="1" t="shared" si="15"/>
        <v>-0.8908773675107835</v>
      </c>
      <c r="T25" s="9">
        <f ca="1" t="shared" si="16"/>
        <v>-0.8616291270103338</v>
      </c>
      <c r="U25" s="9">
        <f ca="1" t="shared" si="16"/>
        <v>0.4878772225280114</v>
      </c>
      <c r="V25" s="9">
        <f ca="1" t="shared" si="16"/>
        <v>0.1398966162055521</v>
      </c>
      <c r="W25" s="30">
        <f t="shared" si="5"/>
        <v>-9.71445146547012E-17</v>
      </c>
      <c r="X25" s="31">
        <f t="shared" si="6"/>
        <v>90</v>
      </c>
      <c r="Y25" s="30">
        <f t="shared" si="7"/>
        <v>0</v>
      </c>
      <c r="Z25" s="31">
        <f t="shared" si="8"/>
        <v>90</v>
      </c>
      <c r="AA25" s="30">
        <f t="shared" si="9"/>
        <v>1.3877787807814457E-17</v>
      </c>
      <c r="AB25" s="31">
        <f t="shared" si="10"/>
        <v>90</v>
      </c>
    </row>
    <row r="26" spans="1:28" ht="12.75">
      <c r="A26" s="22" t="s">
        <v>571</v>
      </c>
      <c r="B26" s="22">
        <v>-1</v>
      </c>
      <c r="C26" s="18"/>
      <c r="D26" s="19" t="s">
        <v>505</v>
      </c>
      <c r="E26" s="19" t="s">
        <v>528</v>
      </c>
      <c r="F26" s="19"/>
      <c r="G26" s="9">
        <f ca="1" t="shared" si="12"/>
        <v>317.370319</v>
      </c>
      <c r="H26" s="9">
        <f ca="1" t="shared" si="12"/>
        <v>170.856678</v>
      </c>
      <c r="I26" s="9">
        <f ca="1" t="shared" si="12"/>
        <v>-224.680587</v>
      </c>
      <c r="J26" s="9">
        <f ca="1" t="shared" si="13"/>
        <v>0.6505602727317011</v>
      </c>
      <c r="K26" s="9">
        <f ca="1" t="shared" si="13"/>
        <v>-0.6878624431607016</v>
      </c>
      <c r="L26" s="9">
        <f ca="1" t="shared" si="13"/>
        <v>-0.32189531036075236</v>
      </c>
      <c r="M26" s="112">
        <f>IF(Flag="Ignore","",IF(OR(Flag="Hole",Flag="Det"),1,SIGN(XnormP*GutCalc!Xnorm+YnormP*GutCalc!Ynorm+ZnormP*GutCalc!Znorm)))</f>
        <v>1</v>
      </c>
      <c r="N26" s="9">
        <f ca="1" t="shared" si="14"/>
        <v>0.6505602727317011</v>
      </c>
      <c r="O26" s="9">
        <f ca="1" t="shared" si="14"/>
        <v>-0.6878624431607016</v>
      </c>
      <c r="P26" s="9">
        <f ca="1" t="shared" si="14"/>
        <v>-0.32189531036075236</v>
      </c>
      <c r="Q26" s="9">
        <f ca="1" t="shared" si="15"/>
        <v>0.7553847183992874</v>
      </c>
      <c r="R26" s="9">
        <f ca="1" t="shared" si="15"/>
        <v>0.6298970733282109</v>
      </c>
      <c r="S26" s="9">
        <f ca="1" t="shared" si="15"/>
        <v>0.18062005487039234</v>
      </c>
      <c r="T26" s="9">
        <f ca="1" t="shared" si="16"/>
        <v>0.07851916168734602</v>
      </c>
      <c r="U26" s="9">
        <f ca="1" t="shared" si="16"/>
        <v>-0.36065903052820547</v>
      </c>
      <c r="V26" s="9">
        <f ca="1" t="shared" si="16"/>
        <v>0.9293867897416939</v>
      </c>
      <c r="W26" s="30">
        <f t="shared" si="5"/>
        <v>0</v>
      </c>
      <c r="X26" s="31">
        <f t="shared" si="6"/>
        <v>90</v>
      </c>
      <c r="Y26" s="30">
        <f t="shared" si="7"/>
        <v>-6.245004513516506E-17</v>
      </c>
      <c r="Z26" s="31">
        <f t="shared" si="8"/>
        <v>90</v>
      </c>
      <c r="AA26" s="30">
        <f t="shared" si="9"/>
        <v>5.551115123125783E-17</v>
      </c>
      <c r="AB26" s="31">
        <f t="shared" si="10"/>
        <v>90</v>
      </c>
    </row>
    <row r="27" spans="1:28" ht="13.5" thickBot="1">
      <c r="A27" s="22" t="s">
        <v>572</v>
      </c>
      <c r="B27" s="22">
        <v>1</v>
      </c>
      <c r="C27" s="14"/>
      <c r="D27" s="15" t="s">
        <v>506</v>
      </c>
      <c r="E27" s="15" t="s">
        <v>528</v>
      </c>
      <c r="F27" s="15"/>
      <c r="G27" s="9">
        <f ca="1" t="shared" si="12"/>
        <v>373.504361</v>
      </c>
      <c r="H27" s="9">
        <f ca="1" t="shared" si="12"/>
        <v>170.856678</v>
      </c>
      <c r="I27" s="9">
        <f ca="1" t="shared" si="12"/>
        <v>-234.578533</v>
      </c>
      <c r="J27" s="9">
        <f ca="1" t="shared" si="13"/>
        <v>-0.984807753012208</v>
      </c>
      <c r="K27" s="9">
        <f ca="1" t="shared" si="13"/>
        <v>0</v>
      </c>
      <c r="L27" s="9">
        <f ca="1" t="shared" si="13"/>
        <v>-0.17364817766693033</v>
      </c>
      <c r="M27" s="112">
        <f>IF(Flag="Ignore","",IF(OR(Flag="Hole",Flag="Det"),1,SIGN(XnormP*GutCalc!Xnorm+YnormP*GutCalc!Ynorm+ZnormP*GutCalc!Znorm)))</f>
        <v>1</v>
      </c>
      <c r="N27" s="9">
        <f ca="1" t="shared" si="14"/>
        <v>-0.984807753012208</v>
      </c>
      <c r="O27" s="9">
        <f ca="1" t="shared" si="14"/>
        <v>0</v>
      </c>
      <c r="P27" s="9">
        <f ca="1" t="shared" si="14"/>
        <v>-0.17364817766693033</v>
      </c>
      <c r="Q27" s="9">
        <f ca="1" t="shared" si="15"/>
        <v>-0.018814150275320164</v>
      </c>
      <c r="R27" s="9">
        <f ca="1" t="shared" si="15"/>
        <v>0.9941132045189992</v>
      </c>
      <c r="S27" s="9">
        <f ca="1" t="shared" si="15"/>
        <v>0.10670034840797878</v>
      </c>
      <c r="T27" s="9">
        <f ca="1" t="shared" si="16"/>
        <v>0.17262594635935663</v>
      </c>
      <c r="U27" s="9">
        <f ca="1" t="shared" si="16"/>
        <v>0.10834637327094243</v>
      </c>
      <c r="V27" s="9">
        <f ca="1" t="shared" si="16"/>
        <v>-0.9790103911821212</v>
      </c>
      <c r="W27" s="30">
        <f t="shared" si="5"/>
        <v>-2.7755575615628914E-17</v>
      </c>
      <c r="X27" s="31">
        <f t="shared" si="6"/>
        <v>90</v>
      </c>
      <c r="Y27" s="30">
        <f t="shared" si="7"/>
        <v>0</v>
      </c>
      <c r="Z27" s="31">
        <f t="shared" si="8"/>
        <v>90</v>
      </c>
      <c r="AA27" s="30">
        <f t="shared" si="9"/>
        <v>1.3877787807814457E-17</v>
      </c>
      <c r="AB27" s="31">
        <f t="shared" si="10"/>
        <v>90</v>
      </c>
    </row>
    <row r="28" spans="1:28" ht="12.75">
      <c r="A28" s="22" t="s">
        <v>573</v>
      </c>
      <c r="B28" s="22">
        <v>1</v>
      </c>
      <c r="C28" s="10" t="s">
        <v>507</v>
      </c>
      <c r="D28" s="11" t="s">
        <v>508</v>
      </c>
      <c r="E28" s="11" t="s">
        <v>528</v>
      </c>
      <c r="F28" s="11"/>
      <c r="G28" s="9">
        <f ca="1" t="shared" si="12"/>
        <v>223.12771</v>
      </c>
      <c r="H28" s="9">
        <f ca="1" t="shared" si="12"/>
        <v>170.856678</v>
      </c>
      <c r="I28" s="9">
        <f ca="1" t="shared" si="12"/>
        <v>-321.398533</v>
      </c>
      <c r="J28" s="9">
        <f ca="1" t="shared" si="13"/>
        <v>-1</v>
      </c>
      <c r="K28" s="9">
        <f ca="1" t="shared" si="13"/>
        <v>0</v>
      </c>
      <c r="L28" s="9">
        <f ca="1" t="shared" si="13"/>
        <v>0</v>
      </c>
      <c r="M28" s="112">
        <f>IF(Flag="Ignore","",IF(OR(Flag="Hole",Flag="Det"),1,SIGN(XnormP*GutCalc!Xnorm+YnormP*GutCalc!Ynorm+ZnormP*GutCalc!Znorm)))</f>
        <v>-1</v>
      </c>
      <c r="N28" s="9">
        <f ca="1" t="shared" si="14"/>
        <v>1</v>
      </c>
      <c r="O28" s="9">
        <f ca="1" t="shared" si="14"/>
        <v>0</v>
      </c>
      <c r="P28" s="9">
        <f ca="1" t="shared" si="14"/>
        <v>0</v>
      </c>
      <c r="Q28" s="9">
        <f ca="1" t="shared" si="15"/>
        <v>0</v>
      </c>
      <c r="R28" s="9">
        <f ca="1" t="shared" si="15"/>
        <v>1</v>
      </c>
      <c r="S28" s="9">
        <f ca="1" t="shared" si="15"/>
        <v>0</v>
      </c>
      <c r="T28" s="9">
        <f ca="1" t="shared" si="16"/>
        <v>0</v>
      </c>
      <c r="U28" s="9">
        <f ca="1" t="shared" si="16"/>
        <v>0</v>
      </c>
      <c r="V28" s="9">
        <f ca="1" t="shared" si="16"/>
        <v>1</v>
      </c>
      <c r="W28" s="30">
        <f t="shared" si="5"/>
        <v>0</v>
      </c>
      <c r="X28" s="31">
        <f t="shared" si="6"/>
        <v>90</v>
      </c>
      <c r="Y28" s="30">
        <f t="shared" si="7"/>
        <v>0</v>
      </c>
      <c r="Z28" s="31">
        <f t="shared" si="8"/>
        <v>90</v>
      </c>
      <c r="AA28" s="30">
        <f t="shared" si="9"/>
        <v>0</v>
      </c>
      <c r="AB28" s="31">
        <f t="shared" si="10"/>
        <v>90</v>
      </c>
    </row>
    <row r="29" spans="3:28" ht="12.75">
      <c r="C29" s="18"/>
      <c r="D29" s="19" t="s">
        <v>509</v>
      </c>
      <c r="E29" s="19" t="s">
        <v>528</v>
      </c>
      <c r="F29" s="19"/>
      <c r="G29" s="9">
        <f ca="1" t="shared" si="12"/>
        <v>373.12331</v>
      </c>
      <c r="H29" s="9">
        <f ca="1" t="shared" si="12"/>
        <v>170.856678</v>
      </c>
      <c r="I29" s="9">
        <f ca="1" t="shared" si="12"/>
        <v>-407.998533</v>
      </c>
      <c r="J29" s="9">
        <f ca="1" t="shared" si="13"/>
        <v>-0.9659258262890683</v>
      </c>
      <c r="K29" s="9">
        <f ca="1" t="shared" si="13"/>
        <v>0</v>
      </c>
      <c r="L29" s="9">
        <f ca="1" t="shared" si="13"/>
        <v>0.25881904510252074</v>
      </c>
      <c r="M29" s="112">
        <f>IF(Flag="Ignore","",IF(OR(Flag="Hole",Flag="Det"),1,SIGN(XnormP*GutCalc!Xnorm+YnormP*GutCalc!Ynorm+ZnormP*GutCalc!Znorm)))</f>
        <v>1</v>
      </c>
      <c r="N29" s="9">
        <f ca="1" t="shared" si="14"/>
        <v>-0.9659258262890683</v>
      </c>
      <c r="O29" s="9">
        <f ca="1" t="shared" si="14"/>
        <v>0</v>
      </c>
      <c r="P29" s="9">
        <f ca="1" t="shared" si="14"/>
        <v>0.25881904510252074</v>
      </c>
      <c r="Q29" s="9">
        <f ca="1" t="shared" si="15"/>
        <v>0</v>
      </c>
      <c r="R29" s="9">
        <f ca="1" t="shared" si="15"/>
        <v>1</v>
      </c>
      <c r="S29" s="9">
        <f ca="1" t="shared" si="15"/>
        <v>0</v>
      </c>
      <c r="T29" s="9">
        <f ca="1" t="shared" si="16"/>
        <v>-0.25881904510252074</v>
      </c>
      <c r="U29" s="9">
        <f ca="1" t="shared" si="16"/>
        <v>0</v>
      </c>
      <c r="V29" s="9">
        <f ca="1" t="shared" si="16"/>
        <v>-0.9659258262890683</v>
      </c>
      <c r="W29" s="30">
        <f t="shared" si="5"/>
        <v>0</v>
      </c>
      <c r="X29" s="31">
        <f t="shared" si="6"/>
        <v>90</v>
      </c>
      <c r="Y29" s="30">
        <f t="shared" si="7"/>
        <v>0</v>
      </c>
      <c r="Z29" s="31">
        <f t="shared" si="8"/>
        <v>90</v>
      </c>
      <c r="AA29" s="30">
        <f t="shared" si="9"/>
        <v>0</v>
      </c>
      <c r="AB29" s="31">
        <f t="shared" si="10"/>
        <v>90</v>
      </c>
    </row>
    <row r="30" spans="1:28" ht="12.75">
      <c r="A30" s="29" t="s">
        <v>585</v>
      </c>
      <c r="C30" s="18"/>
      <c r="D30" s="19" t="s">
        <v>510</v>
      </c>
      <c r="E30" s="19" t="s">
        <v>528</v>
      </c>
      <c r="F30" s="19" t="s">
        <v>126</v>
      </c>
      <c r="G30" s="9">
        <f ca="1" t="shared" si="12"/>
      </c>
      <c r="H30" s="9">
        <f ca="1" t="shared" si="12"/>
      </c>
      <c r="I30" s="9">
        <f ca="1" t="shared" si="12"/>
      </c>
      <c r="J30" s="9">
        <f ca="1" t="shared" si="13"/>
      </c>
      <c r="K30" s="9">
        <f ca="1" t="shared" si="13"/>
      </c>
      <c r="L30" s="9">
        <f ca="1" t="shared" si="13"/>
      </c>
      <c r="M30" s="112">
        <f>IF(Flag="Ignore","",IF(OR(Flag="Hole",Flag="Det"),1,SIGN(XnormP*GutCalc!Xnorm+YnormP*GutCalc!Ynorm+ZnormP*GutCalc!Znorm)))</f>
      </c>
      <c r="N30" s="9">
        <f ca="1" t="shared" si="14"/>
      </c>
      <c r="O30" s="9">
        <f ca="1" t="shared" si="14"/>
      </c>
      <c r="P30" s="9">
        <f ca="1" t="shared" si="14"/>
      </c>
      <c r="Q30" s="9">
        <f ca="1" t="shared" si="15"/>
      </c>
      <c r="R30" s="9">
        <f ca="1" t="shared" si="15"/>
      </c>
      <c r="S30" s="9">
        <f ca="1" t="shared" si="15"/>
      </c>
      <c r="T30" s="9">
        <f ca="1" t="shared" si="16"/>
      </c>
      <c r="U30" s="9">
        <f ca="1" t="shared" si="16"/>
      </c>
      <c r="V30" s="9">
        <f ca="1" t="shared" si="16"/>
      </c>
      <c r="W30" s="30">
        <f t="shared" si="5"/>
      </c>
      <c r="X30" s="31">
        <f t="shared" si="6"/>
      </c>
      <c r="Y30" s="30">
        <f t="shared" si="7"/>
      </c>
      <c r="Z30" s="31">
        <f t="shared" si="8"/>
      </c>
      <c r="AA30" s="30">
        <f t="shared" si="9"/>
      </c>
      <c r="AB30" s="31">
        <f t="shared" si="10"/>
      </c>
    </row>
    <row r="31" spans="1:28" ht="12.75">
      <c r="A31" s="29" t="s">
        <v>586</v>
      </c>
      <c r="C31" s="18"/>
      <c r="D31" s="19" t="s">
        <v>511</v>
      </c>
      <c r="E31" s="19" t="s">
        <v>528</v>
      </c>
      <c r="F31" s="19" t="s">
        <v>126</v>
      </c>
      <c r="G31" s="9">
        <f ca="1" t="shared" si="12"/>
      </c>
      <c r="H31" s="9">
        <f ca="1" t="shared" si="12"/>
      </c>
      <c r="I31" s="9">
        <f ca="1" t="shared" si="12"/>
      </c>
      <c r="J31" s="9">
        <f ca="1" t="shared" si="13"/>
      </c>
      <c r="K31" s="9">
        <f ca="1" t="shared" si="13"/>
      </c>
      <c r="L31" s="9">
        <f ca="1" t="shared" si="13"/>
      </c>
      <c r="M31" s="112">
        <f>IF(Flag="Ignore","",IF(OR(Flag="Hole",Flag="Det"),1,SIGN(XnormP*GutCalc!Xnorm+YnormP*GutCalc!Ynorm+ZnormP*GutCalc!Znorm)))</f>
      </c>
      <c r="N31" s="9">
        <f ca="1" t="shared" si="14"/>
      </c>
      <c r="O31" s="9">
        <f ca="1" t="shared" si="14"/>
      </c>
      <c r="P31" s="9">
        <f ca="1" t="shared" si="14"/>
      </c>
      <c r="Q31" s="9">
        <f ca="1" t="shared" si="15"/>
      </c>
      <c r="R31" s="9">
        <f ca="1" t="shared" si="15"/>
      </c>
      <c r="S31" s="9">
        <f ca="1" t="shared" si="15"/>
      </c>
      <c r="T31" s="9">
        <f ca="1" t="shared" si="16"/>
      </c>
      <c r="U31" s="9">
        <f ca="1" t="shared" si="16"/>
      </c>
      <c r="V31" s="9">
        <f ca="1" t="shared" si="16"/>
      </c>
      <c r="W31" s="30">
        <f t="shared" si="5"/>
      </c>
      <c r="X31" s="31">
        <f t="shared" si="6"/>
      </c>
      <c r="Y31" s="30">
        <f t="shared" si="7"/>
      </c>
      <c r="Z31" s="31">
        <f t="shared" si="8"/>
      </c>
      <c r="AA31" s="30">
        <f t="shared" si="9"/>
      </c>
      <c r="AB31" s="31">
        <f t="shared" si="10"/>
      </c>
    </row>
    <row r="32" spans="1:28" ht="12.75">
      <c r="A32" s="29" t="s">
        <v>590</v>
      </c>
      <c r="C32" s="18"/>
      <c r="D32" s="19" t="s">
        <v>512</v>
      </c>
      <c r="E32" s="19" t="s">
        <v>528</v>
      </c>
      <c r="F32" s="19" t="s">
        <v>126</v>
      </c>
      <c r="G32" s="9">
        <f aca="true" ca="1" t="shared" si="17" ref="G32:I41">IF(Flag="Ignore","",INDIRECT(Axe&amp;"0")+INDIRECT(Axe&amp;"fact")*INDIRECT("VerticesSyno!"&amp;AxeSyno&amp;Local))</f>
      </c>
      <c r="H32" s="9">
        <f ca="1" t="shared" si="17"/>
      </c>
      <c r="I32" s="9">
        <f ca="1" t="shared" si="17"/>
      </c>
      <c r="J32" s="9">
        <f ca="1" t="shared" si="13"/>
      </c>
      <c r="K32" s="9">
        <f ca="1" t="shared" si="13"/>
      </c>
      <c r="L32" s="9">
        <f ca="1" t="shared" si="13"/>
      </c>
      <c r="M32" s="112">
        <f>IF(Flag="Ignore","",IF(OR(Flag="Hole",Flag="Det"),1,SIGN(XnormP*GutCalc!Xnorm+YnormP*GutCalc!Ynorm+ZnormP*GutCalc!Znorm)))</f>
      </c>
      <c r="N32" s="9">
        <f ca="1" t="shared" si="14"/>
      </c>
      <c r="O32" s="9">
        <f ca="1" t="shared" si="14"/>
      </c>
      <c r="P32" s="9">
        <f ca="1" t="shared" si="14"/>
      </c>
      <c r="Q32" s="9">
        <f ca="1" t="shared" si="15"/>
      </c>
      <c r="R32" s="9">
        <f ca="1" t="shared" si="15"/>
      </c>
      <c r="S32" s="9">
        <f ca="1" t="shared" si="15"/>
      </c>
      <c r="T32" s="9">
        <f ca="1" t="shared" si="16"/>
      </c>
      <c r="U32" s="9">
        <f ca="1" t="shared" si="16"/>
      </c>
      <c r="V32" s="9">
        <f ca="1" t="shared" si="16"/>
      </c>
      <c r="W32" s="30">
        <f t="shared" si="5"/>
      </c>
      <c r="X32" s="31">
        <f t="shared" si="6"/>
      </c>
      <c r="Y32" s="30">
        <f t="shared" si="7"/>
      </c>
      <c r="Z32" s="31">
        <f t="shared" si="8"/>
      </c>
      <c r="AA32" s="30">
        <f t="shared" si="9"/>
      </c>
      <c r="AB32" s="31">
        <f t="shared" si="10"/>
      </c>
    </row>
    <row r="33" spans="1:28" ht="12.75">
      <c r="A33" s="19" t="s">
        <v>587</v>
      </c>
      <c r="C33" s="18"/>
      <c r="D33" s="19" t="s">
        <v>513</v>
      </c>
      <c r="E33" s="19" t="s">
        <v>528</v>
      </c>
      <c r="F33" s="19"/>
      <c r="G33" s="9">
        <f ca="1" t="shared" si="17"/>
        <v>373.12331</v>
      </c>
      <c r="H33" s="9">
        <f ca="1" t="shared" si="17"/>
        <v>170.856678</v>
      </c>
      <c r="I33" s="9">
        <f ca="1" t="shared" si="17"/>
        <v>-457.998533</v>
      </c>
      <c r="J33" s="9">
        <f ca="1" t="shared" si="13"/>
        <v>0.9659258262890682</v>
      </c>
      <c r="K33" s="9">
        <f ca="1" t="shared" si="13"/>
        <v>0</v>
      </c>
      <c r="L33" s="9">
        <f ca="1" t="shared" si="13"/>
        <v>0.258819045102521</v>
      </c>
      <c r="M33" s="112">
        <f>IF(Flag="Ignore","",IF(OR(Flag="Hole",Flag="Det"),1,SIGN(XnormP*GutCalc!Xnorm+YnormP*GutCalc!Ynorm+ZnormP*GutCalc!Znorm)))</f>
        <v>-1</v>
      </c>
      <c r="N33" s="9">
        <f ca="1" t="shared" si="14"/>
        <v>-0.9659258262890682</v>
      </c>
      <c r="O33" s="9">
        <f ca="1" t="shared" si="14"/>
        <v>0</v>
      </c>
      <c r="P33" s="9">
        <f ca="1" t="shared" si="14"/>
        <v>-0.258819045102521</v>
      </c>
      <c r="Q33" s="9">
        <f ca="1" t="shared" si="15"/>
        <v>0</v>
      </c>
      <c r="R33" s="9">
        <f ca="1" t="shared" si="15"/>
        <v>1</v>
      </c>
      <c r="S33" s="9">
        <f ca="1" t="shared" si="15"/>
        <v>0</v>
      </c>
      <c r="T33" s="9">
        <f ca="1" t="shared" si="16"/>
        <v>0.258819045102521</v>
      </c>
      <c r="U33" s="9">
        <f ca="1" t="shared" si="16"/>
        <v>0</v>
      </c>
      <c r="V33" s="9">
        <f ca="1" t="shared" si="16"/>
        <v>-0.9659258262890682</v>
      </c>
      <c r="W33" s="30">
        <f t="shared" si="5"/>
        <v>0</v>
      </c>
      <c r="X33" s="31">
        <f t="shared" si="6"/>
        <v>90</v>
      </c>
      <c r="Y33" s="30">
        <f t="shared" si="7"/>
        <v>0</v>
      </c>
      <c r="Z33" s="31">
        <f t="shared" si="8"/>
        <v>90</v>
      </c>
      <c r="AA33" s="30">
        <f t="shared" si="9"/>
        <v>0</v>
      </c>
      <c r="AB33" s="31">
        <f t="shared" si="10"/>
        <v>90</v>
      </c>
    </row>
    <row r="34" spans="1:28" ht="12.75">
      <c r="A34" s="19" t="s">
        <v>588</v>
      </c>
      <c r="C34" s="18"/>
      <c r="D34" s="19" t="s">
        <v>514</v>
      </c>
      <c r="E34" s="19" t="s">
        <v>528</v>
      </c>
      <c r="F34" s="19"/>
      <c r="G34" s="9">
        <f ca="1" t="shared" si="17"/>
        <v>223.12771</v>
      </c>
      <c r="H34" s="9">
        <f ca="1" t="shared" si="17"/>
        <v>170.856678</v>
      </c>
      <c r="I34" s="9">
        <f ca="1" t="shared" si="17"/>
        <v>-544.598533</v>
      </c>
      <c r="J34" s="9">
        <f ca="1" t="shared" si="13"/>
        <v>1</v>
      </c>
      <c r="K34" s="9">
        <f ca="1" t="shared" si="13"/>
        <v>0</v>
      </c>
      <c r="L34" s="9">
        <f ca="1" t="shared" si="13"/>
        <v>1.22514845490862E-16</v>
      </c>
      <c r="M34" s="112">
        <f>IF(Flag="Ignore","",IF(OR(Flag="Hole",Flag="Det"),1,SIGN(XnormP*GutCalc!Xnorm+YnormP*GutCalc!Ynorm+ZnormP*GutCalc!Znorm)))</f>
        <v>1</v>
      </c>
      <c r="N34" s="9">
        <f ca="1" t="shared" si="14"/>
        <v>1</v>
      </c>
      <c r="O34" s="9">
        <f ca="1" t="shared" si="14"/>
        <v>0</v>
      </c>
      <c r="P34" s="9">
        <f ca="1" t="shared" si="14"/>
        <v>1.22514845490862E-16</v>
      </c>
      <c r="Q34" s="9">
        <f ca="1" t="shared" si="15"/>
        <v>1.8260974706750705E-24</v>
      </c>
      <c r="R34" s="9">
        <f ca="1" t="shared" si="15"/>
        <v>0.9999999999999999</v>
      </c>
      <c r="S34" s="9">
        <f ca="1" t="shared" si="15"/>
        <v>-1.4905111812031573E-08</v>
      </c>
      <c r="T34" s="9">
        <f ca="1" t="shared" si="16"/>
        <v>-1.2251484549086198E-16</v>
      </c>
      <c r="U34" s="9">
        <f ca="1" t="shared" si="16"/>
        <v>1.4905111812031573E-08</v>
      </c>
      <c r="V34" s="9">
        <f ca="1" t="shared" si="16"/>
        <v>0.9999999999999999</v>
      </c>
      <c r="W34" s="30">
        <f t="shared" si="5"/>
        <v>0</v>
      </c>
      <c r="X34" s="31">
        <f t="shared" si="6"/>
        <v>90</v>
      </c>
      <c r="Y34" s="30">
        <f t="shared" si="7"/>
        <v>0</v>
      </c>
      <c r="Z34" s="31">
        <f t="shared" si="8"/>
        <v>90</v>
      </c>
      <c r="AA34" s="30">
        <f t="shared" si="9"/>
        <v>0</v>
      </c>
      <c r="AB34" s="31">
        <f t="shared" si="10"/>
        <v>90</v>
      </c>
    </row>
    <row r="35" spans="1:28" ht="12.75">
      <c r="A35" s="19" t="s">
        <v>591</v>
      </c>
      <c r="C35" s="18"/>
      <c r="D35" s="19" t="s">
        <v>515</v>
      </c>
      <c r="E35" s="19" t="s">
        <v>528</v>
      </c>
      <c r="F35" s="19"/>
      <c r="G35" s="9">
        <f ca="1" t="shared" si="17"/>
        <v>354.74625000000003</v>
      </c>
      <c r="H35" s="9">
        <f ca="1" t="shared" si="17"/>
        <v>170.856678</v>
      </c>
      <c r="I35" s="9">
        <f ca="1" t="shared" si="17"/>
        <v>-620.588533</v>
      </c>
      <c r="J35" s="9">
        <f ca="1" t="shared" si="13"/>
        <v>0.984807753012208</v>
      </c>
      <c r="K35" s="9">
        <f ca="1" t="shared" si="13"/>
        <v>0</v>
      </c>
      <c r="L35" s="9">
        <f ca="1" t="shared" si="13"/>
        <v>-0.17364817766693028</v>
      </c>
      <c r="M35" s="112">
        <f>IF(Flag="Ignore","",IF(OR(Flag="Hole",Flag="Det"),1,SIGN(XnormP*GutCalc!Xnorm+YnormP*GutCalc!Ynorm+ZnormP*GutCalc!Znorm)))</f>
        <v>-1</v>
      </c>
      <c r="N35" s="9">
        <f ca="1" t="shared" si="14"/>
        <v>-0.984807753012208</v>
      </c>
      <c r="O35" s="9">
        <f ca="1" t="shared" si="14"/>
        <v>0</v>
      </c>
      <c r="P35" s="9">
        <f ca="1" t="shared" si="14"/>
        <v>0.17364817766693028</v>
      </c>
      <c r="Q35" s="9">
        <f ca="1" t="shared" si="15"/>
        <v>-0.0054241286205614836</v>
      </c>
      <c r="R35" s="9">
        <f ca="1" t="shared" si="15"/>
        <v>0.9995120273540129</v>
      </c>
      <c r="S35" s="9">
        <f ca="1" t="shared" si="15"/>
        <v>-0.03076176203305844</v>
      </c>
      <c r="T35" s="9">
        <f ca="1" t="shared" si="16"/>
        <v>-0.1735634421062033</v>
      </c>
      <c r="U35" s="9">
        <f ca="1" t="shared" si="16"/>
        <v>-0.031236311796864077</v>
      </c>
      <c r="V35" s="9">
        <f ca="1" t="shared" si="16"/>
        <v>-0.984327193767182</v>
      </c>
      <c r="W35" s="30">
        <f t="shared" si="5"/>
        <v>0</v>
      </c>
      <c r="X35" s="31">
        <f t="shared" si="6"/>
        <v>90</v>
      </c>
      <c r="Y35" s="30">
        <f t="shared" si="7"/>
        <v>0</v>
      </c>
      <c r="Z35" s="31">
        <f t="shared" si="8"/>
        <v>90</v>
      </c>
      <c r="AA35" s="30">
        <f t="shared" si="9"/>
        <v>-3.469446951953614E-18</v>
      </c>
      <c r="AB35" s="31">
        <f t="shared" si="10"/>
        <v>90</v>
      </c>
    </row>
    <row r="36" spans="3:28" ht="12.75">
      <c r="C36" s="18"/>
      <c r="D36" s="19" t="s">
        <v>516</v>
      </c>
      <c r="E36" s="19" t="s">
        <v>528</v>
      </c>
      <c r="F36" s="19"/>
      <c r="G36" s="9">
        <f ca="1" t="shared" si="17"/>
        <v>263.582597</v>
      </c>
      <c r="H36" s="9">
        <f ca="1" t="shared" si="17"/>
        <v>170.856678</v>
      </c>
      <c r="I36" s="9">
        <f ca="1" t="shared" si="17"/>
        <v>-636.663145</v>
      </c>
      <c r="J36" s="9">
        <f ca="1" t="shared" si="13"/>
        <v>0.696364240320019</v>
      </c>
      <c r="K36" s="9">
        <f ca="1" t="shared" si="13"/>
        <v>0.7071067811865475</v>
      </c>
      <c r="L36" s="9">
        <f ca="1" t="shared" si="13"/>
        <v>0.1227878039689728</v>
      </c>
      <c r="M36" s="112">
        <f>IF(Flag="Ignore","",IF(OR(Flag="Hole",Flag="Det"),1,SIGN(XnormP*GutCalc!Xnorm+YnormP*GutCalc!Ynorm+ZnormP*GutCalc!Znorm)))</f>
        <v>1</v>
      </c>
      <c r="N36" s="9">
        <f ca="1" t="shared" si="14"/>
        <v>0.696364240320019</v>
      </c>
      <c r="O36" s="9">
        <f ca="1" t="shared" si="14"/>
        <v>0.7071067811865475</v>
      </c>
      <c r="P36" s="9">
        <f ca="1" t="shared" si="14"/>
        <v>0.1227878039689728</v>
      </c>
      <c r="Q36" s="9">
        <f ca="1" t="shared" si="15"/>
        <v>-0.6963642403200189</v>
      </c>
      <c r="R36" s="9">
        <f ca="1" t="shared" si="15"/>
        <v>0.7071067811865476</v>
      </c>
      <c r="S36" s="9">
        <f ca="1" t="shared" si="15"/>
        <v>-0.12278780396897278</v>
      </c>
      <c r="T36" s="9">
        <f ca="1" t="shared" si="16"/>
        <v>-0.17364817766693028</v>
      </c>
      <c r="U36" s="9">
        <f ca="1" t="shared" si="16"/>
        <v>0</v>
      </c>
      <c r="V36" s="9">
        <f ca="1" t="shared" si="16"/>
        <v>0.984807753012208</v>
      </c>
      <c r="W36" s="30">
        <f t="shared" si="5"/>
        <v>0</v>
      </c>
      <c r="X36" s="31">
        <f t="shared" si="6"/>
        <v>90</v>
      </c>
      <c r="Y36" s="30">
        <f t="shared" si="7"/>
        <v>5.724587470723463E-17</v>
      </c>
      <c r="Z36" s="31">
        <f t="shared" si="8"/>
        <v>90</v>
      </c>
      <c r="AA36" s="30">
        <f t="shared" si="9"/>
        <v>1.3877787807814457E-17</v>
      </c>
      <c r="AB36" s="31">
        <f t="shared" si="10"/>
        <v>90</v>
      </c>
    </row>
    <row r="37" spans="3:28" ht="13.5" thickBot="1">
      <c r="C37" s="14"/>
      <c r="D37" s="15" t="s">
        <v>517</v>
      </c>
      <c r="E37" s="19" t="s">
        <v>528</v>
      </c>
      <c r="F37" s="15" t="s">
        <v>158</v>
      </c>
      <c r="G37" s="9">
        <f ca="1" t="shared" si="17"/>
        <v>263.582597</v>
      </c>
      <c r="H37" s="9">
        <f ca="1" t="shared" si="17"/>
        <v>250.856678</v>
      </c>
      <c r="I37" s="9">
        <f ca="1" t="shared" si="17"/>
        <v>-636.663145</v>
      </c>
      <c r="J37" s="9">
        <f ca="1" t="shared" si="13"/>
        <v>4.6786126596009E-17</v>
      </c>
      <c r="K37" s="9">
        <f ca="1" t="shared" si="13"/>
        <v>1</v>
      </c>
      <c r="L37" s="9">
        <f ca="1" t="shared" si="13"/>
        <v>-3.954149971301882E-17</v>
      </c>
      <c r="M37" s="112">
        <f>IF(Flag="Ignore","",IF(OR(Flag="Hole",Flag="Det"),1,SIGN(XnormP*GutCalc!Xnorm+YnormP*GutCalc!Ynorm+ZnormP*GutCalc!Znorm)))</f>
        <v>1</v>
      </c>
      <c r="N37" s="9">
        <f ca="1" t="shared" si="14"/>
        <v>4.6786126596009E-17</v>
      </c>
      <c r="O37" s="9">
        <f ca="1" t="shared" si="14"/>
        <v>1</v>
      </c>
      <c r="P37" s="9">
        <f ca="1" t="shared" si="14"/>
        <v>-3.954149971301882E-17</v>
      </c>
      <c r="Q37" s="9">
        <f ca="1" t="shared" si="15"/>
        <v>-0.9860133211142263</v>
      </c>
      <c r="R37" s="9">
        <f ca="1" t="shared" si="15"/>
        <v>3.954149971301881E-17</v>
      </c>
      <c r="S37" s="9">
        <f ca="1" t="shared" si="15"/>
        <v>-0.16666652508915447</v>
      </c>
      <c r="T37" s="9">
        <f ca="1" t="shared" si="16"/>
        <v>-0.16666652508915447</v>
      </c>
      <c r="U37" s="9">
        <f ca="1" t="shared" si="16"/>
        <v>4.6786126596009005E-17</v>
      </c>
      <c r="V37" s="9">
        <f ca="1" t="shared" si="16"/>
        <v>0.9860133211142263</v>
      </c>
      <c r="W37" s="30">
        <f t="shared" si="5"/>
        <v>0</v>
      </c>
      <c r="X37" s="31">
        <f t="shared" si="6"/>
        <v>90</v>
      </c>
      <c r="Y37" s="30">
        <f t="shared" si="7"/>
        <v>-1.0014835710813626E-32</v>
      </c>
      <c r="Z37" s="31">
        <f t="shared" si="8"/>
        <v>90</v>
      </c>
      <c r="AA37" s="30">
        <f t="shared" si="9"/>
        <v>0</v>
      </c>
      <c r="AB37" s="31">
        <f t="shared" si="10"/>
        <v>90</v>
      </c>
    </row>
    <row r="38" spans="4:28" ht="13.5" thickBot="1">
      <c r="D38" s="19" t="s">
        <v>506</v>
      </c>
      <c r="E38" s="19" t="s">
        <v>529</v>
      </c>
      <c r="F38" s="19" t="s">
        <v>126</v>
      </c>
      <c r="G38" s="9">
        <f ca="1" t="shared" si="17"/>
      </c>
      <c r="H38" s="9">
        <f ca="1" t="shared" si="17"/>
      </c>
      <c r="I38" s="9">
        <f ca="1" t="shared" si="17"/>
      </c>
      <c r="J38" s="9">
        <f ca="1" t="shared" si="13"/>
      </c>
      <c r="K38" s="9">
        <f ca="1" t="shared" si="13"/>
      </c>
      <c r="L38" s="9">
        <f ca="1" t="shared" si="13"/>
      </c>
      <c r="M38" s="112">
        <f>IF(Flag="Ignore","",IF(OR(Flag="Hole",Flag="Det"),1,SIGN(XnormP*GutCalc!Xnorm+YnormP*GutCalc!Ynorm+ZnormP*GutCalc!Znorm)))</f>
      </c>
      <c r="N38" s="9">
        <f ca="1" t="shared" si="14"/>
      </c>
      <c r="O38" s="9">
        <f ca="1" t="shared" si="14"/>
      </c>
      <c r="P38" s="9">
        <f ca="1" t="shared" si="14"/>
      </c>
      <c r="Q38" s="9">
        <f ca="1" t="shared" si="15"/>
      </c>
      <c r="R38" s="9">
        <f ca="1" t="shared" si="15"/>
      </c>
      <c r="S38" s="9">
        <f ca="1" t="shared" si="15"/>
      </c>
      <c r="T38" s="9">
        <f ca="1" t="shared" si="16"/>
      </c>
      <c r="U38" s="9">
        <f ca="1" t="shared" si="16"/>
      </c>
      <c r="V38" s="9">
        <f ca="1" t="shared" si="16"/>
      </c>
      <c r="W38" s="30">
        <f t="shared" si="5"/>
      </c>
      <c r="X38" s="31">
        <f t="shared" si="6"/>
      </c>
      <c r="Y38" s="30">
        <f t="shared" si="7"/>
      </c>
      <c r="Z38" s="31">
        <f t="shared" si="8"/>
      </c>
      <c r="AA38" s="30">
        <f t="shared" si="9"/>
      </c>
      <c r="AB38" s="31">
        <f t="shared" si="10"/>
      </c>
    </row>
    <row r="39" spans="3:28" ht="12.75">
      <c r="C39" s="10" t="s">
        <v>518</v>
      </c>
      <c r="D39" s="11" t="s">
        <v>508</v>
      </c>
      <c r="E39" s="11" t="s">
        <v>529</v>
      </c>
      <c r="F39" s="11" t="s">
        <v>157</v>
      </c>
      <c r="G39" s="9">
        <f ca="1" t="shared" si="17"/>
        <v>223.12771</v>
      </c>
      <c r="H39" s="9">
        <f ca="1" t="shared" si="17"/>
        <v>170.856678</v>
      </c>
      <c r="I39" s="9">
        <f ca="1" t="shared" si="17"/>
        <v>-321.398533</v>
      </c>
      <c r="J39" s="9">
        <f ca="1" t="shared" si="13"/>
        <v>-1</v>
      </c>
      <c r="K39" s="9">
        <f ca="1" t="shared" si="13"/>
        <v>0</v>
      </c>
      <c r="L39" s="9">
        <f ca="1" t="shared" si="13"/>
        <v>0</v>
      </c>
      <c r="M39" s="112">
        <f>IF(Flag="Ignore","",IF(OR(Flag="Hole",Flag="Det"),1,SIGN(XnormP*GutCalc!Xnorm+YnormP*GutCalc!Ynorm+ZnormP*GutCalc!Znorm)))</f>
        <v>1</v>
      </c>
      <c r="N39" s="9">
        <f ca="1" t="shared" si="14"/>
        <v>-1</v>
      </c>
      <c r="O39" s="9">
        <f ca="1" t="shared" si="14"/>
        <v>0</v>
      </c>
      <c r="P39" s="9">
        <f ca="1" t="shared" si="14"/>
        <v>0</v>
      </c>
      <c r="Q39" s="9">
        <f ca="1" t="shared" si="15"/>
        <v>0</v>
      </c>
      <c r="R39" s="9">
        <f ca="1" t="shared" si="15"/>
        <v>1</v>
      </c>
      <c r="S39" s="9">
        <f ca="1" t="shared" si="15"/>
        <v>0</v>
      </c>
      <c r="T39" s="9">
        <f ca="1" t="shared" si="16"/>
        <v>0</v>
      </c>
      <c r="U39" s="9">
        <f ca="1" t="shared" si="16"/>
        <v>0</v>
      </c>
      <c r="V39" s="9">
        <f ca="1" t="shared" si="16"/>
        <v>-1</v>
      </c>
      <c r="W39" s="30">
        <f t="shared" si="5"/>
        <v>0</v>
      </c>
      <c r="X39" s="31">
        <f t="shared" si="6"/>
        <v>90</v>
      </c>
      <c r="Y39" s="30">
        <f t="shared" si="7"/>
        <v>0</v>
      </c>
      <c r="Z39" s="31">
        <f t="shared" si="8"/>
        <v>90</v>
      </c>
      <c r="AA39" s="30">
        <f t="shared" si="9"/>
        <v>0</v>
      </c>
      <c r="AB39" s="31">
        <f t="shared" si="10"/>
        <v>90</v>
      </c>
    </row>
    <row r="40" spans="3:28" ht="12.75">
      <c r="C40" s="18"/>
      <c r="D40" s="19" t="s">
        <v>519</v>
      </c>
      <c r="E40" s="19" t="s">
        <v>529</v>
      </c>
      <c r="F40" s="19"/>
      <c r="G40" s="9">
        <f ca="1" t="shared" si="17"/>
        <v>73.13211000000001</v>
      </c>
      <c r="H40" s="9">
        <f ca="1" t="shared" si="17"/>
        <v>170.856678</v>
      </c>
      <c r="I40" s="9">
        <f ca="1" t="shared" si="17"/>
        <v>-407.998533</v>
      </c>
      <c r="J40" s="9">
        <f ca="1" t="shared" si="13"/>
        <v>-0.9659258262890683</v>
      </c>
      <c r="K40" s="9">
        <f ca="1" t="shared" si="13"/>
        <v>0</v>
      </c>
      <c r="L40" s="9">
        <f ca="1" t="shared" si="13"/>
        <v>-0.25881904510252074</v>
      </c>
      <c r="M40" s="112">
        <f>IF(Flag="Ignore","",IF(OR(Flag="Hole",Flag="Det"),1,SIGN(XnormP*GutCalc!Xnorm+YnormP*GutCalc!Ynorm+ZnormP*GutCalc!Znorm)))</f>
        <v>-1</v>
      </c>
      <c r="N40" s="9">
        <f ca="1" t="shared" si="14"/>
        <v>0.9659258262890683</v>
      </c>
      <c r="O40" s="9">
        <f ca="1" t="shared" si="14"/>
        <v>0</v>
      </c>
      <c r="P40" s="9">
        <f ca="1" t="shared" si="14"/>
        <v>0.25881904510252074</v>
      </c>
      <c r="Q40" s="9">
        <f ca="1" t="shared" si="15"/>
        <v>0</v>
      </c>
      <c r="R40" s="9">
        <f ca="1" t="shared" si="15"/>
        <v>1</v>
      </c>
      <c r="S40" s="9">
        <f ca="1" t="shared" si="15"/>
        <v>0</v>
      </c>
      <c r="T40" s="9">
        <f ca="1" t="shared" si="16"/>
        <v>-0.25881904510252074</v>
      </c>
      <c r="U40" s="9">
        <f ca="1" t="shared" si="16"/>
        <v>0</v>
      </c>
      <c r="V40" s="9">
        <f ca="1" t="shared" si="16"/>
        <v>0.9659258262890683</v>
      </c>
      <c r="W40" s="30">
        <f t="shared" si="5"/>
        <v>0</v>
      </c>
      <c r="X40" s="31">
        <f t="shared" si="6"/>
        <v>90</v>
      </c>
      <c r="Y40" s="30">
        <f t="shared" si="7"/>
        <v>0</v>
      </c>
      <c r="Z40" s="31">
        <f t="shared" si="8"/>
        <v>90</v>
      </c>
      <c r="AA40" s="30">
        <f t="shared" si="9"/>
        <v>0</v>
      </c>
      <c r="AB40" s="31">
        <f t="shared" si="10"/>
        <v>90</v>
      </c>
    </row>
    <row r="41" spans="3:28" ht="12.75">
      <c r="C41" s="18"/>
      <c r="D41" s="19" t="s">
        <v>520</v>
      </c>
      <c r="E41" s="19" t="s">
        <v>529</v>
      </c>
      <c r="F41" s="19" t="s">
        <v>126</v>
      </c>
      <c r="G41" s="9">
        <f ca="1" t="shared" si="17"/>
      </c>
      <c r="H41" s="9">
        <f ca="1" t="shared" si="17"/>
      </c>
      <c r="I41" s="9">
        <f ca="1" t="shared" si="17"/>
      </c>
      <c r="J41" s="9">
        <f ca="1" t="shared" si="13"/>
      </c>
      <c r="K41" s="9">
        <f ca="1" t="shared" si="13"/>
      </c>
      <c r="L41" s="9">
        <f ca="1" t="shared" si="13"/>
      </c>
      <c r="M41" s="112">
        <f>IF(Flag="Ignore","",IF(OR(Flag="Hole",Flag="Det"),1,SIGN(XnormP*GutCalc!Xnorm+YnormP*GutCalc!Ynorm+ZnormP*GutCalc!Znorm)))</f>
      </c>
      <c r="N41" s="9">
        <f ca="1" t="shared" si="14"/>
      </c>
      <c r="O41" s="9">
        <f ca="1" t="shared" si="14"/>
      </c>
      <c r="P41" s="9">
        <f ca="1" t="shared" si="14"/>
      </c>
      <c r="Q41" s="9">
        <f ca="1" t="shared" si="15"/>
      </c>
      <c r="R41" s="9">
        <f ca="1" t="shared" si="15"/>
      </c>
      <c r="S41" s="9">
        <f ca="1" t="shared" si="15"/>
      </c>
      <c r="T41" s="9">
        <f ca="1" t="shared" si="16"/>
      </c>
      <c r="U41" s="9">
        <f ca="1" t="shared" si="16"/>
      </c>
      <c r="V41" s="9">
        <f ca="1" t="shared" si="16"/>
      </c>
      <c r="W41" s="30">
        <f t="shared" si="5"/>
      </c>
      <c r="X41" s="31">
        <f t="shared" si="6"/>
      </c>
      <c r="Y41" s="30">
        <f t="shared" si="7"/>
      </c>
      <c r="Z41" s="31">
        <f t="shared" si="8"/>
      </c>
      <c r="AA41" s="30">
        <f t="shared" si="9"/>
      </c>
      <c r="AB41" s="31">
        <f t="shared" si="10"/>
      </c>
    </row>
    <row r="42" spans="3:28" ht="12.75">
      <c r="C42" s="18"/>
      <c r="D42" s="19" t="s">
        <v>521</v>
      </c>
      <c r="E42" s="19" t="s">
        <v>529</v>
      </c>
      <c r="F42" s="19" t="s">
        <v>126</v>
      </c>
      <c r="G42" s="9">
        <f aca="true" ca="1" t="shared" si="18" ref="G42:I48">IF(Flag="Ignore","",INDIRECT(Axe&amp;"0")+INDIRECT(Axe&amp;"fact")*INDIRECT("VerticesSyno!"&amp;AxeSyno&amp;Local))</f>
      </c>
      <c r="H42" s="9">
        <f ca="1" t="shared" si="18"/>
      </c>
      <c r="I42" s="9">
        <f ca="1" t="shared" si="18"/>
      </c>
      <c r="J42" s="9">
        <f aca="true" ca="1" t="shared" si="19" ref="J42:L48">IF(Flag="Ignore","",INDIRECT(Axe&amp;"fact")*INDIRECT("VerticesSyno!"&amp;AxeSyno&amp;Local))</f>
      </c>
      <c r="K42" s="9">
        <f ca="1" t="shared" si="19"/>
      </c>
      <c r="L42" s="9">
        <f ca="1" t="shared" si="19"/>
      </c>
      <c r="M42" s="112">
        <f>IF(Flag="Ignore","",IF(OR(Flag="Hole",Flag="Det"),1,SIGN(XnormP*GutCalc!Xnorm+YnormP*GutCalc!Ynorm+ZnormP*GutCalc!Znorm)))</f>
      </c>
      <c r="N42" s="9">
        <f aca="true" ca="1" t="shared" si="20" ref="N42:P48">IF(Flag="Ignore","",INDIRECT(Axe&amp;"fact")*INDIRECT("VerticesSyno!"&amp;AxeSyno&amp;Local)*NormDir)</f>
      </c>
      <c r="O42" s="9">
        <f ca="1" t="shared" si="20"/>
      </c>
      <c r="P42" s="9">
        <f ca="1" t="shared" si="20"/>
      </c>
      <c r="Q42" s="9">
        <f aca="true" ca="1" t="shared" si="21" ref="Q42:S48">IF(Flag="Ignore","",INDIRECT(Axe&amp;"fact")*INDIRECT("VerticesSyno!"&amp;AxeSyno&amp;Local))</f>
      </c>
      <c r="R42" s="9">
        <f ca="1" t="shared" si="21"/>
      </c>
      <c r="S42" s="9">
        <f ca="1" t="shared" si="21"/>
      </c>
      <c r="T42" s="9">
        <f aca="true" ca="1" t="shared" si="22" ref="T42:V48">IF(Flag="Ignore","",INDIRECT(Axe&amp;"fact")*INDIRECT("VerticesSyno!"&amp;AxeSyno&amp;Local)*NormDir*(-1))</f>
      </c>
      <c r="U42" s="9">
        <f ca="1" t="shared" si="22"/>
      </c>
      <c r="V42" s="9">
        <f ca="1" t="shared" si="22"/>
      </c>
      <c r="W42" s="30">
        <f t="shared" si="5"/>
      </c>
      <c r="X42" s="31">
        <f t="shared" si="6"/>
      </c>
      <c r="Y42" s="30">
        <f t="shared" si="7"/>
      </c>
      <c r="Z42" s="31">
        <f t="shared" si="8"/>
      </c>
      <c r="AA42" s="30">
        <f t="shared" si="9"/>
      </c>
      <c r="AB42" s="31">
        <f t="shared" si="10"/>
      </c>
    </row>
    <row r="43" spans="3:28" ht="12.75">
      <c r="C43" s="18"/>
      <c r="D43" s="19" t="s">
        <v>522</v>
      </c>
      <c r="E43" s="19" t="s">
        <v>529</v>
      </c>
      <c r="F43" s="19" t="s">
        <v>126</v>
      </c>
      <c r="G43" s="9">
        <f ca="1" t="shared" si="18"/>
      </c>
      <c r="H43" s="9">
        <f ca="1" t="shared" si="18"/>
      </c>
      <c r="I43" s="9">
        <f ca="1" t="shared" si="18"/>
      </c>
      <c r="J43" s="9">
        <f ca="1" t="shared" si="19"/>
      </c>
      <c r="K43" s="9">
        <f ca="1" t="shared" si="19"/>
      </c>
      <c r="L43" s="9">
        <f ca="1" t="shared" si="19"/>
      </c>
      <c r="M43" s="112">
        <f>IF(Flag="Ignore","",IF(OR(Flag="Hole",Flag="Det"),1,SIGN(XnormP*GutCalc!Xnorm+YnormP*GutCalc!Ynorm+ZnormP*GutCalc!Znorm)))</f>
      </c>
      <c r="N43" s="9">
        <f ca="1" t="shared" si="20"/>
      </c>
      <c r="O43" s="9">
        <f ca="1" t="shared" si="20"/>
      </c>
      <c r="P43" s="9">
        <f ca="1" t="shared" si="20"/>
      </c>
      <c r="Q43" s="9">
        <f ca="1" t="shared" si="21"/>
      </c>
      <c r="R43" s="9">
        <f ca="1" t="shared" si="21"/>
      </c>
      <c r="S43" s="9">
        <f ca="1" t="shared" si="21"/>
      </c>
      <c r="T43" s="9">
        <f ca="1" t="shared" si="22"/>
      </c>
      <c r="U43" s="9">
        <f ca="1" t="shared" si="22"/>
      </c>
      <c r="V43" s="9">
        <f ca="1" t="shared" si="22"/>
      </c>
      <c r="W43" s="30">
        <f t="shared" si="5"/>
      </c>
      <c r="X43" s="31">
        <f t="shared" si="6"/>
      </c>
      <c r="Y43" s="30">
        <f t="shared" si="7"/>
      </c>
      <c r="Z43" s="31">
        <f t="shared" si="8"/>
      </c>
      <c r="AA43" s="30">
        <f t="shared" si="9"/>
      </c>
      <c r="AB43" s="31">
        <f t="shared" si="10"/>
      </c>
    </row>
    <row r="44" spans="3:28" ht="12.75">
      <c r="C44" s="18"/>
      <c r="D44" s="19" t="s">
        <v>523</v>
      </c>
      <c r="E44" s="19" t="s">
        <v>529</v>
      </c>
      <c r="F44" s="19"/>
      <c r="G44" s="9">
        <f ca="1" t="shared" si="18"/>
        <v>73.13211000000001</v>
      </c>
      <c r="H44" s="9">
        <f ca="1" t="shared" si="18"/>
        <v>170.856678</v>
      </c>
      <c r="I44" s="9">
        <f ca="1" t="shared" si="18"/>
        <v>-457.998533</v>
      </c>
      <c r="J44" s="9">
        <f ca="1" t="shared" si="19"/>
        <v>0.9659258262890682</v>
      </c>
      <c r="K44" s="9">
        <f ca="1" t="shared" si="19"/>
        <v>0</v>
      </c>
      <c r="L44" s="9">
        <f ca="1" t="shared" si="19"/>
        <v>-0.258819045102521</v>
      </c>
      <c r="M44" s="112">
        <f>IF(Flag="Ignore","",IF(OR(Flag="Hole",Flag="Det"),1,SIGN(XnormP*GutCalc!Xnorm+YnormP*GutCalc!Ynorm+ZnormP*GutCalc!Znorm)))</f>
        <v>1</v>
      </c>
      <c r="N44" s="9">
        <f ca="1" t="shared" si="20"/>
        <v>0.9659258262890682</v>
      </c>
      <c r="O44" s="9">
        <f ca="1" t="shared" si="20"/>
        <v>0</v>
      </c>
      <c r="P44" s="9">
        <f ca="1" t="shared" si="20"/>
        <v>-0.258819045102521</v>
      </c>
      <c r="Q44" s="9">
        <f ca="1" t="shared" si="21"/>
        <v>0</v>
      </c>
      <c r="R44" s="9">
        <f ca="1" t="shared" si="21"/>
        <v>1</v>
      </c>
      <c r="S44" s="9">
        <f ca="1" t="shared" si="21"/>
        <v>0</v>
      </c>
      <c r="T44" s="9">
        <f ca="1" t="shared" si="22"/>
        <v>0.258819045102521</v>
      </c>
      <c r="U44" s="9">
        <f ca="1" t="shared" si="22"/>
        <v>0</v>
      </c>
      <c r="V44" s="9">
        <f ca="1" t="shared" si="22"/>
        <v>0.9659258262890682</v>
      </c>
      <c r="W44" s="30">
        <f t="shared" si="5"/>
        <v>0</v>
      </c>
      <c r="X44" s="31">
        <f t="shared" si="6"/>
        <v>90</v>
      </c>
      <c r="Y44" s="30">
        <f t="shared" si="7"/>
        <v>0</v>
      </c>
      <c r="Z44" s="31">
        <f t="shared" si="8"/>
        <v>90</v>
      </c>
      <c r="AA44" s="30">
        <f t="shared" si="9"/>
        <v>0</v>
      </c>
      <c r="AB44" s="31">
        <f t="shared" si="10"/>
        <v>90</v>
      </c>
    </row>
    <row r="45" spans="3:28" ht="12.75">
      <c r="C45" s="18"/>
      <c r="D45" s="19" t="s">
        <v>514</v>
      </c>
      <c r="E45" s="19" t="s">
        <v>529</v>
      </c>
      <c r="F45" s="19"/>
      <c r="G45" s="9">
        <f ca="1" t="shared" si="18"/>
        <v>223.12771</v>
      </c>
      <c r="H45" s="9">
        <f ca="1" t="shared" si="18"/>
        <v>170.856678</v>
      </c>
      <c r="I45" s="9">
        <f ca="1" t="shared" si="18"/>
        <v>-544.598533</v>
      </c>
      <c r="J45" s="9">
        <f ca="1" t="shared" si="19"/>
        <v>1</v>
      </c>
      <c r="K45" s="9">
        <f ca="1" t="shared" si="19"/>
        <v>0</v>
      </c>
      <c r="L45" s="9">
        <f ca="1" t="shared" si="19"/>
        <v>1.22514845490862E-16</v>
      </c>
      <c r="M45" s="112">
        <f>IF(Flag="Ignore","",IF(OR(Flag="Hole",Flag="Det"),1,SIGN(XnormP*GutCalc!Xnorm+YnormP*GutCalc!Ynorm+ZnormP*GutCalc!Znorm)))</f>
        <v>-1</v>
      </c>
      <c r="N45" s="9">
        <f ca="1" t="shared" si="20"/>
        <v>-1</v>
      </c>
      <c r="O45" s="9">
        <f ca="1" t="shared" si="20"/>
        <v>0</v>
      </c>
      <c r="P45" s="9">
        <f ca="1" t="shared" si="20"/>
        <v>-1.22514845490862E-16</v>
      </c>
      <c r="Q45" s="9">
        <f ca="1" t="shared" si="21"/>
        <v>1.8260974706750705E-24</v>
      </c>
      <c r="R45" s="9">
        <f ca="1" t="shared" si="21"/>
        <v>0.9999999999999999</v>
      </c>
      <c r="S45" s="9">
        <f ca="1" t="shared" si="21"/>
        <v>-1.4905111812031573E-08</v>
      </c>
      <c r="T45" s="9">
        <f ca="1" t="shared" si="22"/>
        <v>1.2251484549086198E-16</v>
      </c>
      <c r="U45" s="9">
        <f ca="1" t="shared" si="22"/>
        <v>-1.4905111812031573E-08</v>
      </c>
      <c r="V45" s="9">
        <f ca="1" t="shared" si="22"/>
        <v>-0.9999999999999999</v>
      </c>
      <c r="W45" s="30">
        <f t="shared" si="5"/>
        <v>0</v>
      </c>
      <c r="X45" s="31">
        <f t="shared" si="6"/>
        <v>90</v>
      </c>
      <c r="Y45" s="30">
        <f t="shared" si="7"/>
        <v>0</v>
      </c>
      <c r="Z45" s="31">
        <f t="shared" si="8"/>
        <v>90</v>
      </c>
      <c r="AA45" s="30">
        <f t="shared" si="9"/>
        <v>0</v>
      </c>
      <c r="AB45" s="31">
        <f t="shared" si="10"/>
        <v>90</v>
      </c>
    </row>
    <row r="46" spans="3:28" ht="12.75">
      <c r="C46" s="18"/>
      <c r="D46" s="19" t="s">
        <v>524</v>
      </c>
      <c r="E46" s="19" t="s">
        <v>529</v>
      </c>
      <c r="F46" s="19"/>
      <c r="G46" s="9">
        <f ca="1" t="shared" si="18"/>
        <v>91.509169</v>
      </c>
      <c r="H46" s="9">
        <f ca="1" t="shared" si="18"/>
        <v>170.856678</v>
      </c>
      <c r="I46" s="9">
        <f ca="1" t="shared" si="18"/>
        <v>-620.588533</v>
      </c>
      <c r="J46" s="9">
        <f ca="1" t="shared" si="19"/>
        <v>0.984807753012208</v>
      </c>
      <c r="K46" s="9">
        <f ca="1" t="shared" si="19"/>
        <v>0</v>
      </c>
      <c r="L46" s="9">
        <f ca="1" t="shared" si="19"/>
        <v>0.17364817766693028</v>
      </c>
      <c r="M46" s="112">
        <f>IF(Flag="Ignore","",IF(OR(Flag="Hole",Flag="Det"),1,SIGN(XnormP*GutCalc!Xnorm+YnormP*GutCalc!Ynorm+ZnormP*GutCalc!Znorm)))</f>
        <v>1</v>
      </c>
      <c r="N46" s="9">
        <f ca="1" t="shared" si="20"/>
        <v>0.984807753012208</v>
      </c>
      <c r="O46" s="9">
        <f ca="1" t="shared" si="20"/>
        <v>0</v>
      </c>
      <c r="P46" s="9">
        <f ca="1" t="shared" si="20"/>
        <v>0.17364817766693028</v>
      </c>
      <c r="Q46" s="9">
        <f ca="1" t="shared" si="21"/>
        <v>0.0054241286205614836</v>
      </c>
      <c r="R46" s="9">
        <f ca="1" t="shared" si="21"/>
        <v>0.9995120273540129</v>
      </c>
      <c r="S46" s="9">
        <f ca="1" t="shared" si="21"/>
        <v>-0.03076176203305844</v>
      </c>
      <c r="T46" s="9">
        <f ca="1" t="shared" si="22"/>
        <v>-0.1735634421062033</v>
      </c>
      <c r="U46" s="9">
        <f ca="1" t="shared" si="22"/>
        <v>0.031236311796864077</v>
      </c>
      <c r="V46" s="9">
        <f ca="1" t="shared" si="22"/>
        <v>0.984327193767182</v>
      </c>
      <c r="W46" s="30">
        <f t="shared" si="5"/>
        <v>0</v>
      </c>
      <c r="X46" s="31">
        <f t="shared" si="6"/>
        <v>90</v>
      </c>
      <c r="Y46" s="30">
        <f t="shared" si="7"/>
        <v>0</v>
      </c>
      <c r="Z46" s="31">
        <f t="shared" si="8"/>
        <v>90</v>
      </c>
      <c r="AA46" s="30">
        <f t="shared" si="9"/>
        <v>3.469446951953614E-18</v>
      </c>
      <c r="AB46" s="31">
        <f t="shared" si="10"/>
        <v>90</v>
      </c>
    </row>
    <row r="47" spans="3:28" ht="12.75">
      <c r="C47" s="18"/>
      <c r="D47" s="19" t="s">
        <v>525</v>
      </c>
      <c r="E47" s="19" t="s">
        <v>529</v>
      </c>
      <c r="F47" s="19"/>
      <c r="G47" s="9">
        <f ca="1" t="shared" si="18"/>
        <v>182.672823</v>
      </c>
      <c r="H47" s="9">
        <f ca="1" t="shared" si="18"/>
        <v>170.856678</v>
      </c>
      <c r="I47" s="9">
        <f ca="1" t="shared" si="18"/>
        <v>-636.663145</v>
      </c>
      <c r="J47" s="9">
        <f ca="1" t="shared" si="19"/>
        <v>0.696364240320019</v>
      </c>
      <c r="K47" s="9">
        <f ca="1" t="shared" si="19"/>
        <v>-0.7071067811865475</v>
      </c>
      <c r="L47" s="9">
        <f ca="1" t="shared" si="19"/>
        <v>-0.1227878039689728</v>
      </c>
      <c r="M47" s="112">
        <f>IF(Flag="Ignore","",IF(OR(Flag="Hole",Flag="Det"),1,SIGN(XnormP*GutCalc!Xnorm+YnormP*GutCalc!Ynorm+ZnormP*GutCalc!Znorm)))</f>
        <v>-1</v>
      </c>
      <c r="N47" s="9">
        <f ca="1" t="shared" si="20"/>
        <v>-0.696364240320019</v>
      </c>
      <c r="O47" s="9">
        <f ca="1" t="shared" si="20"/>
        <v>0.7071067811865475</v>
      </c>
      <c r="P47" s="9">
        <f ca="1" t="shared" si="20"/>
        <v>0.1227878039689728</v>
      </c>
      <c r="Q47" s="9">
        <f ca="1" t="shared" si="21"/>
        <v>0.6963642403200189</v>
      </c>
      <c r="R47" s="9">
        <f ca="1" t="shared" si="21"/>
        <v>0.7071067811865476</v>
      </c>
      <c r="S47" s="9">
        <f ca="1" t="shared" si="21"/>
        <v>-0.12278780396897278</v>
      </c>
      <c r="T47" s="9">
        <f ca="1" t="shared" si="22"/>
        <v>-0.17364817766693028</v>
      </c>
      <c r="U47" s="9">
        <f ca="1" t="shared" si="22"/>
        <v>0</v>
      </c>
      <c r="V47" s="9">
        <f ca="1" t="shared" si="22"/>
        <v>-0.984807753012208</v>
      </c>
      <c r="W47" s="30">
        <f t="shared" si="5"/>
        <v>0</v>
      </c>
      <c r="X47" s="31">
        <f t="shared" si="6"/>
        <v>90</v>
      </c>
      <c r="Y47" s="30">
        <f t="shared" si="7"/>
        <v>5.724587470723463E-17</v>
      </c>
      <c r="Z47" s="31">
        <f t="shared" si="8"/>
        <v>90</v>
      </c>
      <c r="AA47" s="30">
        <f t="shared" si="9"/>
        <v>-1.3877787807814457E-17</v>
      </c>
      <c r="AB47" s="31">
        <f t="shared" si="10"/>
        <v>90</v>
      </c>
    </row>
    <row r="48" spans="3:28" ht="13.5" thickBot="1">
      <c r="C48" s="14"/>
      <c r="D48" s="15" t="s">
        <v>526</v>
      </c>
      <c r="E48" s="15" t="s">
        <v>529</v>
      </c>
      <c r="F48" s="15" t="s">
        <v>158</v>
      </c>
      <c r="G48" s="9">
        <f ca="1" t="shared" si="18"/>
        <v>182.672823</v>
      </c>
      <c r="H48" s="9">
        <f ca="1" t="shared" si="18"/>
        <v>250.856678</v>
      </c>
      <c r="I48" s="9">
        <f ca="1" t="shared" si="18"/>
        <v>-636.663145</v>
      </c>
      <c r="J48" s="9">
        <f ca="1" t="shared" si="19"/>
        <v>-8.06859895435232E-18</v>
      </c>
      <c r="K48" s="9">
        <f ca="1" t="shared" si="19"/>
        <v>-1</v>
      </c>
      <c r="L48" s="9">
        <f ca="1" t="shared" si="19"/>
        <v>6.072371490880867E-17</v>
      </c>
      <c r="M48" s="112">
        <f>IF(Flag="Ignore","",IF(OR(Flag="Hole",Flag="Det"),1,SIGN(XnormP*GutCalc!Xnorm+YnormP*GutCalc!Ynorm+ZnormP*GutCalc!Znorm)))</f>
        <v>1</v>
      </c>
      <c r="N48" s="9">
        <f ca="1" t="shared" si="20"/>
        <v>-8.06859895435232E-18</v>
      </c>
      <c r="O48" s="9">
        <f ca="1" t="shared" si="20"/>
        <v>-1</v>
      </c>
      <c r="P48" s="9">
        <f ca="1" t="shared" si="20"/>
        <v>6.072371490880867E-17</v>
      </c>
      <c r="Q48" s="9">
        <f ca="1" t="shared" si="21"/>
        <v>0.9822646122518143</v>
      </c>
      <c r="R48" s="9">
        <f ca="1" t="shared" si="21"/>
        <v>-1.9311192775891474E-17</v>
      </c>
      <c r="S48" s="9">
        <f ca="1" t="shared" si="21"/>
        <v>-0.1874999507141085</v>
      </c>
      <c r="T48" s="9">
        <f ca="1" t="shared" si="22"/>
        <v>0.1874999507141085</v>
      </c>
      <c r="U48" s="9">
        <f ca="1" t="shared" si="22"/>
        <v>5.813389437311769E-17</v>
      </c>
      <c r="V48" s="9">
        <f ca="1" t="shared" si="22"/>
        <v>0.9822646122518143</v>
      </c>
      <c r="W48" s="30">
        <f t="shared" si="5"/>
        <v>1.232595164407831E-32</v>
      </c>
      <c r="X48" s="31">
        <f t="shared" si="6"/>
        <v>90</v>
      </c>
      <c r="Y48" s="30">
        <f t="shared" si="7"/>
        <v>-1.5407439555097887E-33</v>
      </c>
      <c r="Z48" s="31">
        <f t="shared" si="8"/>
        <v>90</v>
      </c>
      <c r="AA48" s="30">
        <f t="shared" si="9"/>
        <v>0</v>
      </c>
      <c r="AB48" s="31">
        <f t="shared" si="10"/>
        <v>90</v>
      </c>
    </row>
    <row r="49" spans="1:34" s="1" customFormat="1" ht="12.75">
      <c r="A49" s="25" t="s">
        <v>553</v>
      </c>
      <c r="C49" s="19"/>
      <c r="D49" s="19"/>
      <c r="E49" s="19"/>
      <c r="F49" s="19"/>
      <c r="G49" s="21" t="s">
        <v>17</v>
      </c>
      <c r="H49" s="21" t="s">
        <v>80</v>
      </c>
      <c r="I49" s="21" t="s">
        <v>81</v>
      </c>
      <c r="J49" s="21" t="s">
        <v>17</v>
      </c>
      <c r="K49" s="21" t="s">
        <v>80</v>
      </c>
      <c r="L49" s="21" t="s">
        <v>81</v>
      </c>
      <c r="N49" s="21" t="s">
        <v>17</v>
      </c>
      <c r="O49" s="21" t="s">
        <v>80</v>
      </c>
      <c r="P49" s="21" t="s">
        <v>81</v>
      </c>
      <c r="Q49" s="21" t="s">
        <v>17</v>
      </c>
      <c r="R49" s="21" t="s">
        <v>80</v>
      </c>
      <c r="S49" s="21" t="s">
        <v>81</v>
      </c>
      <c r="T49" s="21" t="s">
        <v>17</v>
      </c>
      <c r="U49" s="21" t="s">
        <v>80</v>
      </c>
      <c r="V49" s="21" t="s">
        <v>81</v>
      </c>
      <c r="W49" s="21"/>
      <c r="X49" s="21"/>
      <c r="Y49" s="21"/>
      <c r="Z49" s="21"/>
      <c r="AA49" s="21"/>
      <c r="AB49" s="21"/>
      <c r="AC49" s="19"/>
      <c r="AD49" s="19"/>
      <c r="AE49" s="19"/>
      <c r="AF49" s="19"/>
      <c r="AG49" s="19"/>
      <c r="AH49" s="19"/>
    </row>
    <row r="50" spans="1:34" s="1" customFormat="1" ht="12.75">
      <c r="A50" s="5" t="s">
        <v>554</v>
      </c>
      <c r="G50" s="21" t="s">
        <v>545</v>
      </c>
      <c r="H50" s="21" t="s">
        <v>543</v>
      </c>
      <c r="I50" s="21" t="s">
        <v>544</v>
      </c>
      <c r="J50" s="21" t="s">
        <v>545</v>
      </c>
      <c r="K50" s="21" t="s">
        <v>543</v>
      </c>
      <c r="L50" s="21" t="s">
        <v>544</v>
      </c>
      <c r="N50" s="21" t="s">
        <v>545</v>
      </c>
      <c r="O50" s="21" t="s">
        <v>543</v>
      </c>
      <c r="P50" s="21" t="s">
        <v>544</v>
      </c>
      <c r="Q50" s="21" t="s">
        <v>545</v>
      </c>
      <c r="R50" s="21" t="s">
        <v>543</v>
      </c>
      <c r="S50" s="21" t="s">
        <v>544</v>
      </c>
      <c r="T50" s="21" t="s">
        <v>545</v>
      </c>
      <c r="U50" s="21" t="s">
        <v>543</v>
      </c>
      <c r="V50" s="21" t="s">
        <v>544</v>
      </c>
      <c r="W50" s="21"/>
      <c r="X50" s="21"/>
      <c r="Y50" s="21"/>
      <c r="Z50" s="21"/>
      <c r="AA50" s="21"/>
      <c r="AB50" s="21"/>
      <c r="AC50" s="19"/>
      <c r="AD50" s="19"/>
      <c r="AE50" s="19"/>
      <c r="AF50" s="19"/>
      <c r="AG50" s="19"/>
      <c r="AH50" s="19"/>
    </row>
    <row r="51" spans="1:28" ht="12.75">
      <c r="A51" s="25" t="s">
        <v>575</v>
      </c>
      <c r="E51" s="19"/>
      <c r="F51" s="19"/>
      <c r="G51" s="21" t="s">
        <v>576</v>
      </c>
      <c r="H51" s="21" t="s">
        <v>576</v>
      </c>
      <c r="I51" s="21" t="s">
        <v>576</v>
      </c>
      <c r="J51" s="20" t="s">
        <v>405</v>
      </c>
      <c r="K51" s="20" t="s">
        <v>405</v>
      </c>
      <c r="L51" s="20" t="s">
        <v>405</v>
      </c>
      <c r="M51" s="113"/>
      <c r="N51" s="20" t="s">
        <v>405</v>
      </c>
      <c r="O51" s="20" t="s">
        <v>405</v>
      </c>
      <c r="P51" s="20" t="s">
        <v>405</v>
      </c>
      <c r="Q51" s="20" t="s">
        <v>406</v>
      </c>
      <c r="R51" s="20" t="s">
        <v>406</v>
      </c>
      <c r="S51" s="20" t="s">
        <v>406</v>
      </c>
      <c r="T51" s="20" t="s">
        <v>407</v>
      </c>
      <c r="U51" s="20" t="s">
        <v>407</v>
      </c>
      <c r="V51" s="20" t="s">
        <v>407</v>
      </c>
      <c r="W51" s="45"/>
      <c r="X51" s="71"/>
      <c r="Y51" s="45"/>
      <c r="Z51" s="71"/>
      <c r="AA51" s="45"/>
      <c r="AB51" s="71"/>
    </row>
    <row r="52" spans="5:28" ht="12.75">
      <c r="E52" s="19"/>
      <c r="F52" s="19"/>
      <c r="J52" s="19"/>
      <c r="K52" s="19"/>
      <c r="L52" s="19"/>
      <c r="M52" s="113"/>
      <c r="N52" s="19"/>
      <c r="O52" s="19"/>
      <c r="P52" s="19"/>
      <c r="Q52" s="19"/>
      <c r="R52" s="19"/>
      <c r="S52" s="19"/>
      <c r="T52" s="19"/>
      <c r="U52" s="19"/>
      <c r="V52" s="19"/>
      <c r="W52" s="45"/>
      <c r="X52" s="71"/>
      <c r="Y52" s="45"/>
      <c r="Z52" s="71"/>
      <c r="AA52" s="45"/>
      <c r="AB52" s="71"/>
    </row>
    <row r="53" spans="3:28" ht="12.75">
      <c r="C53" s="23" t="s">
        <v>135</v>
      </c>
      <c r="D53" s="1"/>
      <c r="J53" s="19"/>
      <c r="K53" s="19"/>
      <c r="L53" s="19"/>
      <c r="M53" s="113"/>
      <c r="N53" s="19"/>
      <c r="O53" s="19"/>
      <c r="P53" s="19"/>
      <c r="Q53" s="19"/>
      <c r="R53" s="19"/>
      <c r="S53" s="19"/>
      <c r="T53" s="19"/>
      <c r="U53" s="19"/>
      <c r="V53" s="19"/>
      <c r="W53" s="45"/>
      <c r="X53" s="71"/>
      <c r="Y53" s="45"/>
      <c r="Z53" s="71"/>
      <c r="AA53" s="45"/>
      <c r="AB53" s="71"/>
    </row>
    <row r="54" spans="3:28" ht="12.75">
      <c r="C54" s="29" t="s">
        <v>46</v>
      </c>
      <c r="D54" s="29" t="s">
        <v>408</v>
      </c>
      <c r="E54" s="29" t="s">
        <v>409</v>
      </c>
      <c r="J54" s="19"/>
      <c r="K54" s="19"/>
      <c r="L54" s="19"/>
      <c r="M54" s="113"/>
      <c r="N54" s="19"/>
      <c r="O54" s="19"/>
      <c r="P54" s="19"/>
      <c r="Q54" s="19"/>
      <c r="R54" s="19"/>
      <c r="S54" s="19"/>
      <c r="T54" s="19"/>
      <c r="U54" s="19"/>
      <c r="V54" s="19"/>
      <c r="W54" s="45"/>
      <c r="X54" s="71"/>
      <c r="Y54" s="45"/>
      <c r="Z54" s="71"/>
      <c r="AA54" s="45"/>
      <c r="AB54" s="71"/>
    </row>
    <row r="55" spans="3:28" ht="12.75">
      <c r="C55" s="19" t="s">
        <v>17</v>
      </c>
      <c r="D55" s="19" t="str">
        <f>"-Zsyno"</f>
        <v>-Zsyno</v>
      </c>
      <c r="E55" s="19" t="s">
        <v>128</v>
      </c>
      <c r="J55" s="19"/>
      <c r="K55" s="19"/>
      <c r="L55" s="19"/>
      <c r="M55" s="113"/>
      <c r="N55" s="19"/>
      <c r="O55" s="19"/>
      <c r="P55" s="19"/>
      <c r="Q55" s="19"/>
      <c r="R55" s="19"/>
      <c r="S55" s="19"/>
      <c r="T55" s="19"/>
      <c r="U55" s="19"/>
      <c r="V55" s="19"/>
      <c r="W55" s="45"/>
      <c r="X55" s="71"/>
      <c r="Y55" s="45"/>
      <c r="Z55" s="71"/>
      <c r="AA55" s="45"/>
      <c r="AB55" s="71"/>
    </row>
    <row r="56" spans="3:28" ht="12.75">
      <c r="C56" s="19" t="s">
        <v>80</v>
      </c>
      <c r="D56" s="19" t="s">
        <v>131</v>
      </c>
      <c r="E56" s="19" t="s">
        <v>129</v>
      </c>
      <c r="J56" s="19"/>
      <c r="K56" s="19"/>
      <c r="L56" s="19"/>
      <c r="M56" s="113"/>
      <c r="N56" s="19"/>
      <c r="O56" s="19"/>
      <c r="P56" s="19"/>
      <c r="Q56" s="19"/>
      <c r="R56" s="19"/>
      <c r="S56" s="19"/>
      <c r="T56" s="19"/>
      <c r="U56" s="19"/>
      <c r="V56" s="19"/>
      <c r="W56" s="45"/>
      <c r="X56" s="71"/>
      <c r="Y56" s="45"/>
      <c r="Z56" s="71"/>
      <c r="AA56" s="45"/>
      <c r="AB56" s="71"/>
    </row>
    <row r="57" spans="3:28" ht="12.75">
      <c r="C57" s="19" t="s">
        <v>81</v>
      </c>
      <c r="D57" s="19" t="s">
        <v>132</v>
      </c>
      <c r="E57" s="19" t="s">
        <v>130</v>
      </c>
      <c r="J57" s="19"/>
      <c r="K57" s="19"/>
      <c r="L57" s="19"/>
      <c r="M57" s="113"/>
      <c r="N57" s="19"/>
      <c r="O57" s="19"/>
      <c r="P57" s="19"/>
      <c r="Q57" s="19"/>
      <c r="R57" s="19"/>
      <c r="S57" s="19"/>
      <c r="T57" s="19"/>
      <c r="U57" s="19"/>
      <c r="V57" s="19"/>
      <c r="W57" s="45"/>
      <c r="X57" s="71"/>
      <c r="Y57" s="45"/>
      <c r="Z57" s="71"/>
      <c r="AA57" s="45"/>
      <c r="AB57" s="71"/>
    </row>
    <row r="58" spans="6:28" ht="12.75">
      <c r="F58" s="19"/>
      <c r="J58" s="19"/>
      <c r="K58" s="19"/>
      <c r="L58" s="19"/>
      <c r="M58" s="113"/>
      <c r="N58" s="19"/>
      <c r="O58" s="19"/>
      <c r="P58" s="19"/>
      <c r="Q58" s="19"/>
      <c r="R58" s="19"/>
      <c r="S58" s="19"/>
      <c r="T58" s="19"/>
      <c r="U58" s="19"/>
      <c r="V58" s="19"/>
      <c r="W58" s="45"/>
      <c r="X58" s="71"/>
      <c r="Y58" s="45"/>
      <c r="Z58" s="71"/>
      <c r="AA58" s="45"/>
      <c r="AB58" s="71"/>
    </row>
    <row r="59" spans="3:28" ht="12.75">
      <c r="C59" s="19" t="s">
        <v>399</v>
      </c>
      <c r="D59" s="19">
        <v>-1</v>
      </c>
      <c r="F59" s="19"/>
      <c r="J59" s="19"/>
      <c r="K59" s="19"/>
      <c r="L59" s="19"/>
      <c r="M59" s="113"/>
      <c r="N59" s="19"/>
      <c r="O59" s="19"/>
      <c r="P59" s="19"/>
      <c r="Q59" s="19"/>
      <c r="R59" s="19"/>
      <c r="S59" s="19"/>
      <c r="T59" s="19"/>
      <c r="U59" s="19"/>
      <c r="V59" s="19"/>
      <c r="W59" s="45"/>
      <c r="X59" s="71"/>
      <c r="Y59" s="45"/>
      <c r="Z59" s="71"/>
      <c r="AA59" s="45"/>
      <c r="AB59" s="71"/>
    </row>
    <row r="60" spans="3:28" ht="12.75">
      <c r="C60" s="19" t="s">
        <v>400</v>
      </c>
      <c r="D60" s="19">
        <v>-1</v>
      </c>
      <c r="F60" s="19"/>
      <c r="J60" s="19"/>
      <c r="K60" s="19"/>
      <c r="L60" s="19"/>
      <c r="M60" s="113"/>
      <c r="N60" s="19"/>
      <c r="O60" s="19"/>
      <c r="P60" s="19"/>
      <c r="Q60" s="19"/>
      <c r="R60" s="19"/>
      <c r="S60" s="19"/>
      <c r="T60" s="19"/>
      <c r="U60" s="19"/>
      <c r="V60" s="19"/>
      <c r="W60" s="45"/>
      <c r="X60" s="71"/>
      <c r="Y60" s="45"/>
      <c r="Z60" s="71"/>
      <c r="AA60" s="45"/>
      <c r="AB60" s="71"/>
    </row>
    <row r="61" spans="6:28" ht="12.75">
      <c r="F61" s="19"/>
      <c r="J61" s="19"/>
      <c r="K61" s="19"/>
      <c r="L61" s="19"/>
      <c r="M61" s="113"/>
      <c r="N61" s="19"/>
      <c r="O61" s="19"/>
      <c r="P61" s="19"/>
      <c r="Q61" s="19"/>
      <c r="R61" s="19"/>
      <c r="S61" s="19"/>
      <c r="T61" s="19"/>
      <c r="U61" s="19"/>
      <c r="V61" s="19"/>
      <c r="W61" s="45"/>
      <c r="X61" s="71"/>
      <c r="Y61" s="45"/>
      <c r="Z61" s="71"/>
      <c r="AA61" s="45"/>
      <c r="AB61" s="71"/>
    </row>
    <row r="62" spans="3:28" ht="12.75">
      <c r="C62" s="1"/>
      <c r="D62" s="1"/>
      <c r="J62" s="19"/>
      <c r="K62" s="19"/>
      <c r="L62" s="19"/>
      <c r="M62" s="113"/>
      <c r="N62" s="19"/>
      <c r="O62" s="19"/>
      <c r="P62" s="19"/>
      <c r="Q62" s="19"/>
      <c r="R62" s="19"/>
      <c r="S62" s="19"/>
      <c r="T62" s="19"/>
      <c r="U62" s="19"/>
      <c r="V62" s="19"/>
      <c r="W62" s="45"/>
      <c r="X62" s="71"/>
      <c r="Y62" s="45"/>
      <c r="Z62" s="71"/>
      <c r="AA62" s="45"/>
      <c r="AB62" s="71"/>
    </row>
  </sheetData>
  <printOptions/>
  <pageMargins left="0.41" right="0.25" top="0.984251968503937" bottom="0.984251968503937" header="0.5118110236220472" footer="0.5118110236220472"/>
  <pageSetup fitToHeight="1" fitToWidth="1" horizontalDpi="600" verticalDpi="600" orientation="landscape" paperSize="9" scale="45" r:id="rId1"/>
  <headerFooter alignWithMargins="0">
    <oddHeader>&amp;L&amp;F, &amp;A&amp;R&amp;T, &amp;D</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AC55"/>
  <sheetViews>
    <sheetView zoomScale="75" zoomScaleNormal="75" workbookViewId="0" topLeftCell="D1">
      <pane ySplit="7575" topLeftCell="BM47" activePane="topLeft" state="split"/>
      <selection pane="topLeft" activeCell="AB25" sqref="AB25"/>
      <selection pane="bottomLeft" activeCell="A35" sqref="A35"/>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8" width="8.16015625" style="20" customWidth="1"/>
    <col min="9" max="9" width="9.66015625" style="45" customWidth="1"/>
    <col min="10" max="11" width="10" style="45" customWidth="1"/>
    <col min="12" max="12" width="11.16015625" style="45" customWidth="1"/>
    <col min="13" max="14" width="10" style="45" customWidth="1"/>
    <col min="15" max="23" width="10" style="55" customWidth="1"/>
    <col min="24" max="24" width="10" style="30" customWidth="1"/>
    <col min="25" max="25" width="10" style="31" customWidth="1"/>
    <col min="26" max="26" width="10" style="30" customWidth="1"/>
    <col min="27" max="27" width="10" style="31" customWidth="1"/>
    <col min="28" max="28" width="10" style="30" customWidth="1"/>
    <col min="29" max="29" width="10" style="31" customWidth="1"/>
    <col min="30" max="16384" width="12" style="19" customWidth="1"/>
  </cols>
  <sheetData>
    <row r="1" spans="3:29" s="25" customFormat="1" ht="12.75">
      <c r="C1" s="25" t="s">
        <v>127</v>
      </c>
      <c r="D1" s="25" t="s">
        <v>2</v>
      </c>
      <c r="E1" s="5" t="s">
        <v>530</v>
      </c>
      <c r="F1" s="5" t="s">
        <v>156</v>
      </c>
      <c r="G1" s="26" t="s">
        <v>89</v>
      </c>
      <c r="H1" s="26" t="s">
        <v>90</v>
      </c>
      <c r="I1" s="54" t="s">
        <v>7</v>
      </c>
      <c r="J1" s="54" t="s">
        <v>8</v>
      </c>
      <c r="K1" s="54" t="s">
        <v>9</v>
      </c>
      <c r="L1" s="54" t="s">
        <v>364</v>
      </c>
      <c r="M1" s="54" t="s">
        <v>365</v>
      </c>
      <c r="N1" s="54" t="s">
        <v>366</v>
      </c>
      <c r="O1" s="32" t="s">
        <v>374</v>
      </c>
      <c r="P1" s="32" t="s">
        <v>375</v>
      </c>
      <c r="Q1" s="32" t="s">
        <v>376</v>
      </c>
      <c r="R1" s="32" t="s">
        <v>354</v>
      </c>
      <c r="S1" s="32" t="s">
        <v>377</v>
      </c>
      <c r="T1" s="32" t="s">
        <v>378</v>
      </c>
      <c r="U1" s="32" t="s">
        <v>379</v>
      </c>
      <c r="V1" s="32" t="s">
        <v>380</v>
      </c>
      <c r="W1" s="32" t="s">
        <v>381</v>
      </c>
      <c r="X1" s="30" t="s">
        <v>382</v>
      </c>
      <c r="Y1" s="31"/>
      <c r="Z1" s="30" t="s">
        <v>383</v>
      </c>
      <c r="AA1" s="31"/>
      <c r="AB1" s="30" t="s">
        <v>384</v>
      </c>
      <c r="AC1" s="31"/>
    </row>
    <row r="2" spans="4:29" ht="13.5" thickBot="1">
      <c r="D2" s="19" t="s">
        <v>91</v>
      </c>
      <c r="E2" s="1" t="s">
        <v>527</v>
      </c>
      <c r="F2" s="1" t="s">
        <v>126</v>
      </c>
      <c r="G2" s="20">
        <v>5</v>
      </c>
      <c r="H2" s="20">
        <f aca="true" ca="1" t="shared" si="0" ref="H2:H48">SurfNum+INDIRECT("Line0"&amp;System)</f>
        <v>246</v>
      </c>
      <c r="I2" s="45">
        <f ca="1" t="shared" si="1" ref="I2:I48">INDIRECT(System&amp;"Glob!"&amp;Xcol&amp;FIXED(Line,0))</f>
        <v>0</v>
      </c>
      <c r="J2" s="45">
        <f ca="1" t="shared" si="2" ref="J2:J48">INDIRECT(System&amp;"Glob!"&amp;Ycol&amp;FIXED(Line,0))</f>
        <v>0</v>
      </c>
      <c r="K2" s="45">
        <f ca="1" t="shared" si="3" ref="K2:K48">INDIRECT(System&amp;"Glob!"&amp;Zcol&amp;FIXED(Line,0))</f>
        <v>-3050</v>
      </c>
      <c r="L2" s="45">
        <f ca="1" t="shared" si="4" ref="L2:L48">INDIRECT(System&amp;"Glob!"&amp;aCol&amp;FIXED(Line,0))</f>
        <v>0</v>
      </c>
      <c r="M2" s="45">
        <f ca="1" t="shared" si="5" ref="M2:M48">INDIRECT(System&amp;"Glob!"&amp;bCol&amp;FIXED(Line,0))</f>
        <v>0</v>
      </c>
      <c r="N2" s="45">
        <f ca="1" t="shared" si="6" ref="N2:N48">INDIRECT(System&amp;"Glob!"&amp;cCol&amp;FIXED(Line,0))</f>
        <v>0</v>
      </c>
      <c r="O2" s="30">
        <f>-SIN(bEuler*PI()/180)</f>
        <v>0</v>
      </c>
      <c r="P2" s="30">
        <f>SIN(aEuler*PI()/180)*COS(bEuler*PI()/180)</f>
        <v>0</v>
      </c>
      <c r="Q2" s="30">
        <f>COS(aEuler*PI()/180)*COS(bEuler*PI()/180)</f>
        <v>1</v>
      </c>
      <c r="R2" s="30">
        <f>(COS(bEuler*PI()/180)*SIN(-cEuler*PI()/180))</f>
        <v>0</v>
      </c>
      <c r="S2" s="30">
        <f>(SIN(aEuler*PI()/180)*SIN(bEuler*PI()/180)*SIN(-cEuler*PI()/180)+COS(aEuler*PI()/180)*COS(-cEuler*PI()/180))</f>
        <v>1</v>
      </c>
      <c r="T2" s="30">
        <f>(COS(aEuler*PI()/180)*SIN(bEuler*PI()/180)*SIN(-cEuler*PI()/180)-SIN(aEuler*PI()/180)*COS(-cEuler*PI()/180))</f>
        <v>0</v>
      </c>
      <c r="U2" s="30">
        <f>COS(bEuler*PI()/180)*COS(-cEuler*PI()/180)</f>
        <v>1</v>
      </c>
      <c r="V2" s="30">
        <f>(SIN(aEuler*PI()/180)*SIN(bEuler*PI()/180)*COS(-cEuler*PI()/180)-COS(aEuler*PI()/180)*SIN(-cEuler*PI()/180))</f>
        <v>0</v>
      </c>
      <c r="W2" s="30">
        <f>(COS(aEuler*PI()/180)*SIN(bEuler*PI()/180)*COS(-cEuler*PI()/180)+SIN(aEuler*PI()/180)*SIN(-cEuler*PI()/180))</f>
        <v>0</v>
      </c>
      <c r="X2" s="30">
        <f>xTang*xNorm+yTang*yNorm+zTang*zNorm</f>
        <v>0</v>
      </c>
      <c r="Y2" s="31">
        <f>ACOS(X2)*180/PI()</f>
        <v>90</v>
      </c>
      <c r="Z2" s="30">
        <f>xSag*xNorm+ySag*yNorm+zSag*zNorm</f>
        <v>0</v>
      </c>
      <c r="AA2" s="31">
        <f>ACOS(Z2)*180/PI()</f>
        <v>90</v>
      </c>
      <c r="AB2" s="30">
        <f>xSag*xTang+ySag*yTang+zSag*zTang</f>
        <v>0</v>
      </c>
      <c r="AC2" s="31">
        <f aca="true" t="shared" si="7" ref="AC2:AC48">ACOS(AB2)*180/PI()</f>
        <v>90</v>
      </c>
    </row>
    <row r="3" spans="3:29" ht="12.75">
      <c r="C3" s="10" t="s">
        <v>120</v>
      </c>
      <c r="D3" s="11" t="s">
        <v>92</v>
      </c>
      <c r="E3" s="11" t="s">
        <v>527</v>
      </c>
      <c r="F3" s="11"/>
      <c r="G3" s="12">
        <v>6</v>
      </c>
      <c r="H3" s="12">
        <f ca="1" t="shared" si="0"/>
        <v>247</v>
      </c>
      <c r="I3" s="48">
        <f ca="1" t="shared" si="1"/>
        <v>0</v>
      </c>
      <c r="J3" s="48">
        <f ca="1" t="shared" si="2"/>
        <v>0</v>
      </c>
      <c r="K3" s="48">
        <f ca="1" t="shared" si="3"/>
        <v>-1050</v>
      </c>
      <c r="L3" s="48">
        <f ca="1" t="shared" si="4"/>
        <v>0</v>
      </c>
      <c r="M3" s="48">
        <f ca="1" t="shared" si="5"/>
        <v>0</v>
      </c>
      <c r="N3" s="49">
        <f ca="1" t="shared" si="6"/>
        <v>0</v>
      </c>
      <c r="O3" s="30">
        <f aca="true" t="shared" si="8" ref="O3:O22">-SIN(bEuler*PI()/180)</f>
        <v>0</v>
      </c>
      <c r="P3" s="30">
        <f aca="true" t="shared" si="9" ref="P3:P22">SIN(aEuler*PI()/180)*COS(bEuler*PI()/180)</f>
        <v>0</v>
      </c>
      <c r="Q3" s="30">
        <f aca="true" t="shared" si="10" ref="Q3:Q22">COS(aEuler*PI()/180)*COS(bEuler*PI()/180)</f>
        <v>1</v>
      </c>
      <c r="R3" s="30">
        <f aca="true" t="shared" si="11" ref="R3:R22">(COS(bEuler*PI()/180)*SIN(-cEuler*PI()/180))</f>
        <v>0</v>
      </c>
      <c r="S3" s="30">
        <f aca="true" t="shared" si="12" ref="S3:S22">(SIN(aEuler*PI()/180)*SIN(bEuler*PI()/180)*SIN(-cEuler*PI()/180)+COS(aEuler*PI()/180)*COS(-cEuler*PI()/180))</f>
        <v>1</v>
      </c>
      <c r="T3" s="30">
        <f aca="true" t="shared" si="13" ref="T3:T22">(COS(aEuler*PI()/180)*SIN(bEuler*PI()/180)*SIN(-cEuler*PI()/180)-SIN(aEuler*PI()/180)*COS(-cEuler*PI()/180))</f>
        <v>0</v>
      </c>
      <c r="U3" s="30">
        <f aca="true" t="shared" si="14" ref="U3:U22">COS(bEuler*PI()/180)*COS(-cEuler*PI()/180)</f>
        <v>1</v>
      </c>
      <c r="V3" s="30">
        <f aca="true" t="shared" si="15" ref="V3:V22">(SIN(aEuler*PI()/180)*SIN(bEuler*PI()/180)*COS(-cEuler*PI()/180)-COS(aEuler*PI()/180)*SIN(-cEuler*PI()/180))</f>
        <v>0</v>
      </c>
      <c r="W3" s="30">
        <f aca="true" t="shared" si="16" ref="W3:W22">(COS(aEuler*PI()/180)*SIN(bEuler*PI()/180)*COS(-cEuler*PI()/180)+SIN(aEuler*PI()/180)*SIN(-cEuler*PI()/180))</f>
        <v>0</v>
      </c>
      <c r="X3" s="30">
        <f aca="true" t="shared" si="17" ref="X3:X22">xTang*xNorm+yTang*yNorm+zTang*zNorm</f>
        <v>0</v>
      </c>
      <c r="Y3" s="31">
        <f aca="true" t="shared" si="18" ref="Y3:Y48">ACOS(X3)*180/PI()</f>
        <v>90</v>
      </c>
      <c r="Z3" s="30">
        <f aca="true" t="shared" si="19" ref="Z3:Z22">xSag*xNorm+ySag*yNorm+zSag*zNorm</f>
        <v>0</v>
      </c>
      <c r="AA3" s="31">
        <f aca="true" t="shared" si="20" ref="AA3:AA48">ACOS(Z3)*180/PI()</f>
        <v>90</v>
      </c>
      <c r="AB3" s="30">
        <f aca="true" t="shared" si="21" ref="AB3:AB22">xSag*xTang+ySag*yTang+zSag*zTang</f>
        <v>0</v>
      </c>
      <c r="AC3" s="31">
        <f t="shared" si="7"/>
        <v>90</v>
      </c>
    </row>
    <row r="4" spans="1:29" ht="13.5" thickBot="1">
      <c r="A4" s="28" t="s">
        <v>532</v>
      </c>
      <c r="B4" s="28">
        <v>241</v>
      </c>
      <c r="C4" s="14"/>
      <c r="D4" s="15" t="s">
        <v>93</v>
      </c>
      <c r="E4" s="15" t="s">
        <v>527</v>
      </c>
      <c r="F4" s="15"/>
      <c r="G4" s="16">
        <v>7</v>
      </c>
      <c r="H4" s="16">
        <f ca="1" t="shared" si="0"/>
        <v>248</v>
      </c>
      <c r="I4" s="51">
        <f ca="1" t="shared" si="1"/>
        <v>0</v>
      </c>
      <c r="J4" s="51">
        <f ca="1" t="shared" si="2"/>
        <v>0</v>
      </c>
      <c r="K4" s="51">
        <f ca="1" t="shared" si="3"/>
        <v>-2637.998</v>
      </c>
      <c r="L4" s="51">
        <f ca="1" t="shared" si="4"/>
        <v>0</v>
      </c>
      <c r="M4" s="51">
        <f ca="1" t="shared" si="5"/>
        <v>0</v>
      </c>
      <c r="N4" s="52">
        <f ca="1" t="shared" si="6"/>
        <v>0</v>
      </c>
      <c r="O4" s="30">
        <f t="shared" si="8"/>
        <v>0</v>
      </c>
      <c r="P4" s="30">
        <f t="shared" si="9"/>
        <v>0</v>
      </c>
      <c r="Q4" s="30">
        <f t="shared" si="10"/>
        <v>1</v>
      </c>
      <c r="R4" s="30">
        <f t="shared" si="11"/>
        <v>0</v>
      </c>
      <c r="S4" s="30">
        <f t="shared" si="12"/>
        <v>1</v>
      </c>
      <c r="T4" s="30">
        <f t="shared" si="13"/>
        <v>0</v>
      </c>
      <c r="U4" s="30">
        <f t="shared" si="14"/>
        <v>1</v>
      </c>
      <c r="V4" s="30">
        <f t="shared" si="15"/>
        <v>0</v>
      </c>
      <c r="W4" s="30">
        <f t="shared" si="16"/>
        <v>0</v>
      </c>
      <c r="X4" s="30">
        <f t="shared" si="17"/>
        <v>0</v>
      </c>
      <c r="Y4" s="31">
        <f t="shared" si="18"/>
        <v>90</v>
      </c>
      <c r="Z4" s="30">
        <f t="shared" si="19"/>
        <v>0</v>
      </c>
      <c r="AA4" s="31">
        <f t="shared" si="20"/>
        <v>90</v>
      </c>
      <c r="AB4" s="30">
        <f t="shared" si="21"/>
        <v>0</v>
      </c>
      <c r="AC4" s="31">
        <f t="shared" si="7"/>
        <v>90</v>
      </c>
    </row>
    <row r="5" spans="1:29" ht="12.75">
      <c r="A5" s="19" t="s">
        <v>533</v>
      </c>
      <c r="B5" s="28">
        <v>243</v>
      </c>
      <c r="C5" s="10" t="s">
        <v>121</v>
      </c>
      <c r="D5" s="11" t="s">
        <v>94</v>
      </c>
      <c r="E5" s="11" t="s">
        <v>527</v>
      </c>
      <c r="F5" s="11" t="s">
        <v>157</v>
      </c>
      <c r="G5" s="12">
        <v>9</v>
      </c>
      <c r="H5" s="12">
        <f ca="1" t="shared" si="0"/>
        <v>250</v>
      </c>
      <c r="I5" s="48">
        <f ca="1" t="shared" si="1"/>
        <v>0</v>
      </c>
      <c r="J5" s="48">
        <f ca="1" t="shared" si="2"/>
        <v>0</v>
      </c>
      <c r="K5" s="48">
        <f ca="1" t="shared" si="3"/>
        <v>0</v>
      </c>
      <c r="L5" s="48">
        <f ca="1" t="shared" si="4"/>
        <v>0</v>
      </c>
      <c r="M5" s="48">
        <f ca="1" t="shared" si="5"/>
        <v>0</v>
      </c>
      <c r="N5" s="49">
        <f ca="1" t="shared" si="6"/>
        <v>0</v>
      </c>
      <c r="O5" s="30">
        <f t="shared" si="8"/>
        <v>0</v>
      </c>
      <c r="P5" s="30">
        <f t="shared" si="9"/>
        <v>0</v>
      </c>
      <c r="Q5" s="30">
        <f t="shared" si="10"/>
        <v>1</v>
      </c>
      <c r="R5" s="30">
        <f t="shared" si="11"/>
        <v>0</v>
      </c>
      <c r="S5" s="30">
        <f t="shared" si="12"/>
        <v>1</v>
      </c>
      <c r="T5" s="30">
        <f t="shared" si="13"/>
        <v>0</v>
      </c>
      <c r="U5" s="30">
        <f t="shared" si="14"/>
        <v>1</v>
      </c>
      <c r="V5" s="30">
        <f t="shared" si="15"/>
        <v>0</v>
      </c>
      <c r="W5" s="30">
        <f t="shared" si="16"/>
        <v>0</v>
      </c>
      <c r="X5" s="30">
        <f t="shared" si="17"/>
        <v>0</v>
      </c>
      <c r="Y5" s="31">
        <f t="shared" si="18"/>
        <v>90</v>
      </c>
      <c r="Z5" s="30">
        <f t="shared" si="19"/>
        <v>0</v>
      </c>
      <c r="AA5" s="31">
        <f t="shared" si="20"/>
        <v>90</v>
      </c>
      <c r="AB5" s="30">
        <f t="shared" si="21"/>
        <v>0</v>
      </c>
      <c r="AC5" s="31">
        <f t="shared" si="7"/>
        <v>90</v>
      </c>
    </row>
    <row r="6" spans="1:29" ht="12.75">
      <c r="A6" s="19" t="s">
        <v>534</v>
      </c>
      <c r="B6" s="28">
        <v>238</v>
      </c>
      <c r="C6" s="18"/>
      <c r="D6" s="19" t="s">
        <v>95</v>
      </c>
      <c r="E6" s="19" t="s">
        <v>527</v>
      </c>
      <c r="F6" s="19"/>
      <c r="G6" s="20">
        <v>11</v>
      </c>
      <c r="H6" s="20">
        <f ca="1" t="shared" si="0"/>
        <v>252</v>
      </c>
      <c r="I6" s="45">
        <f ca="1" t="shared" si="1"/>
        <v>0</v>
      </c>
      <c r="J6" s="45">
        <f ca="1" t="shared" si="2"/>
        <v>-243.065859</v>
      </c>
      <c r="K6" s="45">
        <f ca="1" t="shared" si="3"/>
        <v>78.379337</v>
      </c>
      <c r="L6" s="45">
        <f ca="1" t="shared" si="4"/>
        <v>-8.6832</v>
      </c>
      <c r="M6" s="45">
        <f ca="1" t="shared" si="5"/>
        <v>0</v>
      </c>
      <c r="N6" s="46">
        <f ca="1" t="shared" si="6"/>
        <v>0</v>
      </c>
      <c r="O6" s="30">
        <f t="shared" si="8"/>
        <v>0</v>
      </c>
      <c r="P6" s="30">
        <f t="shared" si="9"/>
        <v>-0.15097097220329236</v>
      </c>
      <c r="Q6" s="30">
        <f t="shared" si="10"/>
        <v>0.9885381963040137</v>
      </c>
      <c r="R6" s="30">
        <f t="shared" si="11"/>
        <v>0</v>
      </c>
      <c r="S6" s="30">
        <f t="shared" si="12"/>
        <v>0.9885381963040137</v>
      </c>
      <c r="T6" s="30">
        <f t="shared" si="13"/>
        <v>0.15097097220329236</v>
      </c>
      <c r="U6" s="30">
        <f t="shared" si="14"/>
        <v>1</v>
      </c>
      <c r="V6" s="30">
        <f t="shared" si="15"/>
        <v>0</v>
      </c>
      <c r="W6" s="30">
        <f t="shared" si="16"/>
        <v>0</v>
      </c>
      <c r="X6" s="30">
        <f t="shared" si="17"/>
        <v>0</v>
      </c>
      <c r="Y6" s="31">
        <f t="shared" si="18"/>
        <v>90</v>
      </c>
      <c r="Z6" s="30">
        <f t="shared" si="19"/>
        <v>0</v>
      </c>
      <c r="AA6" s="31">
        <f t="shared" si="20"/>
        <v>90</v>
      </c>
      <c r="AB6" s="30">
        <f t="shared" si="21"/>
        <v>0</v>
      </c>
      <c r="AC6" s="31">
        <f t="shared" si="7"/>
        <v>90</v>
      </c>
    </row>
    <row r="7" spans="3:29" ht="12.75">
      <c r="C7" s="18"/>
      <c r="D7" s="19" t="s">
        <v>97</v>
      </c>
      <c r="E7" s="19" t="s">
        <v>527</v>
      </c>
      <c r="F7" s="19"/>
      <c r="G7" s="20">
        <v>14</v>
      </c>
      <c r="H7" s="20">
        <f ca="1" t="shared" si="0"/>
        <v>255</v>
      </c>
      <c r="I7" s="45">
        <f ca="1" t="shared" si="1"/>
        <v>0</v>
      </c>
      <c r="J7" s="45">
        <f ca="1" t="shared" si="2"/>
        <v>-200.09302</v>
      </c>
      <c r="K7" s="45">
        <f ca="1" t="shared" si="3"/>
        <v>-114.125371</v>
      </c>
      <c r="L7" s="45">
        <f ca="1" t="shared" si="4"/>
        <v>17.9434</v>
      </c>
      <c r="M7" s="45">
        <f ca="1" t="shared" si="5"/>
        <v>0</v>
      </c>
      <c r="N7" s="46">
        <f ca="1" t="shared" si="6"/>
        <v>0</v>
      </c>
      <c r="O7" s="30">
        <f t="shared" si="8"/>
        <v>0</v>
      </c>
      <c r="P7" s="30">
        <f t="shared" si="9"/>
        <v>0.3080773365239388</v>
      </c>
      <c r="Q7" s="30">
        <f t="shared" si="10"/>
        <v>0.9513613165986495</v>
      </c>
      <c r="R7" s="30">
        <f t="shared" si="11"/>
        <v>0</v>
      </c>
      <c r="S7" s="30">
        <f t="shared" si="12"/>
        <v>0.9513613165986495</v>
      </c>
      <c r="T7" s="30">
        <f t="shared" si="13"/>
        <v>-0.3080773365239388</v>
      </c>
      <c r="U7" s="30">
        <f t="shared" si="14"/>
        <v>1</v>
      </c>
      <c r="V7" s="30">
        <f t="shared" si="15"/>
        <v>0</v>
      </c>
      <c r="W7" s="30">
        <f t="shared" si="16"/>
        <v>0</v>
      </c>
      <c r="X7" s="30">
        <f t="shared" si="17"/>
        <v>0</v>
      </c>
      <c r="Y7" s="31">
        <f t="shared" si="18"/>
        <v>90</v>
      </c>
      <c r="Z7" s="30">
        <f t="shared" si="19"/>
        <v>0</v>
      </c>
      <c r="AA7" s="31">
        <f t="shared" si="20"/>
        <v>90</v>
      </c>
      <c r="AB7" s="30">
        <f t="shared" si="21"/>
        <v>0</v>
      </c>
      <c r="AC7" s="31">
        <f t="shared" si="7"/>
        <v>90</v>
      </c>
    </row>
    <row r="8" spans="1:29" ht="13.5" thickBot="1">
      <c r="A8" s="28"/>
      <c r="B8" s="28"/>
      <c r="C8" s="14"/>
      <c r="D8" s="15" t="s">
        <v>98</v>
      </c>
      <c r="E8" s="15" t="s">
        <v>527</v>
      </c>
      <c r="F8" s="15"/>
      <c r="G8" s="16">
        <v>17</v>
      </c>
      <c r="H8" s="16">
        <f ca="1" t="shared" si="0"/>
        <v>258</v>
      </c>
      <c r="I8" s="51">
        <f ca="1" t="shared" si="1"/>
        <v>0</v>
      </c>
      <c r="J8" s="51">
        <f ca="1" t="shared" si="2"/>
        <v>-179.687314</v>
      </c>
      <c r="K8" s="51">
        <f ca="1" t="shared" si="3"/>
        <v>82.217104</v>
      </c>
      <c r="L8" s="51">
        <f ca="1" t="shared" si="4"/>
        <v>15.1454</v>
      </c>
      <c r="M8" s="51">
        <f ca="1" t="shared" si="5"/>
        <v>0</v>
      </c>
      <c r="N8" s="52">
        <f ca="1" t="shared" si="6"/>
        <v>0</v>
      </c>
      <c r="O8" s="30">
        <f t="shared" si="8"/>
        <v>0</v>
      </c>
      <c r="P8" s="30">
        <f t="shared" si="9"/>
        <v>0.26126944748333636</v>
      </c>
      <c r="Q8" s="30">
        <f t="shared" si="10"/>
        <v>0.9652659093802869</v>
      </c>
      <c r="R8" s="30">
        <f t="shared" si="11"/>
        <v>0</v>
      </c>
      <c r="S8" s="30">
        <f t="shared" si="12"/>
        <v>0.9652659093802869</v>
      </c>
      <c r="T8" s="30">
        <f t="shared" si="13"/>
        <v>-0.26126944748333636</v>
      </c>
      <c r="U8" s="30">
        <f t="shared" si="14"/>
        <v>1</v>
      </c>
      <c r="V8" s="30">
        <f t="shared" si="15"/>
        <v>0</v>
      </c>
      <c r="W8" s="30">
        <f t="shared" si="16"/>
        <v>0</v>
      </c>
      <c r="X8" s="30">
        <f t="shared" si="17"/>
        <v>0</v>
      </c>
      <c r="Y8" s="31">
        <f t="shared" si="18"/>
        <v>90</v>
      </c>
      <c r="Z8" s="30">
        <f t="shared" si="19"/>
        <v>0</v>
      </c>
      <c r="AA8" s="31">
        <f t="shared" si="20"/>
        <v>90</v>
      </c>
      <c r="AB8" s="30">
        <f t="shared" si="21"/>
        <v>0</v>
      </c>
      <c r="AC8" s="31">
        <f t="shared" si="7"/>
        <v>90</v>
      </c>
    </row>
    <row r="9" spans="1:29" ht="12.75">
      <c r="A9" s="28" t="s">
        <v>99</v>
      </c>
      <c r="B9" s="28" t="s">
        <v>100</v>
      </c>
      <c r="C9" s="10" t="s">
        <v>122</v>
      </c>
      <c r="D9" s="11" t="s">
        <v>101</v>
      </c>
      <c r="E9" s="11" t="s">
        <v>527</v>
      </c>
      <c r="F9" s="11"/>
      <c r="G9" s="12">
        <v>20</v>
      </c>
      <c r="H9" s="12">
        <f ca="1" t="shared" si="0"/>
        <v>261</v>
      </c>
      <c r="I9" s="48">
        <f ca="1" t="shared" si="1"/>
        <v>0</v>
      </c>
      <c r="J9" s="48">
        <f ca="1" t="shared" si="2"/>
        <v>-259.533222</v>
      </c>
      <c r="K9" s="48">
        <f ca="1" t="shared" si="3"/>
        <v>-94.150668</v>
      </c>
      <c r="L9" s="48">
        <f ca="1" t="shared" si="4"/>
        <v>9.3574</v>
      </c>
      <c r="M9" s="48">
        <f ca="1" t="shared" si="5"/>
        <v>0</v>
      </c>
      <c r="N9" s="49">
        <f ca="1" t="shared" si="6"/>
        <v>0</v>
      </c>
      <c r="O9" s="30">
        <f t="shared" si="8"/>
        <v>0</v>
      </c>
      <c r="P9" s="30">
        <f t="shared" si="9"/>
        <v>0.16259239063958172</v>
      </c>
      <c r="Q9" s="30">
        <f t="shared" si="10"/>
        <v>0.9866933234324157</v>
      </c>
      <c r="R9" s="30">
        <f t="shared" si="11"/>
        <v>0</v>
      </c>
      <c r="S9" s="30">
        <f t="shared" si="12"/>
        <v>0.9866933234324157</v>
      </c>
      <c r="T9" s="30">
        <f t="shared" si="13"/>
        <v>-0.16259239063958172</v>
      </c>
      <c r="U9" s="30">
        <f t="shared" si="14"/>
        <v>1</v>
      </c>
      <c r="V9" s="30">
        <f t="shared" si="15"/>
        <v>0</v>
      </c>
      <c r="W9" s="30">
        <f t="shared" si="16"/>
        <v>0</v>
      </c>
      <c r="X9" s="30">
        <f t="shared" si="17"/>
        <v>0</v>
      </c>
      <c r="Y9" s="31">
        <f t="shared" si="18"/>
        <v>90</v>
      </c>
      <c r="Z9" s="30">
        <f t="shared" si="19"/>
        <v>0</v>
      </c>
      <c r="AA9" s="31">
        <f t="shared" si="20"/>
        <v>90</v>
      </c>
      <c r="AB9" s="30">
        <f t="shared" si="21"/>
        <v>0</v>
      </c>
      <c r="AC9" s="31">
        <f t="shared" si="7"/>
        <v>90</v>
      </c>
    </row>
    <row r="10" spans="1:29" ht="12.75">
      <c r="A10" s="28" t="s">
        <v>102</v>
      </c>
      <c r="B10" s="28" t="s">
        <v>103</v>
      </c>
      <c r="C10" s="18"/>
      <c r="D10" s="19" t="s">
        <v>104</v>
      </c>
      <c r="E10" s="19" t="s">
        <v>527</v>
      </c>
      <c r="F10" s="19"/>
      <c r="G10" s="20">
        <v>22</v>
      </c>
      <c r="H10" s="20">
        <f ca="1" t="shared" si="0"/>
        <v>263</v>
      </c>
      <c r="I10" s="45">
        <f ca="1" t="shared" si="1"/>
        <v>0</v>
      </c>
      <c r="J10" s="45">
        <f ca="1" t="shared" si="2"/>
        <v>-279.482925</v>
      </c>
      <c r="K10" s="45">
        <f ca="1" t="shared" si="3"/>
        <v>107.766194</v>
      </c>
      <c r="L10" s="45">
        <f ca="1" t="shared" si="4"/>
        <v>16.6474</v>
      </c>
      <c r="M10" s="45">
        <f ca="1" t="shared" si="5"/>
        <v>0</v>
      </c>
      <c r="N10" s="46">
        <f ca="1" t="shared" si="6"/>
        <v>0</v>
      </c>
      <c r="O10" s="30">
        <f t="shared" si="8"/>
        <v>0</v>
      </c>
      <c r="P10" s="30">
        <f t="shared" si="9"/>
        <v>0.2864810764637242</v>
      </c>
      <c r="Q10" s="30">
        <f t="shared" si="10"/>
        <v>0.9580859005476418</v>
      </c>
      <c r="R10" s="30">
        <f t="shared" si="11"/>
        <v>0</v>
      </c>
      <c r="S10" s="30">
        <f t="shared" si="12"/>
        <v>0.9580859005476418</v>
      </c>
      <c r="T10" s="30">
        <f t="shared" si="13"/>
        <v>-0.2864810764637242</v>
      </c>
      <c r="U10" s="30">
        <f t="shared" si="14"/>
        <v>1</v>
      </c>
      <c r="V10" s="30">
        <f t="shared" si="15"/>
        <v>0</v>
      </c>
      <c r="W10" s="30">
        <f t="shared" si="16"/>
        <v>0</v>
      </c>
      <c r="X10" s="30">
        <f t="shared" si="17"/>
        <v>0</v>
      </c>
      <c r="Y10" s="31">
        <f t="shared" si="18"/>
        <v>90</v>
      </c>
      <c r="Z10" s="30">
        <f t="shared" si="19"/>
        <v>0</v>
      </c>
      <c r="AA10" s="31">
        <f t="shared" si="20"/>
        <v>90</v>
      </c>
      <c r="AB10" s="30">
        <f t="shared" si="21"/>
        <v>0</v>
      </c>
      <c r="AC10" s="31">
        <f t="shared" si="7"/>
        <v>90</v>
      </c>
    </row>
    <row r="11" spans="1:29" ht="12.75">
      <c r="A11" s="28" t="s">
        <v>105</v>
      </c>
      <c r="B11" s="28" t="s">
        <v>106</v>
      </c>
      <c r="C11" s="18"/>
      <c r="D11" s="19" t="s">
        <v>107</v>
      </c>
      <c r="E11" s="19" t="s">
        <v>527</v>
      </c>
      <c r="F11" s="19"/>
      <c r="G11" s="20">
        <v>24</v>
      </c>
      <c r="H11" s="20">
        <f ca="1" t="shared" si="0"/>
        <v>265</v>
      </c>
      <c r="I11" s="45">
        <f ca="1" t="shared" si="1"/>
        <v>0</v>
      </c>
      <c r="J11" s="45">
        <f ca="1" t="shared" si="2"/>
        <v>-397.635459</v>
      </c>
      <c r="K11" s="45">
        <f ca="1" t="shared" si="3"/>
        <v>-38.466424</v>
      </c>
      <c r="L11" s="45">
        <f ca="1" t="shared" si="4"/>
        <v>-4.1106</v>
      </c>
      <c r="M11" s="45">
        <f ca="1" t="shared" si="5"/>
        <v>0</v>
      </c>
      <c r="N11" s="46">
        <f ca="1" t="shared" si="6"/>
        <v>0</v>
      </c>
      <c r="O11" s="30">
        <f t="shared" si="8"/>
        <v>0</v>
      </c>
      <c r="P11" s="30">
        <f t="shared" si="9"/>
        <v>-0.07168197454108007</v>
      </c>
      <c r="Q11" s="30">
        <f t="shared" si="10"/>
        <v>0.9974275384838198</v>
      </c>
      <c r="R11" s="30">
        <f t="shared" si="11"/>
        <v>0</v>
      </c>
      <c r="S11" s="30">
        <f t="shared" si="12"/>
        <v>0.9974275384838198</v>
      </c>
      <c r="T11" s="30">
        <f t="shared" si="13"/>
        <v>0.07168197454108007</v>
      </c>
      <c r="U11" s="30">
        <f t="shared" si="14"/>
        <v>1</v>
      </c>
      <c r="V11" s="30">
        <f t="shared" si="15"/>
        <v>0</v>
      </c>
      <c r="W11" s="30">
        <f t="shared" si="16"/>
        <v>0</v>
      </c>
      <c r="X11" s="30">
        <f t="shared" si="17"/>
        <v>0</v>
      </c>
      <c r="Y11" s="31">
        <f t="shared" si="18"/>
        <v>90</v>
      </c>
      <c r="Z11" s="30">
        <f t="shared" si="19"/>
        <v>0</v>
      </c>
      <c r="AA11" s="31">
        <f t="shared" si="20"/>
        <v>90</v>
      </c>
      <c r="AB11" s="30">
        <f t="shared" si="21"/>
        <v>0</v>
      </c>
      <c r="AC11" s="31">
        <f t="shared" si="7"/>
        <v>90</v>
      </c>
    </row>
    <row r="12" spans="1:29" ht="12.75">
      <c r="A12" s="28" t="s">
        <v>368</v>
      </c>
      <c r="B12" s="28" t="s">
        <v>371</v>
      </c>
      <c r="C12" s="18"/>
      <c r="D12" s="19" t="s">
        <v>108</v>
      </c>
      <c r="E12" s="19" t="s">
        <v>527</v>
      </c>
      <c r="F12" s="19" t="s">
        <v>157</v>
      </c>
      <c r="G12" s="20">
        <v>26</v>
      </c>
      <c r="H12" s="20">
        <f ca="1" t="shared" si="0"/>
        <v>267</v>
      </c>
      <c r="I12" s="45">
        <f ca="1" t="shared" si="1"/>
        <v>0</v>
      </c>
      <c r="J12" s="45">
        <f ca="1" t="shared" si="2"/>
        <v>-448.96217</v>
      </c>
      <c r="K12" s="45">
        <f ca="1" t="shared" si="3"/>
        <v>9.131566</v>
      </c>
      <c r="L12" s="45">
        <f ca="1" t="shared" si="4"/>
        <v>-47.1586</v>
      </c>
      <c r="M12" s="45">
        <f ca="1" t="shared" si="5"/>
        <v>0</v>
      </c>
      <c r="N12" s="46">
        <f ca="1" t="shared" si="6"/>
        <v>0</v>
      </c>
      <c r="O12" s="30">
        <f t="shared" si="8"/>
        <v>0</v>
      </c>
      <c r="P12" s="30">
        <f t="shared" si="9"/>
        <v>-0.7332387316083603</v>
      </c>
      <c r="Q12" s="30">
        <f t="shared" si="10"/>
        <v>0.6799712953275036</v>
      </c>
      <c r="R12" s="30">
        <f t="shared" si="11"/>
        <v>0</v>
      </c>
      <c r="S12" s="30">
        <f t="shared" si="12"/>
        <v>0.6799712953275036</v>
      </c>
      <c r="T12" s="30">
        <f t="shared" si="13"/>
        <v>0.7332387316083603</v>
      </c>
      <c r="U12" s="30">
        <f t="shared" si="14"/>
        <v>1</v>
      </c>
      <c r="V12" s="30">
        <f t="shared" si="15"/>
        <v>0</v>
      </c>
      <c r="W12" s="30">
        <f t="shared" si="16"/>
        <v>0</v>
      </c>
      <c r="X12" s="30">
        <f t="shared" si="17"/>
        <v>0</v>
      </c>
      <c r="Y12" s="31">
        <f t="shared" si="18"/>
        <v>90</v>
      </c>
      <c r="Z12" s="30">
        <f t="shared" si="19"/>
        <v>0</v>
      </c>
      <c r="AA12" s="31">
        <f t="shared" si="20"/>
        <v>90</v>
      </c>
      <c r="AB12" s="30">
        <f t="shared" si="21"/>
        <v>0</v>
      </c>
      <c r="AC12" s="31">
        <f t="shared" si="7"/>
        <v>90</v>
      </c>
    </row>
    <row r="13" spans="1:29" ht="13.5" thickBot="1">
      <c r="A13" s="28" t="s">
        <v>369</v>
      </c>
      <c r="B13" s="28" t="s">
        <v>372</v>
      </c>
      <c r="C13" s="14"/>
      <c r="D13" s="15" t="s">
        <v>109</v>
      </c>
      <c r="E13" s="15" t="s">
        <v>527</v>
      </c>
      <c r="F13" s="15"/>
      <c r="G13" s="16">
        <v>27</v>
      </c>
      <c r="H13" s="16">
        <f ca="1" t="shared" si="0"/>
        <v>268</v>
      </c>
      <c r="I13" s="51">
        <f ca="1" t="shared" si="1"/>
        <v>0</v>
      </c>
      <c r="J13" s="51">
        <f ca="1" t="shared" si="2"/>
        <v>-544.283205</v>
      </c>
      <c r="K13" s="51">
        <f ca="1" t="shared" si="3"/>
        <v>97.527835</v>
      </c>
      <c r="L13" s="51">
        <f ca="1" t="shared" si="4"/>
        <v>-27.1586</v>
      </c>
      <c r="M13" s="51">
        <f ca="1" t="shared" si="5"/>
        <v>0</v>
      </c>
      <c r="N13" s="52">
        <f ca="1" t="shared" si="6"/>
        <v>0</v>
      </c>
      <c r="O13" s="30">
        <f t="shared" si="8"/>
        <v>0</v>
      </c>
      <c r="P13" s="30">
        <f t="shared" si="9"/>
        <v>-0.4564551454815419</v>
      </c>
      <c r="Q13" s="30">
        <f t="shared" si="10"/>
        <v>0.8897464246421136</v>
      </c>
      <c r="R13" s="30">
        <f t="shared" si="11"/>
        <v>0</v>
      </c>
      <c r="S13" s="30">
        <f t="shared" si="12"/>
        <v>0.8897464246421136</v>
      </c>
      <c r="T13" s="30">
        <f t="shared" si="13"/>
        <v>0.4564551454815419</v>
      </c>
      <c r="U13" s="30">
        <f t="shared" si="14"/>
        <v>1</v>
      </c>
      <c r="V13" s="30">
        <f t="shared" si="15"/>
        <v>0</v>
      </c>
      <c r="W13" s="30">
        <f t="shared" si="16"/>
        <v>0</v>
      </c>
      <c r="X13" s="30">
        <f t="shared" si="17"/>
        <v>0</v>
      </c>
      <c r="Y13" s="31">
        <f t="shared" si="18"/>
        <v>90</v>
      </c>
      <c r="Z13" s="30">
        <f t="shared" si="19"/>
        <v>0</v>
      </c>
      <c r="AA13" s="31">
        <f t="shared" si="20"/>
        <v>90</v>
      </c>
      <c r="AB13" s="30">
        <f t="shared" si="21"/>
        <v>0</v>
      </c>
      <c r="AC13" s="31">
        <f t="shared" si="7"/>
        <v>90</v>
      </c>
    </row>
    <row r="14" spans="1:29" ht="12.75">
      <c r="A14" s="28" t="s">
        <v>370</v>
      </c>
      <c r="B14" s="28" t="s">
        <v>373</v>
      </c>
      <c r="C14" s="10" t="s">
        <v>123</v>
      </c>
      <c r="D14" s="11" t="s">
        <v>111</v>
      </c>
      <c r="E14" s="11" t="s">
        <v>527</v>
      </c>
      <c r="F14" s="11"/>
      <c r="G14" s="12">
        <v>31</v>
      </c>
      <c r="H14" s="12">
        <f ca="1" t="shared" si="0"/>
        <v>272</v>
      </c>
      <c r="I14" s="48">
        <f ca="1" t="shared" si="1"/>
        <v>0</v>
      </c>
      <c r="J14" s="48">
        <f ca="1" t="shared" si="2"/>
        <v>-527.460001</v>
      </c>
      <c r="K14" s="48">
        <f ca="1" t="shared" si="3"/>
        <v>-36.419841</v>
      </c>
      <c r="L14" s="48">
        <f ca="1" t="shared" si="4"/>
        <v>-25.1586</v>
      </c>
      <c r="M14" s="48">
        <f ca="1" t="shared" si="5"/>
        <v>0</v>
      </c>
      <c r="N14" s="49">
        <f ca="1" t="shared" si="6"/>
        <v>0</v>
      </c>
      <c r="O14" s="30">
        <f t="shared" si="8"/>
        <v>0</v>
      </c>
      <c r="P14" s="30">
        <f t="shared" si="9"/>
        <v>-0.4251253829270604</v>
      </c>
      <c r="Q14" s="30">
        <f t="shared" si="10"/>
        <v>0.9051344700049381</v>
      </c>
      <c r="R14" s="30">
        <f t="shared" si="11"/>
        <v>0</v>
      </c>
      <c r="S14" s="30">
        <f t="shared" si="12"/>
        <v>0.9051344700049381</v>
      </c>
      <c r="T14" s="30">
        <f t="shared" si="13"/>
        <v>0.4251253829270604</v>
      </c>
      <c r="U14" s="30">
        <f t="shared" si="14"/>
        <v>1</v>
      </c>
      <c r="V14" s="30">
        <f t="shared" si="15"/>
        <v>0</v>
      </c>
      <c r="W14" s="30">
        <f t="shared" si="16"/>
        <v>0</v>
      </c>
      <c r="X14" s="30">
        <f t="shared" si="17"/>
        <v>0</v>
      </c>
      <c r="Y14" s="31">
        <f t="shared" si="18"/>
        <v>90</v>
      </c>
      <c r="Z14" s="30">
        <f t="shared" si="19"/>
        <v>0</v>
      </c>
      <c r="AA14" s="31">
        <f t="shared" si="20"/>
        <v>90</v>
      </c>
      <c r="AB14" s="30">
        <f t="shared" si="21"/>
        <v>0</v>
      </c>
      <c r="AC14" s="31">
        <f t="shared" si="7"/>
        <v>90</v>
      </c>
    </row>
    <row r="15" spans="3:29" ht="12.75">
      <c r="C15" s="18"/>
      <c r="D15" s="19" t="s">
        <v>113</v>
      </c>
      <c r="E15" s="19" t="s">
        <v>527</v>
      </c>
      <c r="F15" s="19"/>
      <c r="G15" s="20">
        <v>36</v>
      </c>
      <c r="H15" s="20">
        <f ca="1" t="shared" si="0"/>
        <v>277</v>
      </c>
      <c r="I15" s="45">
        <f ca="1" t="shared" si="1"/>
        <v>1.82E-14</v>
      </c>
      <c r="J15" s="45">
        <f ca="1" t="shared" si="2"/>
        <v>-619.802728</v>
      </c>
      <c r="K15" s="45">
        <f ca="1" t="shared" si="3"/>
        <v>62.057673</v>
      </c>
      <c r="L15" s="45">
        <f ca="1" t="shared" si="4"/>
        <v>-43.1586</v>
      </c>
      <c r="M15" s="45">
        <f ca="1" t="shared" si="5"/>
        <v>-45</v>
      </c>
      <c r="N15" s="46">
        <f ca="1" t="shared" si="6"/>
        <v>0</v>
      </c>
      <c r="O15" s="30">
        <f t="shared" si="8"/>
        <v>0.7071067811865475</v>
      </c>
      <c r="P15" s="30">
        <f t="shared" si="9"/>
        <v>-0.4836753212531301</v>
      </c>
      <c r="Q15" s="30">
        <f t="shared" si="10"/>
        <v>0.5158082818360727</v>
      </c>
      <c r="R15" s="30">
        <f t="shared" si="11"/>
        <v>0</v>
      </c>
      <c r="S15" s="30">
        <f t="shared" si="12"/>
        <v>0.7294630677569378</v>
      </c>
      <c r="T15" s="30">
        <f t="shared" si="13"/>
        <v>0.6840201991013403</v>
      </c>
      <c r="U15" s="30">
        <f t="shared" si="14"/>
        <v>0.7071067811865476</v>
      </c>
      <c r="V15" s="30">
        <f t="shared" si="15"/>
        <v>0.48367532125313006</v>
      </c>
      <c r="W15" s="30">
        <f t="shared" si="16"/>
        <v>-0.5158082818360726</v>
      </c>
      <c r="X15" s="30">
        <f t="shared" si="17"/>
        <v>0</v>
      </c>
      <c r="Y15" s="31">
        <f t="shared" si="18"/>
        <v>90</v>
      </c>
      <c r="Z15" s="30">
        <f t="shared" si="19"/>
        <v>0</v>
      </c>
      <c r="AA15" s="31">
        <f t="shared" si="20"/>
        <v>90</v>
      </c>
      <c r="AB15" s="30">
        <f t="shared" si="21"/>
        <v>0</v>
      </c>
      <c r="AC15" s="31">
        <f t="shared" si="7"/>
        <v>90</v>
      </c>
    </row>
    <row r="16" spans="3:29" ht="13.5" thickBot="1">
      <c r="C16" s="14"/>
      <c r="D16" s="15" t="s">
        <v>115</v>
      </c>
      <c r="E16" s="15" t="s">
        <v>527</v>
      </c>
      <c r="F16" s="15" t="s">
        <v>158</v>
      </c>
      <c r="G16" s="16">
        <v>38</v>
      </c>
      <c r="H16" s="16">
        <f ca="1" t="shared" si="0"/>
        <v>279</v>
      </c>
      <c r="I16" s="51">
        <f ca="1" t="shared" si="1"/>
        <v>-50</v>
      </c>
      <c r="J16" s="51">
        <f ca="1" t="shared" si="2"/>
        <v>-619.802728</v>
      </c>
      <c r="K16" s="51">
        <f ca="1" t="shared" si="3"/>
        <v>62.057673</v>
      </c>
      <c r="L16" s="51">
        <f ca="1" t="shared" si="4"/>
        <v>0</v>
      </c>
      <c r="M16" s="51">
        <f ca="1" t="shared" si="5"/>
        <v>-90</v>
      </c>
      <c r="N16" s="52">
        <f ca="1" t="shared" si="6"/>
        <v>0</v>
      </c>
      <c r="O16" s="30">
        <f t="shared" si="8"/>
        <v>1</v>
      </c>
      <c r="P16" s="30">
        <f t="shared" si="9"/>
        <v>0</v>
      </c>
      <c r="Q16" s="30">
        <f t="shared" si="10"/>
        <v>6.1257422745431E-17</v>
      </c>
      <c r="R16" s="30">
        <f t="shared" si="11"/>
        <v>0</v>
      </c>
      <c r="S16" s="30">
        <f t="shared" si="12"/>
        <v>1</v>
      </c>
      <c r="T16" s="30">
        <f t="shared" si="13"/>
        <v>0</v>
      </c>
      <c r="U16" s="30">
        <f t="shared" si="14"/>
        <v>6.1257422745431E-17</v>
      </c>
      <c r="V16" s="30">
        <f t="shared" si="15"/>
        <v>0</v>
      </c>
      <c r="W16" s="30">
        <f t="shared" si="16"/>
        <v>-1</v>
      </c>
      <c r="X16" s="30">
        <f t="shared" si="17"/>
        <v>0</v>
      </c>
      <c r="Y16" s="31">
        <f t="shared" si="18"/>
        <v>90</v>
      </c>
      <c r="Z16" s="30">
        <f t="shared" si="19"/>
        <v>0</v>
      </c>
      <c r="AA16" s="31">
        <f t="shared" si="20"/>
        <v>90</v>
      </c>
      <c r="AB16" s="30">
        <f t="shared" si="21"/>
        <v>0</v>
      </c>
      <c r="AC16" s="31">
        <f t="shared" si="7"/>
        <v>90</v>
      </c>
    </row>
    <row r="17" spans="4:29" ht="13.5" thickBot="1">
      <c r="D17" s="19" t="s">
        <v>111</v>
      </c>
      <c r="E17" s="1" t="s">
        <v>527</v>
      </c>
      <c r="F17" s="1" t="s">
        <v>126</v>
      </c>
      <c r="G17" s="20">
        <v>31</v>
      </c>
      <c r="H17" s="20">
        <f ca="1" t="shared" si="0"/>
        <v>272</v>
      </c>
      <c r="I17" s="45">
        <f ca="1" t="shared" si="1"/>
        <v>0</v>
      </c>
      <c r="J17" s="45">
        <f ca="1" t="shared" si="2"/>
        <v>-527.460001</v>
      </c>
      <c r="K17" s="45">
        <f ca="1" t="shared" si="3"/>
        <v>-36.419841</v>
      </c>
      <c r="L17" s="45">
        <f ca="1" t="shared" si="4"/>
        <v>-25.1586</v>
      </c>
      <c r="M17" s="45">
        <f ca="1" t="shared" si="5"/>
        <v>0</v>
      </c>
      <c r="N17" s="45">
        <f ca="1" t="shared" si="6"/>
        <v>0</v>
      </c>
      <c r="O17" s="30">
        <f t="shared" si="8"/>
        <v>0</v>
      </c>
      <c r="P17" s="30">
        <f t="shared" si="9"/>
        <v>-0.4251253829270604</v>
      </c>
      <c r="Q17" s="30">
        <f t="shared" si="10"/>
        <v>0.9051344700049381</v>
      </c>
      <c r="R17" s="30">
        <f t="shared" si="11"/>
        <v>0</v>
      </c>
      <c r="S17" s="30">
        <f t="shared" si="12"/>
        <v>0.9051344700049381</v>
      </c>
      <c r="T17" s="30">
        <f t="shared" si="13"/>
        <v>0.4251253829270604</v>
      </c>
      <c r="U17" s="30">
        <f t="shared" si="14"/>
        <v>1</v>
      </c>
      <c r="V17" s="30">
        <f t="shared" si="15"/>
        <v>0</v>
      </c>
      <c r="W17" s="30">
        <f t="shared" si="16"/>
        <v>0</v>
      </c>
      <c r="X17" s="30">
        <f t="shared" si="17"/>
        <v>0</v>
      </c>
      <c r="Y17" s="31">
        <f t="shared" si="18"/>
        <v>90</v>
      </c>
      <c r="Z17" s="30">
        <f t="shared" si="19"/>
        <v>0</v>
      </c>
      <c r="AA17" s="31">
        <f t="shared" si="20"/>
        <v>90</v>
      </c>
      <c r="AB17" s="30">
        <f t="shared" si="21"/>
        <v>0</v>
      </c>
      <c r="AC17" s="31">
        <f t="shared" si="7"/>
        <v>90</v>
      </c>
    </row>
    <row r="18" spans="3:29" ht="12.75">
      <c r="C18" s="10" t="s">
        <v>124</v>
      </c>
      <c r="D18" s="11" t="s">
        <v>116</v>
      </c>
      <c r="E18" s="11" t="s">
        <v>527</v>
      </c>
      <c r="F18" s="11"/>
      <c r="G18" s="12">
        <v>46</v>
      </c>
      <c r="H18" s="12">
        <f ca="1" t="shared" si="0"/>
        <v>287</v>
      </c>
      <c r="I18" s="48">
        <f ca="1" t="shared" si="1"/>
        <v>7.15E-15</v>
      </c>
      <c r="J18" s="48">
        <f ca="1" t="shared" si="2"/>
        <v>-514.998367</v>
      </c>
      <c r="K18" s="48">
        <f ca="1" t="shared" si="3"/>
        <v>-135.640341</v>
      </c>
      <c r="L18" s="48">
        <f ca="1" t="shared" si="4"/>
        <v>-7.1586</v>
      </c>
      <c r="M18" s="48">
        <f ca="1" t="shared" si="5"/>
        <v>25</v>
      </c>
      <c r="N18" s="49">
        <f ca="1" t="shared" si="6"/>
        <v>0</v>
      </c>
      <c r="O18" s="30">
        <f t="shared" si="8"/>
        <v>-0.42261826174069944</v>
      </c>
      <c r="P18" s="30">
        <f t="shared" si="9"/>
        <v>-0.1129407523093658</v>
      </c>
      <c r="Q18" s="30">
        <f t="shared" si="10"/>
        <v>0.8992431213587703</v>
      </c>
      <c r="R18" s="30">
        <f t="shared" si="11"/>
        <v>0</v>
      </c>
      <c r="S18" s="30">
        <f t="shared" si="12"/>
        <v>0.9922050038861754</v>
      </c>
      <c r="T18" s="30">
        <f t="shared" si="13"/>
        <v>0.12461633224916628</v>
      </c>
      <c r="U18" s="30">
        <f t="shared" si="14"/>
        <v>0.9063077870366499</v>
      </c>
      <c r="V18" s="30">
        <f t="shared" si="15"/>
        <v>-0.05266513771964412</v>
      </c>
      <c r="W18" s="30">
        <f t="shared" si="16"/>
        <v>0.4193239540327994</v>
      </c>
      <c r="X18" s="30">
        <f t="shared" si="17"/>
        <v>0</v>
      </c>
      <c r="Y18" s="31">
        <f t="shared" si="18"/>
        <v>90</v>
      </c>
      <c r="Z18" s="30">
        <f t="shared" si="19"/>
        <v>0</v>
      </c>
      <c r="AA18" s="31">
        <f t="shared" si="20"/>
        <v>90</v>
      </c>
      <c r="AB18" s="30">
        <f t="shared" si="21"/>
        <v>0</v>
      </c>
      <c r="AC18" s="31">
        <f t="shared" si="7"/>
        <v>90</v>
      </c>
    </row>
    <row r="19" spans="3:29" ht="13.5" thickBot="1">
      <c r="C19" s="14"/>
      <c r="D19" s="15" t="s">
        <v>117</v>
      </c>
      <c r="E19" s="15" t="s">
        <v>527</v>
      </c>
      <c r="F19" s="15" t="s">
        <v>158</v>
      </c>
      <c r="G19" s="16">
        <v>51</v>
      </c>
      <c r="H19" s="16">
        <f ca="1" t="shared" si="0"/>
        <v>292</v>
      </c>
      <c r="I19" s="51">
        <f ca="1" t="shared" si="1"/>
        <v>-65.113778</v>
      </c>
      <c r="J19" s="51">
        <f ca="1" t="shared" si="2"/>
        <v>-521.807023</v>
      </c>
      <c r="K19" s="51">
        <f ca="1" t="shared" si="3"/>
        <v>-81.429289</v>
      </c>
      <c r="L19" s="51">
        <f ca="1" t="shared" si="4"/>
        <v>-7.1586</v>
      </c>
      <c r="M19" s="51">
        <f ca="1" t="shared" si="5"/>
        <v>50</v>
      </c>
      <c r="N19" s="52">
        <f ca="1" t="shared" si="6"/>
        <v>0</v>
      </c>
      <c r="O19" s="30">
        <f t="shared" si="8"/>
        <v>-0.766044443118978</v>
      </c>
      <c r="P19" s="30">
        <f t="shared" si="9"/>
        <v>-0.0801018343343452</v>
      </c>
      <c r="Q19" s="30">
        <f t="shared" si="10"/>
        <v>0.6377770827670182</v>
      </c>
      <c r="R19" s="30">
        <f t="shared" si="11"/>
        <v>0</v>
      </c>
      <c r="S19" s="30">
        <f t="shared" si="12"/>
        <v>0.9922050038861754</v>
      </c>
      <c r="T19" s="30">
        <f t="shared" si="13"/>
        <v>0.12461633224916628</v>
      </c>
      <c r="U19" s="30">
        <f t="shared" si="14"/>
        <v>0.6427876096865394</v>
      </c>
      <c r="V19" s="30">
        <f t="shared" si="15"/>
        <v>-0.09546164884134213</v>
      </c>
      <c r="W19" s="30">
        <f t="shared" si="16"/>
        <v>0.7600731296618486</v>
      </c>
      <c r="X19" s="30">
        <f t="shared" si="17"/>
        <v>0</v>
      </c>
      <c r="Y19" s="31">
        <f t="shared" si="18"/>
        <v>90</v>
      </c>
      <c r="Z19" s="30">
        <f t="shared" si="19"/>
        <v>0</v>
      </c>
      <c r="AA19" s="31">
        <f t="shared" si="20"/>
        <v>90</v>
      </c>
      <c r="AB19" s="30">
        <f t="shared" si="21"/>
        <v>0</v>
      </c>
      <c r="AC19" s="31">
        <f t="shared" si="7"/>
        <v>90</v>
      </c>
    </row>
    <row r="20" spans="4:29" ht="13.5" thickBot="1">
      <c r="D20" s="19" t="s">
        <v>116</v>
      </c>
      <c r="E20" s="1" t="s">
        <v>527</v>
      </c>
      <c r="F20" s="1" t="s">
        <v>126</v>
      </c>
      <c r="G20" s="20">
        <v>46</v>
      </c>
      <c r="H20" s="20">
        <f ca="1" t="shared" si="0"/>
        <v>287</v>
      </c>
      <c r="I20" s="45">
        <f ca="1" t="shared" si="1"/>
        <v>7.15E-15</v>
      </c>
      <c r="J20" s="45">
        <f ca="1" t="shared" si="2"/>
        <v>-514.998367</v>
      </c>
      <c r="K20" s="45">
        <f ca="1" t="shared" si="3"/>
        <v>-135.640341</v>
      </c>
      <c r="L20" s="45">
        <f ca="1" t="shared" si="4"/>
        <v>-7.1586</v>
      </c>
      <c r="M20" s="45">
        <f ca="1" t="shared" si="5"/>
        <v>25</v>
      </c>
      <c r="N20" s="45">
        <f ca="1" t="shared" si="6"/>
        <v>0</v>
      </c>
      <c r="O20" s="30">
        <f t="shared" si="8"/>
        <v>-0.42261826174069944</v>
      </c>
      <c r="P20" s="30">
        <f t="shared" si="9"/>
        <v>-0.1129407523093658</v>
      </c>
      <c r="Q20" s="30">
        <f t="shared" si="10"/>
        <v>0.8992431213587703</v>
      </c>
      <c r="R20" s="30">
        <f t="shared" si="11"/>
        <v>0</v>
      </c>
      <c r="S20" s="30">
        <f t="shared" si="12"/>
        <v>0.9922050038861754</v>
      </c>
      <c r="T20" s="30">
        <f t="shared" si="13"/>
        <v>0.12461633224916628</v>
      </c>
      <c r="U20" s="30">
        <f t="shared" si="14"/>
        <v>0.9063077870366499</v>
      </c>
      <c r="V20" s="30">
        <f t="shared" si="15"/>
        <v>-0.05266513771964412</v>
      </c>
      <c r="W20" s="30">
        <f t="shared" si="16"/>
        <v>0.4193239540327994</v>
      </c>
      <c r="X20" s="30">
        <f t="shared" si="17"/>
        <v>0</v>
      </c>
      <c r="Y20" s="31">
        <f t="shared" si="18"/>
        <v>90</v>
      </c>
      <c r="Z20" s="30">
        <f t="shared" si="19"/>
        <v>0</v>
      </c>
      <c r="AA20" s="31">
        <f t="shared" si="20"/>
        <v>90</v>
      </c>
      <c r="AB20" s="30">
        <f t="shared" si="21"/>
        <v>0</v>
      </c>
      <c r="AC20" s="31">
        <f t="shared" si="7"/>
        <v>90</v>
      </c>
    </row>
    <row r="21" spans="3:29" ht="12.75">
      <c r="C21" s="10" t="s">
        <v>125</v>
      </c>
      <c r="D21" s="11" t="s">
        <v>118</v>
      </c>
      <c r="E21" s="11" t="s">
        <v>527</v>
      </c>
      <c r="F21" s="11"/>
      <c r="G21" s="12">
        <v>57</v>
      </c>
      <c r="H21" s="12">
        <f ca="1" t="shared" si="0"/>
        <v>298</v>
      </c>
      <c r="I21" s="48">
        <f ca="1" t="shared" si="1"/>
        <v>-1.28E-14</v>
      </c>
      <c r="J21" s="48">
        <f ca="1" t="shared" si="2"/>
        <v>-509.515249</v>
      </c>
      <c r="K21" s="48">
        <f ca="1" t="shared" si="3"/>
        <v>-179.297361</v>
      </c>
      <c r="L21" s="48">
        <f ca="1" t="shared" si="4"/>
        <v>41.4214</v>
      </c>
      <c r="M21" s="48">
        <f ca="1" t="shared" si="5"/>
        <v>0</v>
      </c>
      <c r="N21" s="49">
        <f ca="1" t="shared" si="6"/>
        <v>0</v>
      </c>
      <c r="O21" s="30">
        <f t="shared" si="8"/>
        <v>0</v>
      </c>
      <c r="P21" s="30">
        <f t="shared" si="9"/>
        <v>0.6615919860192813</v>
      </c>
      <c r="Q21" s="30">
        <f t="shared" si="10"/>
        <v>0.7498640170291299</v>
      </c>
      <c r="R21" s="30">
        <f t="shared" si="11"/>
        <v>0</v>
      </c>
      <c r="S21" s="30">
        <f t="shared" si="12"/>
        <v>0.7498640170291299</v>
      </c>
      <c r="T21" s="30">
        <f t="shared" si="13"/>
        <v>-0.6615919860192813</v>
      </c>
      <c r="U21" s="30">
        <f t="shared" si="14"/>
        <v>1</v>
      </c>
      <c r="V21" s="30">
        <f t="shared" si="15"/>
        <v>0</v>
      </c>
      <c r="W21" s="30">
        <f t="shared" si="16"/>
        <v>0</v>
      </c>
      <c r="X21" s="30">
        <f t="shared" si="17"/>
        <v>0</v>
      </c>
      <c r="Y21" s="31">
        <f t="shared" si="18"/>
        <v>90</v>
      </c>
      <c r="Z21" s="30">
        <f t="shared" si="19"/>
        <v>0</v>
      </c>
      <c r="AA21" s="31">
        <f t="shared" si="20"/>
        <v>90</v>
      </c>
      <c r="AB21" s="30">
        <f t="shared" si="21"/>
        <v>0</v>
      </c>
      <c r="AC21" s="31">
        <f t="shared" si="7"/>
        <v>90</v>
      </c>
    </row>
    <row r="22" spans="3:29" ht="13.5" thickBot="1">
      <c r="C22" s="14"/>
      <c r="D22" s="15" t="s">
        <v>119</v>
      </c>
      <c r="E22" s="15" t="s">
        <v>527</v>
      </c>
      <c r="F22" s="15" t="s">
        <v>158</v>
      </c>
      <c r="G22" s="16">
        <v>59</v>
      </c>
      <c r="H22" s="16">
        <f ca="1" t="shared" si="0"/>
        <v>300</v>
      </c>
      <c r="I22" s="51">
        <f ca="1" t="shared" si="1"/>
        <v>-1.34E-14</v>
      </c>
      <c r="J22" s="51">
        <f ca="1" t="shared" si="2"/>
        <v>-468.515249</v>
      </c>
      <c r="K22" s="51">
        <f ca="1" t="shared" si="3"/>
        <v>-179.298363</v>
      </c>
      <c r="L22" s="51">
        <f ca="1" t="shared" si="4"/>
        <v>90.0014</v>
      </c>
      <c r="M22" s="51">
        <f ca="1" t="shared" si="5"/>
        <v>0</v>
      </c>
      <c r="N22" s="52">
        <f ca="1" t="shared" si="6"/>
        <v>0</v>
      </c>
      <c r="O22" s="30">
        <f t="shared" si="8"/>
        <v>0</v>
      </c>
      <c r="P22" s="30">
        <f t="shared" si="9"/>
        <v>0.9999999997014749</v>
      </c>
      <c r="Q22" s="30">
        <f t="shared" si="10"/>
        <v>-2.4434609525453033E-05</v>
      </c>
      <c r="R22" s="30">
        <f t="shared" si="11"/>
        <v>0</v>
      </c>
      <c r="S22" s="30">
        <f t="shared" si="12"/>
        <v>-2.4434609525453033E-05</v>
      </c>
      <c r="T22" s="30">
        <f t="shared" si="13"/>
        <v>-0.9999999997014749</v>
      </c>
      <c r="U22" s="30">
        <f t="shared" si="14"/>
        <v>1</v>
      </c>
      <c r="V22" s="30">
        <f t="shared" si="15"/>
        <v>0</v>
      </c>
      <c r="W22" s="30">
        <f t="shared" si="16"/>
        <v>0</v>
      </c>
      <c r="X22" s="30">
        <f t="shared" si="17"/>
        <v>0</v>
      </c>
      <c r="Y22" s="31">
        <f t="shared" si="18"/>
        <v>90</v>
      </c>
      <c r="Z22" s="30">
        <f t="shared" si="19"/>
        <v>0</v>
      </c>
      <c r="AA22" s="31">
        <f t="shared" si="20"/>
        <v>90</v>
      </c>
      <c r="AB22" s="30">
        <f t="shared" si="21"/>
        <v>0</v>
      </c>
      <c r="AC22" s="31">
        <f t="shared" si="7"/>
        <v>90</v>
      </c>
    </row>
    <row r="23" spans="1:29" ht="13.5" thickBot="1">
      <c r="A23" s="28"/>
      <c r="B23" s="28"/>
      <c r="C23" s="14"/>
      <c r="D23" s="15" t="s">
        <v>98</v>
      </c>
      <c r="E23" s="15" t="s">
        <v>528</v>
      </c>
      <c r="F23" s="15" t="s">
        <v>126</v>
      </c>
      <c r="G23" s="20">
        <v>17</v>
      </c>
      <c r="H23" s="20">
        <f ca="1" t="shared" si="0"/>
        <v>260</v>
      </c>
      <c r="I23" s="45">
        <f ca="1" t="shared" si="1"/>
        <v>0</v>
      </c>
      <c r="J23" s="45">
        <f ca="1" t="shared" si="2"/>
        <v>-179.687314</v>
      </c>
      <c r="K23" s="45">
        <f ca="1" t="shared" si="3"/>
        <v>82.217104</v>
      </c>
      <c r="L23" s="45">
        <f ca="1" t="shared" si="4"/>
        <v>15.1454</v>
      </c>
      <c r="M23" s="45">
        <f ca="1" t="shared" si="5"/>
        <v>0</v>
      </c>
      <c r="N23" s="45">
        <f ca="1" t="shared" si="6"/>
        <v>0</v>
      </c>
      <c r="O23" s="45">
        <f aca="true" t="shared" si="22" ref="O23:O48">-SIN(bEuler*PI()/180)</f>
        <v>0</v>
      </c>
      <c r="P23" s="45">
        <f aca="true" t="shared" si="23" ref="P23:P48">SIN(aEuler*PI()/180)*COS(bEuler*PI()/180)</f>
        <v>0.26126944748333636</v>
      </c>
      <c r="Q23" s="30">
        <f aca="true" t="shared" si="24" ref="Q23:Q48">COS(aEuler*PI()/180)*COS(bEuler*PI()/180)</f>
        <v>0.9652659093802869</v>
      </c>
      <c r="R23" s="30">
        <f aca="true" t="shared" si="25" ref="R23:R48">(COS(bEuler*PI()/180)*SIN(cEuler*PI()/180))</f>
        <v>0</v>
      </c>
      <c r="S23" s="30">
        <f aca="true" t="shared" si="26" ref="S23:S48">(SIN(aEuler*PI()/180)*SIN(bEuler*PI()/180)*SIN(cEuler*PI()/180)+COS(aEuler*PI()/180)*COS(cEuler*PI()/180))</f>
        <v>0.9652659093802869</v>
      </c>
      <c r="T23" s="30">
        <f aca="true" t="shared" si="27" ref="T23:T48">(COS(aEuler*PI()/180)*SIN(bEuler*PI()/180)*SIN(cEuler*PI()/180)-SIN(aEuler*PI()/180)*COS(cEuler*PI()/180))</f>
        <v>-0.26126944748333636</v>
      </c>
      <c r="U23" s="30">
        <f aca="true" t="shared" si="28" ref="U23:U48">COS(bEuler*PI()/180)*COS(cEuler*PI()/180)</f>
        <v>1</v>
      </c>
      <c r="V23" s="30">
        <f aca="true" t="shared" si="29" ref="V23:V48">(SIN(aEuler*PI()/180)*SIN(bEuler*PI()/180)*COS(cEuler*PI()/180)-COS(aEuler*PI()/180)*SIN(cEuler*PI()/180))</f>
        <v>0</v>
      </c>
      <c r="W23" s="30">
        <f aca="true" t="shared" si="30" ref="W23:W48">(COS(aEuler*PI()/180)*SIN(bEuler*PI()/180)*COS(cEuler*PI()/180)+SIN(aEuler*PI()/180)*SIN(cEuler*PI()/180))</f>
        <v>0</v>
      </c>
      <c r="X23" s="30">
        <f aca="true" t="shared" si="31" ref="X23:X48">xTang*xNorm+yTang*yNorm+zTang*zNorm</f>
        <v>0</v>
      </c>
      <c r="Y23" s="31">
        <f t="shared" si="18"/>
        <v>90</v>
      </c>
      <c r="Z23" s="30">
        <f aca="true" t="shared" si="32" ref="Z23:Z48">xSag*xNorm+ySag*yNorm+zSag*zNorm</f>
        <v>0</v>
      </c>
      <c r="AA23" s="31">
        <f t="shared" si="20"/>
        <v>90</v>
      </c>
      <c r="AB23" s="30">
        <f aca="true" t="shared" si="33" ref="AB23:AB48">xSag*xTang+ySag*yTang+zSag*zTang</f>
        <v>0</v>
      </c>
      <c r="AC23" s="31">
        <f t="shared" si="7"/>
        <v>90</v>
      </c>
    </row>
    <row r="24" spans="1:29" ht="12.75">
      <c r="A24" s="28" t="s">
        <v>99</v>
      </c>
      <c r="B24" s="28" t="s">
        <v>100</v>
      </c>
      <c r="C24" s="10" t="s">
        <v>502</v>
      </c>
      <c r="D24" s="11" t="s">
        <v>503</v>
      </c>
      <c r="E24" s="11" t="s">
        <v>528</v>
      </c>
      <c r="F24" s="11"/>
      <c r="G24" s="20">
        <v>22</v>
      </c>
      <c r="H24" s="20">
        <f ca="1" t="shared" si="0"/>
        <v>265</v>
      </c>
      <c r="I24" s="45">
        <f ca="1" t="shared" si="1"/>
        <v>33.82</v>
      </c>
      <c r="J24" s="45">
        <f ca="1" t="shared" si="2"/>
        <v>-263.975222</v>
      </c>
      <c r="K24" s="45">
        <f ca="1" t="shared" si="3"/>
        <v>-104.150668</v>
      </c>
      <c r="L24" s="45">
        <f ca="1" t="shared" si="4"/>
        <v>39.32223</v>
      </c>
      <c r="M24" s="45">
        <f ca="1" t="shared" si="5"/>
        <v>-45.23104</v>
      </c>
      <c r="N24" s="45">
        <f ca="1" t="shared" si="6"/>
        <v>-14.16719</v>
      </c>
      <c r="O24" s="45">
        <f t="shared" si="22"/>
        <v>0.7099523681147767</v>
      </c>
      <c r="P24" s="45">
        <f t="shared" si="23"/>
        <v>0.4462696974528858</v>
      </c>
      <c r="Q24" s="30">
        <f t="shared" si="24"/>
        <v>0.5448036271387428</v>
      </c>
      <c r="R24" s="30">
        <f t="shared" si="25"/>
        <v>-0.17236666260299444</v>
      </c>
      <c r="S24" s="30">
        <f t="shared" si="26"/>
        <v>0.8601759933559147</v>
      </c>
      <c r="T24" s="30">
        <f t="shared" si="27"/>
        <v>-0.4799864519726267</v>
      </c>
      <c r="U24" s="30">
        <f t="shared" si="28"/>
        <v>0.6828304098612817</v>
      </c>
      <c r="V24" s="30">
        <f t="shared" si="29"/>
        <v>-0.24686153525706456</v>
      </c>
      <c r="W24" s="30">
        <f t="shared" si="30"/>
        <v>-0.6876060018493141</v>
      </c>
      <c r="X24" s="30">
        <f t="shared" si="31"/>
        <v>0</v>
      </c>
      <c r="Y24" s="31">
        <f t="shared" si="18"/>
        <v>90</v>
      </c>
      <c r="Z24" s="30">
        <f t="shared" si="32"/>
        <v>0</v>
      </c>
      <c r="AA24" s="31">
        <f t="shared" si="20"/>
        <v>90</v>
      </c>
      <c r="AB24" s="30">
        <f t="shared" si="33"/>
        <v>0</v>
      </c>
      <c r="AC24" s="31">
        <f t="shared" si="7"/>
        <v>90</v>
      </c>
    </row>
    <row r="25" spans="1:29" ht="12.75">
      <c r="A25" s="28" t="s">
        <v>102</v>
      </c>
      <c r="B25" s="28" t="s">
        <v>103</v>
      </c>
      <c r="C25" s="18"/>
      <c r="D25" s="19" t="s">
        <v>504</v>
      </c>
      <c r="E25" s="19" t="s">
        <v>528</v>
      </c>
      <c r="F25" s="19" t="s">
        <v>157</v>
      </c>
      <c r="G25" s="20">
        <v>26</v>
      </c>
      <c r="H25" s="20">
        <f ca="1" t="shared" si="0"/>
        <v>269</v>
      </c>
      <c r="I25" s="45">
        <f ca="1" t="shared" si="1"/>
        <v>141.695656</v>
      </c>
      <c r="J25" s="45">
        <f ca="1" t="shared" si="2"/>
        <v>-233.042376</v>
      </c>
      <c r="K25" s="45">
        <f ca="1" t="shared" si="3"/>
        <v>-112.982809</v>
      </c>
      <c r="L25" s="45">
        <f ca="1" t="shared" si="4"/>
        <v>138.95995</v>
      </c>
      <c r="M25" s="45">
        <f ca="1" t="shared" si="5"/>
        <v>-48.8373</v>
      </c>
      <c r="N25" s="45">
        <f ca="1" t="shared" si="6"/>
        <v>-47.8363</v>
      </c>
      <c r="O25" s="45">
        <f t="shared" si="22"/>
        <v>0.7528435614080758</v>
      </c>
      <c r="P25" s="45">
        <f t="shared" si="23"/>
        <v>0.4321648445110881</v>
      </c>
      <c r="Q25" s="30">
        <f t="shared" si="24"/>
        <v>-0.49644749895141155</v>
      </c>
      <c r="R25" s="30">
        <f t="shared" si="25"/>
        <v>-0.4878772225280114</v>
      </c>
      <c r="S25" s="30">
        <f t="shared" si="26"/>
        <v>-0.1398966162055521</v>
      </c>
      <c r="T25" s="30">
        <f t="shared" si="27"/>
        <v>-0.8616291270103338</v>
      </c>
      <c r="U25" s="30">
        <f t="shared" si="28"/>
        <v>0.4418171429276573</v>
      </c>
      <c r="V25" s="30">
        <f t="shared" si="29"/>
        <v>-0.8908773675107835</v>
      </c>
      <c r="W25" s="30">
        <f t="shared" si="30"/>
        <v>-0.10552311724119295</v>
      </c>
      <c r="X25" s="30">
        <f t="shared" si="31"/>
        <v>0</v>
      </c>
      <c r="Y25" s="31">
        <f t="shared" si="18"/>
        <v>90</v>
      </c>
      <c r="Z25" s="30">
        <f t="shared" si="32"/>
        <v>0</v>
      </c>
      <c r="AA25" s="31">
        <f t="shared" si="20"/>
        <v>90</v>
      </c>
      <c r="AB25" s="30">
        <f t="shared" si="33"/>
        <v>0</v>
      </c>
      <c r="AC25" s="31">
        <f t="shared" si="7"/>
        <v>90</v>
      </c>
    </row>
    <row r="26" spans="1:29" ht="12.75">
      <c r="A26" s="28" t="s">
        <v>105</v>
      </c>
      <c r="B26" s="28" t="s">
        <v>106</v>
      </c>
      <c r="C26" s="18"/>
      <c r="D26" s="19" t="s">
        <v>505</v>
      </c>
      <c r="E26" s="19" t="s">
        <v>528</v>
      </c>
      <c r="F26" s="19"/>
      <c r="G26" s="20">
        <v>30</v>
      </c>
      <c r="H26" s="20">
        <f ca="1" t="shared" si="0"/>
        <v>273</v>
      </c>
      <c r="I26" s="45">
        <f ca="1" t="shared" si="1"/>
        <v>170.856678</v>
      </c>
      <c r="J26" s="45">
        <f ca="1" t="shared" si="2"/>
        <v>-224.680587</v>
      </c>
      <c r="K26" s="45">
        <f ca="1" t="shared" si="3"/>
        <v>-115.370319</v>
      </c>
      <c r="L26" s="45">
        <f ca="1" t="shared" si="4"/>
        <v>-153.67393</v>
      </c>
      <c r="M26" s="45">
        <f ca="1" t="shared" si="5"/>
        <v>43.46114</v>
      </c>
      <c r="N26" s="45">
        <f ca="1" t="shared" si="6"/>
        <v>29.79408</v>
      </c>
      <c r="O26" s="45">
        <f t="shared" si="22"/>
        <v>-0.6878624431607016</v>
      </c>
      <c r="P26" s="45">
        <f t="shared" si="23"/>
        <v>-0.32189531036075236</v>
      </c>
      <c r="Q26" s="30">
        <f t="shared" si="24"/>
        <v>-0.6505602727317011</v>
      </c>
      <c r="R26" s="30">
        <f t="shared" si="25"/>
        <v>0.36065903052820547</v>
      </c>
      <c r="S26" s="30">
        <f t="shared" si="26"/>
        <v>-0.9293867897416939</v>
      </c>
      <c r="T26" s="30">
        <f t="shared" si="27"/>
        <v>0.07851916168734602</v>
      </c>
      <c r="U26" s="30">
        <f t="shared" si="28"/>
        <v>0.6298970733282109</v>
      </c>
      <c r="V26" s="30">
        <f t="shared" si="29"/>
        <v>0.18062005487039234</v>
      </c>
      <c r="W26" s="30">
        <f t="shared" si="30"/>
        <v>-0.7553847183992874</v>
      </c>
      <c r="X26" s="30">
        <f t="shared" si="31"/>
        <v>0</v>
      </c>
      <c r="Y26" s="31">
        <f t="shared" si="18"/>
        <v>90</v>
      </c>
      <c r="Z26" s="30">
        <f t="shared" si="32"/>
        <v>0</v>
      </c>
      <c r="AA26" s="31">
        <f t="shared" si="20"/>
        <v>90</v>
      </c>
      <c r="AB26" s="30">
        <f t="shared" si="33"/>
        <v>0</v>
      </c>
      <c r="AC26" s="31">
        <f t="shared" si="7"/>
        <v>90</v>
      </c>
    </row>
    <row r="27" spans="1:29" ht="13.5" thickBot="1">
      <c r="A27" s="28" t="s">
        <v>368</v>
      </c>
      <c r="B27" s="28" t="s">
        <v>371</v>
      </c>
      <c r="C27" s="14"/>
      <c r="D27" s="15" t="s">
        <v>506</v>
      </c>
      <c r="E27" s="15" t="s">
        <v>528</v>
      </c>
      <c r="F27" s="15"/>
      <c r="G27" s="20">
        <v>36</v>
      </c>
      <c r="H27" s="20">
        <f ca="1" t="shared" si="0"/>
        <v>279</v>
      </c>
      <c r="I27" s="45">
        <f ca="1" t="shared" si="1"/>
        <v>170.856678</v>
      </c>
      <c r="J27" s="45">
        <f ca="1" t="shared" si="2"/>
        <v>-234.578533</v>
      </c>
      <c r="K27" s="45">
        <f ca="1" t="shared" si="3"/>
        <v>-171.504361</v>
      </c>
      <c r="L27" s="45">
        <f ca="1" t="shared" si="4"/>
        <v>-10</v>
      </c>
      <c r="M27" s="45">
        <f ca="1" t="shared" si="5"/>
        <v>0</v>
      </c>
      <c r="N27" s="45">
        <f ca="1" t="shared" si="6"/>
        <v>-6.22</v>
      </c>
      <c r="O27" s="45">
        <f t="shared" si="22"/>
        <v>0</v>
      </c>
      <c r="P27" s="45">
        <f t="shared" si="23"/>
        <v>-0.17364817766693033</v>
      </c>
      <c r="Q27" s="30">
        <f t="shared" si="24"/>
        <v>0.984807753012208</v>
      </c>
      <c r="R27" s="30">
        <f t="shared" si="25"/>
        <v>-0.10834637327094243</v>
      </c>
      <c r="S27" s="30">
        <f t="shared" si="26"/>
        <v>0.9790103911821212</v>
      </c>
      <c r="T27" s="30">
        <f t="shared" si="27"/>
        <v>0.17262594635935663</v>
      </c>
      <c r="U27" s="30">
        <f t="shared" si="28"/>
        <v>0.9941132045189992</v>
      </c>
      <c r="V27" s="30">
        <f t="shared" si="29"/>
        <v>0.10670034840797878</v>
      </c>
      <c r="W27" s="30">
        <f t="shared" si="30"/>
        <v>0.018814150275320164</v>
      </c>
      <c r="X27" s="30">
        <f t="shared" si="31"/>
        <v>0</v>
      </c>
      <c r="Y27" s="31">
        <f t="shared" si="18"/>
        <v>90</v>
      </c>
      <c r="Z27" s="30">
        <f t="shared" si="32"/>
        <v>0</v>
      </c>
      <c r="AA27" s="31">
        <f t="shared" si="20"/>
        <v>90</v>
      </c>
      <c r="AB27" s="30">
        <f t="shared" si="33"/>
        <v>-8.239936510889834E-18</v>
      </c>
      <c r="AC27" s="31">
        <f t="shared" si="7"/>
        <v>90</v>
      </c>
    </row>
    <row r="28" spans="1:29" ht="12.75">
      <c r="A28" s="28" t="s">
        <v>369</v>
      </c>
      <c r="B28" s="28" t="s">
        <v>372</v>
      </c>
      <c r="C28" s="10" t="s">
        <v>507</v>
      </c>
      <c r="D28" s="11" t="s">
        <v>508</v>
      </c>
      <c r="E28" s="11" t="s">
        <v>528</v>
      </c>
      <c r="F28" s="11"/>
      <c r="G28" s="20">
        <v>39</v>
      </c>
      <c r="H28" s="20">
        <f ca="1" t="shared" si="0"/>
        <v>282</v>
      </c>
      <c r="I28" s="45">
        <f ca="1" t="shared" si="1"/>
        <v>170.856678</v>
      </c>
      <c r="J28" s="45">
        <f ca="1" t="shared" si="2"/>
        <v>-321.398533</v>
      </c>
      <c r="K28" s="45">
        <f ca="1" t="shared" si="3"/>
        <v>-21.12771</v>
      </c>
      <c r="L28" s="45">
        <f ca="1" t="shared" si="4"/>
        <v>0</v>
      </c>
      <c r="M28" s="45">
        <f ca="1" t="shared" si="5"/>
        <v>0</v>
      </c>
      <c r="N28" s="45">
        <f ca="1" t="shared" si="6"/>
        <v>0</v>
      </c>
      <c r="O28" s="45">
        <f t="shared" si="22"/>
        <v>0</v>
      </c>
      <c r="P28" s="45">
        <f t="shared" si="23"/>
        <v>0</v>
      </c>
      <c r="Q28" s="30">
        <f t="shared" si="24"/>
        <v>1</v>
      </c>
      <c r="R28" s="30">
        <f t="shared" si="25"/>
        <v>0</v>
      </c>
      <c r="S28" s="30">
        <f t="shared" si="26"/>
        <v>1</v>
      </c>
      <c r="T28" s="30">
        <f t="shared" si="27"/>
        <v>0</v>
      </c>
      <c r="U28" s="30">
        <f t="shared" si="28"/>
        <v>1</v>
      </c>
      <c r="V28" s="30">
        <f t="shared" si="29"/>
        <v>0</v>
      </c>
      <c r="W28" s="30">
        <f t="shared" si="30"/>
        <v>0</v>
      </c>
      <c r="X28" s="30">
        <f t="shared" si="31"/>
        <v>0</v>
      </c>
      <c r="Y28" s="31">
        <f t="shared" si="18"/>
        <v>90</v>
      </c>
      <c r="Z28" s="30">
        <f t="shared" si="32"/>
        <v>0</v>
      </c>
      <c r="AA28" s="31">
        <f t="shared" si="20"/>
        <v>90</v>
      </c>
      <c r="AB28" s="30">
        <f t="shared" si="33"/>
        <v>0</v>
      </c>
      <c r="AC28" s="31">
        <f t="shared" si="7"/>
        <v>90</v>
      </c>
    </row>
    <row r="29" spans="1:29" ht="12.75">
      <c r="A29" s="28" t="s">
        <v>370</v>
      </c>
      <c r="B29" s="28" t="s">
        <v>373</v>
      </c>
      <c r="C29" s="18"/>
      <c r="D29" s="19" t="s">
        <v>509</v>
      </c>
      <c r="E29" s="19" t="s">
        <v>528</v>
      </c>
      <c r="F29" s="19"/>
      <c r="G29" s="20">
        <v>43</v>
      </c>
      <c r="H29" s="20">
        <f ca="1" t="shared" si="0"/>
        <v>286</v>
      </c>
      <c r="I29" s="45">
        <f ca="1" t="shared" si="1"/>
        <v>170.856678</v>
      </c>
      <c r="J29" s="45">
        <f ca="1" t="shared" si="2"/>
        <v>-407.998533</v>
      </c>
      <c r="K29" s="45">
        <f ca="1" t="shared" si="3"/>
        <v>-171.12331</v>
      </c>
      <c r="L29" s="45">
        <f ca="1" t="shared" si="4"/>
        <v>15</v>
      </c>
      <c r="M29" s="45">
        <f ca="1" t="shared" si="5"/>
        <v>0</v>
      </c>
      <c r="N29" s="45">
        <f ca="1" t="shared" si="6"/>
        <v>0</v>
      </c>
      <c r="O29" s="45">
        <f t="shared" si="22"/>
        <v>0</v>
      </c>
      <c r="P29" s="45">
        <f t="shared" si="23"/>
        <v>0.25881904510252074</v>
      </c>
      <c r="Q29" s="30">
        <f t="shared" si="24"/>
        <v>0.9659258262890683</v>
      </c>
      <c r="R29" s="30">
        <f t="shared" si="25"/>
        <v>0</v>
      </c>
      <c r="S29" s="30">
        <f t="shared" si="26"/>
        <v>0.9659258262890683</v>
      </c>
      <c r="T29" s="30">
        <f t="shared" si="27"/>
        <v>-0.25881904510252074</v>
      </c>
      <c r="U29" s="30">
        <f t="shared" si="28"/>
        <v>1</v>
      </c>
      <c r="V29" s="30">
        <f t="shared" si="29"/>
        <v>0</v>
      </c>
      <c r="W29" s="30">
        <f t="shared" si="30"/>
        <v>0</v>
      </c>
      <c r="X29" s="30">
        <f t="shared" si="31"/>
        <v>0</v>
      </c>
      <c r="Y29" s="31">
        <f t="shared" si="18"/>
        <v>90</v>
      </c>
      <c r="Z29" s="30">
        <f t="shared" si="32"/>
        <v>0</v>
      </c>
      <c r="AA29" s="31">
        <f t="shared" si="20"/>
        <v>90</v>
      </c>
      <c r="AB29" s="30">
        <f t="shared" si="33"/>
        <v>0</v>
      </c>
      <c r="AC29" s="31">
        <f t="shared" si="7"/>
        <v>90</v>
      </c>
    </row>
    <row r="30" spans="3:29" ht="12.75">
      <c r="C30" s="18"/>
      <c r="D30" s="19" t="s">
        <v>510</v>
      </c>
      <c r="E30" s="19" t="s">
        <v>528</v>
      </c>
      <c r="F30" s="19"/>
      <c r="G30" s="20">
        <v>46</v>
      </c>
      <c r="H30" s="20">
        <f ca="1" t="shared" si="0"/>
        <v>289</v>
      </c>
      <c r="I30" s="45">
        <f ca="1" t="shared" si="1"/>
        <v>170.856678</v>
      </c>
      <c r="J30" s="45">
        <f ca="1" t="shared" si="2"/>
        <v>-407.998533</v>
      </c>
      <c r="K30" s="45">
        <f ca="1" t="shared" si="3"/>
        <v>-46.12331</v>
      </c>
      <c r="L30" s="45">
        <f ca="1" t="shared" si="4"/>
        <v>45</v>
      </c>
      <c r="M30" s="45">
        <f ca="1" t="shared" si="5"/>
        <v>0</v>
      </c>
      <c r="N30" s="45">
        <f ca="1" t="shared" si="6"/>
        <v>0</v>
      </c>
      <c r="O30" s="45">
        <f t="shared" si="22"/>
        <v>0</v>
      </c>
      <c r="P30" s="45">
        <f t="shared" si="23"/>
        <v>0.7071067811865475</v>
      </c>
      <c r="Q30" s="30">
        <f t="shared" si="24"/>
        <v>0.7071067811865476</v>
      </c>
      <c r="R30" s="30">
        <f t="shared" si="25"/>
        <v>0</v>
      </c>
      <c r="S30" s="30">
        <f t="shared" si="26"/>
        <v>0.7071067811865476</v>
      </c>
      <c r="T30" s="30">
        <f t="shared" si="27"/>
        <v>-0.7071067811865475</v>
      </c>
      <c r="U30" s="30">
        <f t="shared" si="28"/>
        <v>1</v>
      </c>
      <c r="V30" s="30">
        <f t="shared" si="29"/>
        <v>0</v>
      </c>
      <c r="W30" s="30">
        <f t="shared" si="30"/>
        <v>0</v>
      </c>
      <c r="X30" s="30">
        <f t="shared" si="31"/>
        <v>0</v>
      </c>
      <c r="Y30" s="31">
        <f t="shared" si="18"/>
        <v>90</v>
      </c>
      <c r="Z30" s="30">
        <f t="shared" si="32"/>
        <v>0</v>
      </c>
      <c r="AA30" s="31">
        <f t="shared" si="20"/>
        <v>90</v>
      </c>
      <c r="AB30" s="30">
        <f t="shared" si="33"/>
        <v>0</v>
      </c>
      <c r="AC30" s="31">
        <f t="shared" si="7"/>
        <v>90</v>
      </c>
    </row>
    <row r="31" spans="3:29" ht="12.75">
      <c r="C31" s="18"/>
      <c r="D31" s="19" t="s">
        <v>511</v>
      </c>
      <c r="E31" s="19" t="s">
        <v>528</v>
      </c>
      <c r="F31" s="19"/>
      <c r="G31" s="20">
        <v>51</v>
      </c>
      <c r="H31" s="20">
        <f ca="1" t="shared" si="0"/>
        <v>294</v>
      </c>
      <c r="I31" s="45">
        <f ca="1" t="shared" si="1"/>
        <v>170.856678</v>
      </c>
      <c r="J31" s="45">
        <f ca="1" t="shared" si="2"/>
        <v>-457.998533</v>
      </c>
      <c r="K31" s="45">
        <f ca="1" t="shared" si="3"/>
        <v>-46.12331</v>
      </c>
      <c r="L31" s="45">
        <f ca="1" t="shared" si="4"/>
        <v>135</v>
      </c>
      <c r="M31" s="45">
        <f ca="1" t="shared" si="5"/>
        <v>45</v>
      </c>
      <c r="N31" s="45">
        <f ca="1" t="shared" si="6"/>
        <v>0</v>
      </c>
      <c r="O31" s="45">
        <f t="shared" si="22"/>
        <v>-0.7071067811865475</v>
      </c>
      <c r="P31" s="45">
        <f t="shared" si="23"/>
        <v>0.5000000000000001</v>
      </c>
      <c r="Q31" s="30">
        <f t="shared" si="24"/>
        <v>-0.5</v>
      </c>
      <c r="R31" s="30">
        <f t="shared" si="25"/>
        <v>0</v>
      </c>
      <c r="S31" s="30">
        <f t="shared" si="26"/>
        <v>-0.7071067811865475</v>
      </c>
      <c r="T31" s="30">
        <f t="shared" si="27"/>
        <v>-0.7071067811865476</v>
      </c>
      <c r="U31" s="30">
        <f t="shared" si="28"/>
        <v>0.7071067811865476</v>
      </c>
      <c r="V31" s="30">
        <f t="shared" si="29"/>
        <v>0.5</v>
      </c>
      <c r="W31" s="30">
        <f t="shared" si="30"/>
        <v>-0.4999999999999999</v>
      </c>
      <c r="X31" s="30">
        <f t="shared" si="31"/>
        <v>0</v>
      </c>
      <c r="Y31" s="31">
        <f t="shared" si="18"/>
        <v>90</v>
      </c>
      <c r="Z31" s="30">
        <f t="shared" si="32"/>
        <v>0</v>
      </c>
      <c r="AA31" s="31">
        <f t="shared" si="20"/>
        <v>90</v>
      </c>
      <c r="AB31" s="30">
        <f t="shared" si="33"/>
        <v>0</v>
      </c>
      <c r="AC31" s="31">
        <f t="shared" si="7"/>
        <v>90</v>
      </c>
    </row>
    <row r="32" spans="3:29" ht="12.75">
      <c r="C32" s="18"/>
      <c r="D32" s="19" t="s">
        <v>512</v>
      </c>
      <c r="E32" s="19" t="s">
        <v>528</v>
      </c>
      <c r="F32" s="19"/>
      <c r="G32" s="20">
        <v>53</v>
      </c>
      <c r="H32" s="20">
        <f ca="1" t="shared" si="0"/>
        <v>296</v>
      </c>
      <c r="I32" s="45">
        <f ca="1" t="shared" si="1"/>
        <v>170.856678</v>
      </c>
      <c r="J32" s="45">
        <f ca="1" t="shared" si="2"/>
        <v>-457.998533</v>
      </c>
      <c r="K32" s="45">
        <f ca="1" t="shared" si="3"/>
        <v>-46.12331</v>
      </c>
      <c r="L32" s="45">
        <f ca="1" t="shared" si="4"/>
        <v>135</v>
      </c>
      <c r="M32" s="45">
        <f ca="1" t="shared" si="5"/>
        <v>-45</v>
      </c>
      <c r="N32" s="45">
        <f ca="1" t="shared" si="6"/>
        <v>0</v>
      </c>
      <c r="O32" s="45">
        <f t="shared" si="22"/>
        <v>0.7071067811865475</v>
      </c>
      <c r="P32" s="45">
        <f t="shared" si="23"/>
        <v>0.5000000000000001</v>
      </c>
      <c r="Q32" s="30">
        <f t="shared" si="24"/>
        <v>-0.5</v>
      </c>
      <c r="R32" s="30">
        <f t="shared" si="25"/>
        <v>0</v>
      </c>
      <c r="S32" s="30">
        <f t="shared" si="26"/>
        <v>-0.7071067811865475</v>
      </c>
      <c r="T32" s="30">
        <f t="shared" si="27"/>
        <v>-0.7071067811865476</v>
      </c>
      <c r="U32" s="30">
        <f t="shared" si="28"/>
        <v>0.7071067811865476</v>
      </c>
      <c r="V32" s="30">
        <f t="shared" si="29"/>
        <v>-0.5</v>
      </c>
      <c r="W32" s="30">
        <f t="shared" si="30"/>
        <v>0.4999999999999999</v>
      </c>
      <c r="X32" s="30">
        <f t="shared" si="31"/>
        <v>0</v>
      </c>
      <c r="Y32" s="31">
        <f t="shared" si="18"/>
        <v>90</v>
      </c>
      <c r="Z32" s="30">
        <f t="shared" si="32"/>
        <v>0</v>
      </c>
      <c r="AA32" s="31">
        <f t="shared" si="20"/>
        <v>90</v>
      </c>
      <c r="AB32" s="30">
        <f t="shared" si="33"/>
        <v>0</v>
      </c>
      <c r="AC32" s="31">
        <f t="shared" si="7"/>
        <v>90</v>
      </c>
    </row>
    <row r="33" spans="3:29" ht="12.75">
      <c r="C33" s="18"/>
      <c r="D33" s="19" t="s">
        <v>513</v>
      </c>
      <c r="E33" s="19" t="s">
        <v>528</v>
      </c>
      <c r="F33" s="19"/>
      <c r="G33" s="20">
        <v>56</v>
      </c>
      <c r="H33" s="20">
        <f ca="1" t="shared" si="0"/>
        <v>299</v>
      </c>
      <c r="I33" s="45">
        <f ca="1" t="shared" si="1"/>
        <v>170.856678</v>
      </c>
      <c r="J33" s="45">
        <f ca="1" t="shared" si="2"/>
        <v>-457.998533</v>
      </c>
      <c r="K33" s="45">
        <f ca="1" t="shared" si="3"/>
        <v>-171.12331</v>
      </c>
      <c r="L33" s="45">
        <f ca="1" t="shared" si="4"/>
        <v>165</v>
      </c>
      <c r="M33" s="45">
        <f ca="1" t="shared" si="5"/>
        <v>0</v>
      </c>
      <c r="N33" s="45">
        <f ca="1" t="shared" si="6"/>
        <v>0</v>
      </c>
      <c r="O33" s="45">
        <f t="shared" si="22"/>
        <v>0</v>
      </c>
      <c r="P33" s="45">
        <f t="shared" si="23"/>
        <v>0.258819045102521</v>
      </c>
      <c r="Q33" s="30">
        <f t="shared" si="24"/>
        <v>-0.9659258262890682</v>
      </c>
      <c r="R33" s="30">
        <f t="shared" si="25"/>
        <v>0</v>
      </c>
      <c r="S33" s="30">
        <f t="shared" si="26"/>
        <v>-0.9659258262890682</v>
      </c>
      <c r="T33" s="30">
        <f t="shared" si="27"/>
        <v>-0.258819045102521</v>
      </c>
      <c r="U33" s="30">
        <f t="shared" si="28"/>
        <v>1</v>
      </c>
      <c r="V33" s="30">
        <f t="shared" si="29"/>
        <v>0</v>
      </c>
      <c r="W33" s="30">
        <f t="shared" si="30"/>
        <v>0</v>
      </c>
      <c r="X33" s="30">
        <f t="shared" si="31"/>
        <v>0</v>
      </c>
      <c r="Y33" s="31">
        <f t="shared" si="18"/>
        <v>90</v>
      </c>
      <c r="Z33" s="30">
        <f t="shared" si="32"/>
        <v>0</v>
      </c>
      <c r="AA33" s="31">
        <f t="shared" si="20"/>
        <v>90</v>
      </c>
      <c r="AB33" s="30">
        <f t="shared" si="33"/>
        <v>0</v>
      </c>
      <c r="AC33" s="31">
        <f t="shared" si="7"/>
        <v>90</v>
      </c>
    </row>
    <row r="34" spans="3:29" ht="12.75">
      <c r="C34" s="18"/>
      <c r="D34" s="19" t="s">
        <v>514</v>
      </c>
      <c r="E34" s="19" t="s">
        <v>528</v>
      </c>
      <c r="F34" s="19"/>
      <c r="G34" s="20">
        <v>60</v>
      </c>
      <c r="H34" s="20">
        <f ca="1" t="shared" si="0"/>
        <v>303</v>
      </c>
      <c r="I34" s="45">
        <f ca="1" t="shared" si="1"/>
        <v>170.856678</v>
      </c>
      <c r="J34" s="45">
        <f ca="1" t="shared" si="2"/>
        <v>-544.598533</v>
      </c>
      <c r="K34" s="45">
        <f ca="1" t="shared" si="3"/>
        <v>-21.12771</v>
      </c>
      <c r="L34" s="45">
        <f ca="1" t="shared" si="4"/>
        <v>180</v>
      </c>
      <c r="M34" s="45">
        <f ca="1" t="shared" si="5"/>
        <v>0</v>
      </c>
      <c r="N34" s="45">
        <f ca="1" t="shared" si="6"/>
        <v>-8.54E-07</v>
      </c>
      <c r="O34" s="45">
        <f t="shared" si="22"/>
        <v>0</v>
      </c>
      <c r="P34" s="45">
        <f t="shared" si="23"/>
        <v>1.22514845490862E-16</v>
      </c>
      <c r="Q34" s="30">
        <f t="shared" si="24"/>
        <v>-1</v>
      </c>
      <c r="R34" s="30">
        <f t="shared" si="25"/>
        <v>-1.4905111812031573E-08</v>
      </c>
      <c r="S34" s="30">
        <f t="shared" si="26"/>
        <v>-0.9999999999999999</v>
      </c>
      <c r="T34" s="30">
        <f t="shared" si="27"/>
        <v>-1.2251484549086198E-16</v>
      </c>
      <c r="U34" s="30">
        <f t="shared" si="28"/>
        <v>0.9999999999999999</v>
      </c>
      <c r="V34" s="30">
        <f t="shared" si="29"/>
        <v>-1.4905111812031573E-08</v>
      </c>
      <c r="W34" s="30">
        <f t="shared" si="30"/>
        <v>-1.8260974706750705E-24</v>
      </c>
      <c r="X34" s="30">
        <f t="shared" si="31"/>
        <v>0</v>
      </c>
      <c r="Y34" s="31">
        <f t="shared" si="18"/>
        <v>90</v>
      </c>
      <c r="Z34" s="30">
        <f t="shared" si="32"/>
        <v>0</v>
      </c>
      <c r="AA34" s="31">
        <f t="shared" si="20"/>
        <v>90</v>
      </c>
      <c r="AB34" s="30">
        <f t="shared" si="33"/>
        <v>2.237240494710101E-40</v>
      </c>
      <c r="AC34" s="31">
        <f t="shared" si="7"/>
        <v>90</v>
      </c>
    </row>
    <row r="35" spans="3:29" ht="12.75">
      <c r="C35" s="18"/>
      <c r="D35" s="19" t="s">
        <v>515</v>
      </c>
      <c r="E35" s="19" t="s">
        <v>528</v>
      </c>
      <c r="F35" s="19"/>
      <c r="G35" s="20">
        <v>63</v>
      </c>
      <c r="H35" s="20">
        <f ca="1" t="shared" si="0"/>
        <v>306</v>
      </c>
      <c r="I35" s="45">
        <f ca="1" t="shared" si="1"/>
        <v>170.856678</v>
      </c>
      <c r="J35" s="45">
        <f ca="1" t="shared" si="2"/>
        <v>-620.588533</v>
      </c>
      <c r="K35" s="45">
        <f ca="1" t="shared" si="3"/>
        <v>-152.74625</v>
      </c>
      <c r="L35" s="45">
        <f ca="1" t="shared" si="4"/>
        <v>-170</v>
      </c>
      <c r="M35" s="45">
        <f ca="1" t="shared" si="5"/>
        <v>0</v>
      </c>
      <c r="N35" s="45">
        <f ca="1" t="shared" si="6"/>
        <v>-1.79</v>
      </c>
      <c r="O35" s="45">
        <f t="shared" si="22"/>
        <v>0</v>
      </c>
      <c r="P35" s="45">
        <f t="shared" si="23"/>
        <v>-0.17364817766693028</v>
      </c>
      <c r="Q35" s="30">
        <f t="shared" si="24"/>
        <v>-0.984807753012208</v>
      </c>
      <c r="R35" s="30">
        <f t="shared" si="25"/>
        <v>-0.031236311796864077</v>
      </c>
      <c r="S35" s="30">
        <f t="shared" si="26"/>
        <v>-0.984327193767182</v>
      </c>
      <c r="T35" s="30">
        <f t="shared" si="27"/>
        <v>0.1735634421062033</v>
      </c>
      <c r="U35" s="30">
        <f t="shared" si="28"/>
        <v>0.9995120273540129</v>
      </c>
      <c r="V35" s="30">
        <f t="shared" si="29"/>
        <v>-0.03076176203305844</v>
      </c>
      <c r="W35" s="30">
        <f t="shared" si="30"/>
        <v>0.0054241286205614836</v>
      </c>
      <c r="X35" s="30">
        <f t="shared" si="31"/>
        <v>0</v>
      </c>
      <c r="Y35" s="31">
        <f t="shared" si="18"/>
        <v>90</v>
      </c>
      <c r="Z35" s="30">
        <f t="shared" si="32"/>
        <v>0</v>
      </c>
      <c r="AA35" s="31">
        <f t="shared" si="20"/>
        <v>90</v>
      </c>
      <c r="AB35" s="30">
        <f t="shared" si="33"/>
        <v>-4.336808689942018E-18</v>
      </c>
      <c r="AC35" s="31">
        <f t="shared" si="7"/>
        <v>90</v>
      </c>
    </row>
    <row r="36" spans="3:29" ht="12.75">
      <c r="C36" s="18"/>
      <c r="D36" s="19" t="s">
        <v>516</v>
      </c>
      <c r="E36" s="19" t="s">
        <v>528</v>
      </c>
      <c r="F36" s="19"/>
      <c r="G36" s="20">
        <v>67</v>
      </c>
      <c r="H36" s="20">
        <f ca="1" t="shared" si="0"/>
        <v>310</v>
      </c>
      <c r="I36" s="45">
        <f ca="1" t="shared" si="1"/>
        <v>170.856678</v>
      </c>
      <c r="J36" s="45">
        <f ca="1" t="shared" si="2"/>
        <v>-636.663145</v>
      </c>
      <c r="K36" s="45">
        <f ca="1" t="shared" si="3"/>
        <v>-61.582597</v>
      </c>
      <c r="L36" s="45">
        <f ca="1" t="shared" si="4"/>
        <v>170</v>
      </c>
      <c r="M36" s="45">
        <f ca="1" t="shared" si="5"/>
        <v>-45</v>
      </c>
      <c r="N36" s="45">
        <f ca="1" t="shared" si="6"/>
        <v>0</v>
      </c>
      <c r="O36" s="45">
        <f t="shared" si="22"/>
        <v>0.7071067811865475</v>
      </c>
      <c r="P36" s="45">
        <f t="shared" si="23"/>
        <v>0.1227878039689728</v>
      </c>
      <c r="Q36" s="30">
        <f t="shared" si="24"/>
        <v>-0.696364240320019</v>
      </c>
      <c r="R36" s="30">
        <f t="shared" si="25"/>
        <v>0</v>
      </c>
      <c r="S36" s="30">
        <f t="shared" si="26"/>
        <v>-0.984807753012208</v>
      </c>
      <c r="T36" s="30">
        <f t="shared" si="27"/>
        <v>-0.17364817766693028</v>
      </c>
      <c r="U36" s="30">
        <f t="shared" si="28"/>
        <v>0.7071067811865476</v>
      </c>
      <c r="V36" s="30">
        <f t="shared" si="29"/>
        <v>-0.12278780396897278</v>
      </c>
      <c r="W36" s="30">
        <f t="shared" si="30"/>
        <v>0.6963642403200189</v>
      </c>
      <c r="X36" s="30">
        <f t="shared" si="31"/>
        <v>0</v>
      </c>
      <c r="Y36" s="31">
        <f t="shared" si="18"/>
        <v>90</v>
      </c>
      <c r="Z36" s="30">
        <f t="shared" si="32"/>
        <v>0</v>
      </c>
      <c r="AA36" s="31">
        <f t="shared" si="20"/>
        <v>90</v>
      </c>
      <c r="AB36" s="30">
        <f t="shared" si="33"/>
        <v>0</v>
      </c>
      <c r="AC36" s="31">
        <f t="shared" si="7"/>
        <v>90</v>
      </c>
    </row>
    <row r="37" spans="3:29" ht="13.5" thickBot="1">
      <c r="C37" s="14"/>
      <c r="D37" s="15" t="s">
        <v>517</v>
      </c>
      <c r="E37" s="19" t="s">
        <v>528</v>
      </c>
      <c r="F37" s="15" t="s">
        <v>158</v>
      </c>
      <c r="G37" s="20">
        <v>70</v>
      </c>
      <c r="H37" s="20">
        <f ca="1" t="shared" si="0"/>
        <v>313</v>
      </c>
      <c r="I37" s="45">
        <f ca="1" t="shared" si="1"/>
        <v>250.856678</v>
      </c>
      <c r="J37" s="45">
        <f ca="1" t="shared" si="2"/>
        <v>-636.663145</v>
      </c>
      <c r="K37" s="45">
        <f ca="1" t="shared" si="3"/>
        <v>-61.582597</v>
      </c>
      <c r="L37" s="45">
        <f ca="1" t="shared" si="4"/>
        <v>-139.79703</v>
      </c>
      <c r="M37" s="45">
        <f ca="1" t="shared" si="5"/>
        <v>-90</v>
      </c>
      <c r="N37" s="45">
        <f ca="1" t="shared" si="6"/>
        <v>-49.79703</v>
      </c>
      <c r="O37" s="45">
        <f t="shared" si="22"/>
        <v>1</v>
      </c>
      <c r="P37" s="45">
        <f t="shared" si="23"/>
        <v>-3.954149971301882E-17</v>
      </c>
      <c r="Q37" s="30">
        <f t="shared" si="24"/>
        <v>-4.6786126596009E-17</v>
      </c>
      <c r="R37" s="30">
        <f t="shared" si="25"/>
        <v>-4.6786126596009005E-17</v>
      </c>
      <c r="S37" s="30">
        <f t="shared" si="26"/>
        <v>-0.9860133211142263</v>
      </c>
      <c r="T37" s="30">
        <f t="shared" si="27"/>
        <v>-0.16666652508915447</v>
      </c>
      <c r="U37" s="30">
        <f t="shared" si="28"/>
        <v>3.954149971301881E-17</v>
      </c>
      <c r="V37" s="30">
        <f t="shared" si="29"/>
        <v>-0.16666652508915447</v>
      </c>
      <c r="W37" s="30">
        <f t="shared" si="30"/>
        <v>0.9860133211142263</v>
      </c>
      <c r="X37" s="30">
        <f t="shared" si="31"/>
        <v>0</v>
      </c>
      <c r="Y37" s="31">
        <f t="shared" si="18"/>
        <v>90</v>
      </c>
      <c r="Z37" s="30">
        <f t="shared" si="32"/>
        <v>0</v>
      </c>
      <c r="AA37" s="31">
        <f t="shared" si="20"/>
        <v>90</v>
      </c>
      <c r="AB37" s="30">
        <f t="shared" si="33"/>
        <v>0</v>
      </c>
      <c r="AC37" s="31">
        <f t="shared" si="7"/>
        <v>90</v>
      </c>
    </row>
    <row r="38" spans="4:29" ht="13.5" thickBot="1">
      <c r="D38" s="19" t="s">
        <v>506</v>
      </c>
      <c r="E38" s="19" t="s">
        <v>529</v>
      </c>
      <c r="F38" s="19" t="s">
        <v>126</v>
      </c>
      <c r="G38" s="20">
        <v>36</v>
      </c>
      <c r="H38" s="20">
        <f ca="1" t="shared" si="0"/>
        <v>274</v>
      </c>
      <c r="I38" s="45">
        <f ca="1" t="shared" si="1"/>
        <v>170.856678</v>
      </c>
      <c r="J38" s="45">
        <f ca="1" t="shared" si="2"/>
        <v>-234.578533</v>
      </c>
      <c r="K38" s="45">
        <f ca="1" t="shared" si="3"/>
        <v>-171.504361</v>
      </c>
      <c r="L38" s="45">
        <f ca="1" t="shared" si="4"/>
        <v>-10</v>
      </c>
      <c r="M38" s="45">
        <f ca="1" t="shared" si="5"/>
        <v>0</v>
      </c>
      <c r="N38" s="45">
        <f ca="1" t="shared" si="6"/>
        <v>-6.22</v>
      </c>
      <c r="O38" s="45">
        <f t="shared" si="22"/>
        <v>0</v>
      </c>
      <c r="P38" s="45">
        <f t="shared" si="23"/>
        <v>-0.17364817766693033</v>
      </c>
      <c r="Q38" s="30">
        <f t="shared" si="24"/>
        <v>0.984807753012208</v>
      </c>
      <c r="R38" s="30">
        <f t="shared" si="25"/>
        <v>-0.10834637327094243</v>
      </c>
      <c r="S38" s="30">
        <f t="shared" si="26"/>
        <v>0.9790103911821212</v>
      </c>
      <c r="T38" s="30">
        <f t="shared" si="27"/>
        <v>0.17262594635935663</v>
      </c>
      <c r="U38" s="30">
        <f t="shared" si="28"/>
        <v>0.9941132045189992</v>
      </c>
      <c r="V38" s="30">
        <f t="shared" si="29"/>
        <v>0.10670034840797878</v>
      </c>
      <c r="W38" s="30">
        <f t="shared" si="30"/>
        <v>0.018814150275320164</v>
      </c>
      <c r="X38" s="30">
        <f t="shared" si="31"/>
        <v>0</v>
      </c>
      <c r="Y38" s="31">
        <f t="shared" si="18"/>
        <v>90</v>
      </c>
      <c r="Z38" s="30">
        <f t="shared" si="32"/>
        <v>0</v>
      </c>
      <c r="AA38" s="31">
        <f t="shared" si="20"/>
        <v>90</v>
      </c>
      <c r="AB38" s="30">
        <f t="shared" si="33"/>
        <v>-8.239936510889834E-18</v>
      </c>
      <c r="AC38" s="31">
        <f t="shared" si="7"/>
        <v>90</v>
      </c>
    </row>
    <row r="39" spans="3:29" ht="12.75">
      <c r="C39" s="10" t="s">
        <v>518</v>
      </c>
      <c r="D39" s="11" t="s">
        <v>508</v>
      </c>
      <c r="E39" s="11" t="s">
        <v>529</v>
      </c>
      <c r="F39" s="11" t="s">
        <v>157</v>
      </c>
      <c r="G39" s="20">
        <v>39</v>
      </c>
      <c r="H39" s="20">
        <f ca="1" t="shared" si="0"/>
        <v>277</v>
      </c>
      <c r="I39" s="45">
        <f ca="1" t="shared" si="1"/>
        <v>170.856678</v>
      </c>
      <c r="J39" s="45">
        <f ca="1" t="shared" si="2"/>
        <v>-321.398533</v>
      </c>
      <c r="K39" s="45">
        <f ca="1" t="shared" si="3"/>
        <v>-21.12771</v>
      </c>
      <c r="L39" s="45">
        <f ca="1" t="shared" si="4"/>
        <v>0</v>
      </c>
      <c r="M39" s="45">
        <f ca="1" t="shared" si="5"/>
        <v>0</v>
      </c>
      <c r="N39" s="45">
        <f ca="1" t="shared" si="6"/>
        <v>0</v>
      </c>
      <c r="O39" s="45">
        <f t="shared" si="22"/>
        <v>0</v>
      </c>
      <c r="P39" s="45">
        <f t="shared" si="23"/>
        <v>0</v>
      </c>
      <c r="Q39" s="30">
        <f t="shared" si="24"/>
        <v>1</v>
      </c>
      <c r="R39" s="30">
        <f t="shared" si="25"/>
        <v>0</v>
      </c>
      <c r="S39" s="30">
        <f t="shared" si="26"/>
        <v>1</v>
      </c>
      <c r="T39" s="30">
        <f t="shared" si="27"/>
        <v>0</v>
      </c>
      <c r="U39" s="30">
        <f t="shared" si="28"/>
        <v>1</v>
      </c>
      <c r="V39" s="30">
        <f t="shared" si="29"/>
        <v>0</v>
      </c>
      <c r="W39" s="30">
        <f t="shared" si="30"/>
        <v>0</v>
      </c>
      <c r="X39" s="30">
        <f t="shared" si="31"/>
        <v>0</v>
      </c>
      <c r="Y39" s="31">
        <f t="shared" si="18"/>
        <v>90</v>
      </c>
      <c r="Z39" s="30">
        <f t="shared" si="32"/>
        <v>0</v>
      </c>
      <c r="AA39" s="31">
        <f t="shared" si="20"/>
        <v>90</v>
      </c>
      <c r="AB39" s="30">
        <f t="shared" si="33"/>
        <v>0</v>
      </c>
      <c r="AC39" s="31">
        <f t="shared" si="7"/>
        <v>90</v>
      </c>
    </row>
    <row r="40" spans="3:29" ht="12.75">
      <c r="C40" s="18"/>
      <c r="D40" s="19" t="s">
        <v>519</v>
      </c>
      <c r="E40" s="19" t="s">
        <v>529</v>
      </c>
      <c r="F40" s="19"/>
      <c r="G40" s="20">
        <v>43</v>
      </c>
      <c r="H40" s="20">
        <f ca="1" t="shared" si="0"/>
        <v>281</v>
      </c>
      <c r="I40" s="45">
        <f ca="1" t="shared" si="1"/>
        <v>170.856678</v>
      </c>
      <c r="J40" s="45">
        <f ca="1" t="shared" si="2"/>
        <v>-407.998533</v>
      </c>
      <c r="K40" s="45">
        <f ca="1" t="shared" si="3"/>
        <v>128.86789</v>
      </c>
      <c r="L40" s="45">
        <f ca="1" t="shared" si="4"/>
        <v>-15</v>
      </c>
      <c r="M40" s="45">
        <f ca="1" t="shared" si="5"/>
        <v>0</v>
      </c>
      <c r="N40" s="45">
        <f ca="1" t="shared" si="6"/>
        <v>0</v>
      </c>
      <c r="O40" s="45">
        <f t="shared" si="22"/>
        <v>0</v>
      </c>
      <c r="P40" s="45">
        <f t="shared" si="23"/>
        <v>-0.25881904510252074</v>
      </c>
      <c r="Q40" s="30">
        <f t="shared" si="24"/>
        <v>0.9659258262890683</v>
      </c>
      <c r="R40" s="30">
        <f t="shared" si="25"/>
        <v>0</v>
      </c>
      <c r="S40" s="30">
        <f t="shared" si="26"/>
        <v>0.9659258262890683</v>
      </c>
      <c r="T40" s="30">
        <f t="shared" si="27"/>
        <v>0.25881904510252074</v>
      </c>
      <c r="U40" s="30">
        <f t="shared" si="28"/>
        <v>1</v>
      </c>
      <c r="V40" s="30">
        <f t="shared" si="29"/>
        <v>0</v>
      </c>
      <c r="W40" s="30">
        <f t="shared" si="30"/>
        <v>0</v>
      </c>
      <c r="X40" s="30">
        <f t="shared" si="31"/>
        <v>0</v>
      </c>
      <c r="Y40" s="31">
        <f t="shared" si="18"/>
        <v>90</v>
      </c>
      <c r="Z40" s="30">
        <f t="shared" si="32"/>
        <v>0</v>
      </c>
      <c r="AA40" s="31">
        <f t="shared" si="20"/>
        <v>90</v>
      </c>
      <c r="AB40" s="30">
        <f t="shared" si="33"/>
        <v>0</v>
      </c>
      <c r="AC40" s="31">
        <f t="shared" si="7"/>
        <v>90</v>
      </c>
    </row>
    <row r="41" spans="3:29" ht="12.75">
      <c r="C41" s="18"/>
      <c r="D41" s="19" t="s">
        <v>520</v>
      </c>
      <c r="E41" s="19" t="s">
        <v>529</v>
      </c>
      <c r="F41" s="19"/>
      <c r="G41" s="20">
        <v>46</v>
      </c>
      <c r="H41" s="20">
        <f ca="1" t="shared" si="0"/>
        <v>284</v>
      </c>
      <c r="I41" s="45">
        <f ca="1" t="shared" si="1"/>
        <v>170.856678</v>
      </c>
      <c r="J41" s="45">
        <f ca="1" t="shared" si="2"/>
        <v>-407.998533</v>
      </c>
      <c r="K41" s="45">
        <f ca="1" t="shared" si="3"/>
        <v>3.86789</v>
      </c>
      <c r="L41" s="45">
        <f ca="1" t="shared" si="4"/>
        <v>-45</v>
      </c>
      <c r="M41" s="45">
        <f ca="1" t="shared" si="5"/>
        <v>0</v>
      </c>
      <c r="N41" s="45">
        <f ca="1" t="shared" si="6"/>
        <v>0</v>
      </c>
      <c r="O41" s="45">
        <f t="shared" si="22"/>
        <v>0</v>
      </c>
      <c r="P41" s="45">
        <f t="shared" si="23"/>
        <v>-0.7071067811865475</v>
      </c>
      <c r="Q41" s="30">
        <f t="shared" si="24"/>
        <v>0.7071067811865476</v>
      </c>
      <c r="R41" s="30">
        <f t="shared" si="25"/>
        <v>0</v>
      </c>
      <c r="S41" s="30">
        <f t="shared" si="26"/>
        <v>0.7071067811865476</v>
      </c>
      <c r="T41" s="30">
        <f t="shared" si="27"/>
        <v>0.7071067811865475</v>
      </c>
      <c r="U41" s="30">
        <f t="shared" si="28"/>
        <v>1</v>
      </c>
      <c r="V41" s="30">
        <f t="shared" si="29"/>
        <v>0</v>
      </c>
      <c r="W41" s="30">
        <f t="shared" si="30"/>
        <v>0</v>
      </c>
      <c r="X41" s="30">
        <f t="shared" si="31"/>
        <v>0</v>
      </c>
      <c r="Y41" s="31">
        <f t="shared" si="18"/>
        <v>90</v>
      </c>
      <c r="Z41" s="30">
        <f t="shared" si="32"/>
        <v>0</v>
      </c>
      <c r="AA41" s="31">
        <f t="shared" si="20"/>
        <v>90</v>
      </c>
      <c r="AB41" s="30">
        <f t="shared" si="33"/>
        <v>0</v>
      </c>
      <c r="AC41" s="31">
        <f t="shared" si="7"/>
        <v>90</v>
      </c>
    </row>
    <row r="42" spans="3:29" ht="12.75">
      <c r="C42" s="18"/>
      <c r="D42" s="19" t="s">
        <v>521</v>
      </c>
      <c r="E42" s="19" t="s">
        <v>529</v>
      </c>
      <c r="F42" s="19"/>
      <c r="G42" s="20">
        <v>51</v>
      </c>
      <c r="H42" s="20">
        <f ca="1" t="shared" si="0"/>
        <v>289</v>
      </c>
      <c r="I42" s="45">
        <f ca="1" t="shared" si="1"/>
        <v>170.856678</v>
      </c>
      <c r="J42" s="45">
        <f ca="1" t="shared" si="2"/>
        <v>-457.998533</v>
      </c>
      <c r="K42" s="45">
        <f ca="1" t="shared" si="3"/>
        <v>3.86789</v>
      </c>
      <c r="L42" s="45">
        <f ca="1" t="shared" si="4"/>
        <v>-135</v>
      </c>
      <c r="M42" s="45">
        <f ca="1" t="shared" si="5"/>
        <v>-45</v>
      </c>
      <c r="N42" s="45">
        <f ca="1" t="shared" si="6"/>
        <v>0</v>
      </c>
      <c r="O42" s="45">
        <f t="shared" si="22"/>
        <v>0.7071067811865475</v>
      </c>
      <c r="P42" s="45">
        <f t="shared" si="23"/>
        <v>-0.5000000000000001</v>
      </c>
      <c r="Q42" s="30">
        <f t="shared" si="24"/>
        <v>-0.5</v>
      </c>
      <c r="R42" s="30">
        <f t="shared" si="25"/>
        <v>0</v>
      </c>
      <c r="S42" s="30">
        <f t="shared" si="26"/>
        <v>-0.7071067811865475</v>
      </c>
      <c r="T42" s="30">
        <f t="shared" si="27"/>
        <v>0.7071067811865476</v>
      </c>
      <c r="U42" s="30">
        <f t="shared" si="28"/>
        <v>0.7071067811865476</v>
      </c>
      <c r="V42" s="30">
        <f t="shared" si="29"/>
        <v>0.5</v>
      </c>
      <c r="W42" s="30">
        <f t="shared" si="30"/>
        <v>0.4999999999999999</v>
      </c>
      <c r="X42" s="30">
        <f t="shared" si="31"/>
        <v>0</v>
      </c>
      <c r="Y42" s="31">
        <f t="shared" si="18"/>
        <v>90</v>
      </c>
      <c r="Z42" s="30">
        <f t="shared" si="32"/>
        <v>0</v>
      </c>
      <c r="AA42" s="31">
        <f t="shared" si="20"/>
        <v>90</v>
      </c>
      <c r="AB42" s="30">
        <f t="shared" si="33"/>
        <v>0</v>
      </c>
      <c r="AC42" s="31">
        <f t="shared" si="7"/>
        <v>90</v>
      </c>
    </row>
    <row r="43" spans="3:29" ht="12.75">
      <c r="C43" s="18"/>
      <c r="D43" s="19" t="s">
        <v>522</v>
      </c>
      <c r="E43" s="19" t="s">
        <v>529</v>
      </c>
      <c r="F43" s="19"/>
      <c r="G43" s="20">
        <v>53</v>
      </c>
      <c r="H43" s="20">
        <f ca="1" t="shared" si="0"/>
        <v>291</v>
      </c>
      <c r="I43" s="45">
        <f ca="1" t="shared" si="1"/>
        <v>170.856678</v>
      </c>
      <c r="J43" s="45">
        <f ca="1" t="shared" si="2"/>
        <v>-457.998533</v>
      </c>
      <c r="K43" s="45">
        <f ca="1" t="shared" si="3"/>
        <v>3.86789</v>
      </c>
      <c r="L43" s="45">
        <f ca="1" t="shared" si="4"/>
        <v>-135</v>
      </c>
      <c r="M43" s="45">
        <f ca="1" t="shared" si="5"/>
        <v>45</v>
      </c>
      <c r="N43" s="45">
        <f ca="1" t="shared" si="6"/>
        <v>0</v>
      </c>
      <c r="O43" s="45">
        <f t="shared" si="22"/>
        <v>-0.7071067811865475</v>
      </c>
      <c r="P43" s="45">
        <f t="shared" si="23"/>
        <v>-0.5000000000000001</v>
      </c>
      <c r="Q43" s="30">
        <f t="shared" si="24"/>
        <v>-0.5</v>
      </c>
      <c r="R43" s="30">
        <f t="shared" si="25"/>
        <v>0</v>
      </c>
      <c r="S43" s="30">
        <f t="shared" si="26"/>
        <v>-0.7071067811865475</v>
      </c>
      <c r="T43" s="30">
        <f t="shared" si="27"/>
        <v>0.7071067811865476</v>
      </c>
      <c r="U43" s="30">
        <f t="shared" si="28"/>
        <v>0.7071067811865476</v>
      </c>
      <c r="V43" s="30">
        <f t="shared" si="29"/>
        <v>-0.5</v>
      </c>
      <c r="W43" s="30">
        <f t="shared" si="30"/>
        <v>-0.4999999999999999</v>
      </c>
      <c r="X43" s="30">
        <f t="shared" si="31"/>
        <v>0</v>
      </c>
      <c r="Y43" s="31">
        <f t="shared" si="18"/>
        <v>90</v>
      </c>
      <c r="Z43" s="30">
        <f t="shared" si="32"/>
        <v>0</v>
      </c>
      <c r="AA43" s="31">
        <f t="shared" si="20"/>
        <v>90</v>
      </c>
      <c r="AB43" s="30">
        <f t="shared" si="33"/>
        <v>0</v>
      </c>
      <c r="AC43" s="31">
        <f t="shared" si="7"/>
        <v>90</v>
      </c>
    </row>
    <row r="44" spans="3:29" ht="12.75">
      <c r="C44" s="18"/>
      <c r="D44" s="19" t="s">
        <v>523</v>
      </c>
      <c r="E44" s="19" t="s">
        <v>529</v>
      </c>
      <c r="F44" s="19"/>
      <c r="G44" s="20">
        <v>56</v>
      </c>
      <c r="H44" s="20">
        <f ca="1" t="shared" si="0"/>
        <v>294</v>
      </c>
      <c r="I44" s="45">
        <f ca="1" t="shared" si="1"/>
        <v>170.856678</v>
      </c>
      <c r="J44" s="45">
        <f ca="1" t="shared" si="2"/>
        <v>-457.998533</v>
      </c>
      <c r="K44" s="45">
        <f ca="1" t="shared" si="3"/>
        <v>128.86789</v>
      </c>
      <c r="L44" s="45">
        <f ca="1" t="shared" si="4"/>
        <v>-165</v>
      </c>
      <c r="M44" s="45">
        <f ca="1" t="shared" si="5"/>
        <v>0</v>
      </c>
      <c r="N44" s="45">
        <f ca="1" t="shared" si="6"/>
        <v>0</v>
      </c>
      <c r="O44" s="45">
        <f t="shared" si="22"/>
        <v>0</v>
      </c>
      <c r="P44" s="45">
        <f t="shared" si="23"/>
        <v>-0.258819045102521</v>
      </c>
      <c r="Q44" s="30">
        <f t="shared" si="24"/>
        <v>-0.9659258262890682</v>
      </c>
      <c r="R44" s="30">
        <f t="shared" si="25"/>
        <v>0</v>
      </c>
      <c r="S44" s="30">
        <f t="shared" si="26"/>
        <v>-0.9659258262890682</v>
      </c>
      <c r="T44" s="30">
        <f t="shared" si="27"/>
        <v>0.258819045102521</v>
      </c>
      <c r="U44" s="30">
        <f t="shared" si="28"/>
        <v>1</v>
      </c>
      <c r="V44" s="30">
        <f t="shared" si="29"/>
        <v>0</v>
      </c>
      <c r="W44" s="30">
        <f t="shared" si="30"/>
        <v>0</v>
      </c>
      <c r="X44" s="30">
        <f t="shared" si="31"/>
        <v>0</v>
      </c>
      <c r="Y44" s="31">
        <f t="shared" si="18"/>
        <v>90</v>
      </c>
      <c r="Z44" s="30">
        <f t="shared" si="32"/>
        <v>0</v>
      </c>
      <c r="AA44" s="31">
        <f t="shared" si="20"/>
        <v>90</v>
      </c>
      <c r="AB44" s="30">
        <f t="shared" si="33"/>
        <v>0</v>
      </c>
      <c r="AC44" s="31">
        <f t="shared" si="7"/>
        <v>90</v>
      </c>
    </row>
    <row r="45" spans="3:29" ht="12.75">
      <c r="C45" s="18"/>
      <c r="D45" s="19" t="s">
        <v>514</v>
      </c>
      <c r="E45" s="19" t="s">
        <v>529</v>
      </c>
      <c r="F45" s="19"/>
      <c r="G45" s="20">
        <v>60</v>
      </c>
      <c r="H45" s="20">
        <f ca="1" t="shared" si="0"/>
        <v>298</v>
      </c>
      <c r="I45" s="45">
        <f ca="1" t="shared" si="1"/>
        <v>170.856678</v>
      </c>
      <c r="J45" s="45">
        <f ca="1" t="shared" si="2"/>
        <v>-544.598533</v>
      </c>
      <c r="K45" s="45">
        <f ca="1" t="shared" si="3"/>
        <v>-21.12771</v>
      </c>
      <c r="L45" s="45">
        <f ca="1" t="shared" si="4"/>
        <v>180</v>
      </c>
      <c r="M45" s="45">
        <f ca="1" t="shared" si="5"/>
        <v>0</v>
      </c>
      <c r="N45" s="45">
        <f ca="1" t="shared" si="6"/>
        <v>-8.54E-07</v>
      </c>
      <c r="O45" s="45">
        <f t="shared" si="22"/>
        <v>0</v>
      </c>
      <c r="P45" s="45">
        <f t="shared" si="23"/>
        <v>1.22514845490862E-16</v>
      </c>
      <c r="Q45" s="30">
        <f t="shared" si="24"/>
        <v>-1</v>
      </c>
      <c r="R45" s="30">
        <f t="shared" si="25"/>
        <v>-1.4905111812031573E-08</v>
      </c>
      <c r="S45" s="30">
        <f t="shared" si="26"/>
        <v>-0.9999999999999999</v>
      </c>
      <c r="T45" s="30">
        <f t="shared" si="27"/>
        <v>-1.2251484549086198E-16</v>
      </c>
      <c r="U45" s="30">
        <f t="shared" si="28"/>
        <v>0.9999999999999999</v>
      </c>
      <c r="V45" s="30">
        <f t="shared" si="29"/>
        <v>-1.4905111812031573E-08</v>
      </c>
      <c r="W45" s="30">
        <f t="shared" si="30"/>
        <v>-1.8260974706750705E-24</v>
      </c>
      <c r="X45" s="30">
        <f t="shared" si="31"/>
        <v>0</v>
      </c>
      <c r="Y45" s="31">
        <f t="shared" si="18"/>
        <v>90</v>
      </c>
      <c r="Z45" s="30">
        <f t="shared" si="32"/>
        <v>0</v>
      </c>
      <c r="AA45" s="31">
        <f t="shared" si="20"/>
        <v>90</v>
      </c>
      <c r="AB45" s="30">
        <f t="shared" si="33"/>
        <v>2.237240494710101E-40</v>
      </c>
      <c r="AC45" s="31">
        <f t="shared" si="7"/>
        <v>90</v>
      </c>
    </row>
    <row r="46" spans="3:29" ht="12.75">
      <c r="C46" s="18"/>
      <c r="D46" s="19" t="s">
        <v>524</v>
      </c>
      <c r="E46" s="19" t="s">
        <v>529</v>
      </c>
      <c r="F46" s="19"/>
      <c r="G46" s="20">
        <v>63</v>
      </c>
      <c r="H46" s="20">
        <f ca="1" t="shared" si="0"/>
        <v>301</v>
      </c>
      <c r="I46" s="45">
        <f ca="1" t="shared" si="1"/>
        <v>170.856678</v>
      </c>
      <c r="J46" s="45">
        <f ca="1" t="shared" si="2"/>
        <v>-620.588533</v>
      </c>
      <c r="K46" s="45">
        <f ca="1" t="shared" si="3"/>
        <v>110.490831</v>
      </c>
      <c r="L46" s="45">
        <f ca="1" t="shared" si="4"/>
        <v>170</v>
      </c>
      <c r="M46" s="45">
        <f ca="1" t="shared" si="5"/>
        <v>0</v>
      </c>
      <c r="N46" s="45">
        <f ca="1" t="shared" si="6"/>
        <v>-1.79</v>
      </c>
      <c r="O46" s="45">
        <f t="shared" si="22"/>
        <v>0</v>
      </c>
      <c r="P46" s="45">
        <f t="shared" si="23"/>
        <v>0.17364817766693028</v>
      </c>
      <c r="Q46" s="30">
        <f t="shared" si="24"/>
        <v>-0.984807753012208</v>
      </c>
      <c r="R46" s="30">
        <f t="shared" si="25"/>
        <v>-0.031236311796864077</v>
      </c>
      <c r="S46" s="30">
        <f t="shared" si="26"/>
        <v>-0.984327193767182</v>
      </c>
      <c r="T46" s="30">
        <f t="shared" si="27"/>
        <v>-0.1735634421062033</v>
      </c>
      <c r="U46" s="30">
        <f t="shared" si="28"/>
        <v>0.9995120273540129</v>
      </c>
      <c r="V46" s="30">
        <f t="shared" si="29"/>
        <v>-0.03076176203305844</v>
      </c>
      <c r="W46" s="30">
        <f t="shared" si="30"/>
        <v>-0.0054241286205614836</v>
      </c>
      <c r="X46" s="30">
        <f t="shared" si="31"/>
        <v>0</v>
      </c>
      <c r="Y46" s="31">
        <f t="shared" si="18"/>
        <v>90</v>
      </c>
      <c r="Z46" s="30">
        <f t="shared" si="32"/>
        <v>0</v>
      </c>
      <c r="AA46" s="31">
        <f t="shared" si="20"/>
        <v>90</v>
      </c>
      <c r="AB46" s="30">
        <f t="shared" si="33"/>
        <v>-4.336808689942018E-18</v>
      </c>
      <c r="AC46" s="31">
        <f t="shared" si="7"/>
        <v>90</v>
      </c>
    </row>
    <row r="47" spans="3:29" ht="12.75">
      <c r="C47" s="18"/>
      <c r="D47" s="19" t="s">
        <v>525</v>
      </c>
      <c r="E47" s="19" t="s">
        <v>529</v>
      </c>
      <c r="F47" s="19"/>
      <c r="G47" s="20">
        <v>67</v>
      </c>
      <c r="H47" s="20">
        <f ca="1" t="shared" si="0"/>
        <v>305</v>
      </c>
      <c r="I47" s="45">
        <f ca="1" t="shared" si="1"/>
        <v>170.856678</v>
      </c>
      <c r="J47" s="45">
        <f ca="1" t="shared" si="2"/>
        <v>-636.663145</v>
      </c>
      <c r="K47" s="45">
        <f ca="1" t="shared" si="3"/>
        <v>19.327177</v>
      </c>
      <c r="L47" s="45">
        <f ca="1" t="shared" si="4"/>
        <v>-170</v>
      </c>
      <c r="M47" s="45">
        <f ca="1" t="shared" si="5"/>
        <v>45</v>
      </c>
      <c r="N47" s="45">
        <f ca="1" t="shared" si="6"/>
        <v>0</v>
      </c>
      <c r="O47" s="45">
        <f t="shared" si="22"/>
        <v>-0.7071067811865475</v>
      </c>
      <c r="P47" s="45">
        <f t="shared" si="23"/>
        <v>-0.1227878039689728</v>
      </c>
      <c r="Q47" s="30">
        <f t="shared" si="24"/>
        <v>-0.696364240320019</v>
      </c>
      <c r="R47" s="30">
        <f t="shared" si="25"/>
        <v>0</v>
      </c>
      <c r="S47" s="30">
        <f t="shared" si="26"/>
        <v>-0.984807753012208</v>
      </c>
      <c r="T47" s="30">
        <f t="shared" si="27"/>
        <v>0.17364817766693028</v>
      </c>
      <c r="U47" s="30">
        <f t="shared" si="28"/>
        <v>0.7071067811865476</v>
      </c>
      <c r="V47" s="30">
        <f t="shared" si="29"/>
        <v>-0.12278780396897278</v>
      </c>
      <c r="W47" s="30">
        <f t="shared" si="30"/>
        <v>-0.6963642403200189</v>
      </c>
      <c r="X47" s="30">
        <f t="shared" si="31"/>
        <v>0</v>
      </c>
      <c r="Y47" s="31">
        <f t="shared" si="18"/>
        <v>90</v>
      </c>
      <c r="Z47" s="30">
        <f t="shared" si="32"/>
        <v>0</v>
      </c>
      <c r="AA47" s="31">
        <f t="shared" si="20"/>
        <v>90</v>
      </c>
      <c r="AB47" s="30">
        <f t="shared" si="33"/>
        <v>0</v>
      </c>
      <c r="AC47" s="31">
        <f t="shared" si="7"/>
        <v>90</v>
      </c>
    </row>
    <row r="48" spans="3:29" ht="13.5" thickBot="1">
      <c r="C48" s="14"/>
      <c r="D48" s="15" t="s">
        <v>526</v>
      </c>
      <c r="E48" s="15" t="s">
        <v>529</v>
      </c>
      <c r="F48" s="15" t="s">
        <v>158</v>
      </c>
      <c r="G48" s="20">
        <v>70</v>
      </c>
      <c r="H48" s="20">
        <f ca="1" t="shared" si="0"/>
        <v>308</v>
      </c>
      <c r="I48" s="45">
        <f ca="1" t="shared" si="1"/>
        <v>250.856678</v>
      </c>
      <c r="J48" s="45">
        <f ca="1" t="shared" si="2"/>
        <v>-636.663145</v>
      </c>
      <c r="K48" s="45">
        <f ca="1" t="shared" si="3"/>
        <v>19.327177</v>
      </c>
      <c r="L48" s="45">
        <f ca="1" t="shared" si="4"/>
        <v>82.43122</v>
      </c>
      <c r="M48" s="45">
        <f ca="1" t="shared" si="5"/>
        <v>90</v>
      </c>
      <c r="N48" s="45">
        <f ca="1" t="shared" si="6"/>
        <v>-108.3757</v>
      </c>
      <c r="O48" s="45">
        <f t="shared" si="22"/>
        <v>-1</v>
      </c>
      <c r="P48" s="45">
        <f t="shared" si="23"/>
        <v>6.072371490880867E-17</v>
      </c>
      <c r="Q48" s="30">
        <f t="shared" si="24"/>
        <v>8.06859895435232E-18</v>
      </c>
      <c r="R48" s="30">
        <f t="shared" si="25"/>
        <v>-5.813389437311769E-17</v>
      </c>
      <c r="S48" s="30">
        <f t="shared" si="26"/>
        <v>-0.9822646122518143</v>
      </c>
      <c r="T48" s="30">
        <f t="shared" si="27"/>
        <v>0.1874999507141085</v>
      </c>
      <c r="U48" s="30">
        <f t="shared" si="28"/>
        <v>-1.9311192775891474E-17</v>
      </c>
      <c r="V48" s="30">
        <f t="shared" si="29"/>
        <v>-0.1874999507141085</v>
      </c>
      <c r="W48" s="30">
        <f t="shared" si="30"/>
        <v>-0.9822646122518143</v>
      </c>
      <c r="X48" s="30">
        <f t="shared" si="31"/>
        <v>-7.125940794232773E-33</v>
      </c>
      <c r="Y48" s="31">
        <f t="shared" si="18"/>
        <v>90</v>
      </c>
      <c r="Z48" s="30">
        <f t="shared" si="32"/>
        <v>0</v>
      </c>
      <c r="AA48" s="31">
        <f t="shared" si="20"/>
        <v>90</v>
      </c>
      <c r="AB48" s="30">
        <f t="shared" si="33"/>
        <v>0</v>
      </c>
      <c r="AC48" s="31">
        <f t="shared" si="7"/>
        <v>90</v>
      </c>
    </row>
    <row r="49" spans="5:16" ht="12.75">
      <c r="E49" s="19"/>
      <c r="F49" s="19"/>
      <c r="L49" s="87"/>
      <c r="O49" s="62"/>
      <c r="P49" s="62"/>
    </row>
    <row r="50" spans="5:16" ht="12.75">
      <c r="E50" s="19"/>
      <c r="F50" s="19"/>
      <c r="L50" s="87"/>
      <c r="O50" s="62"/>
      <c r="P50" s="62"/>
    </row>
    <row r="51" spans="3:16" ht="12.75">
      <c r="C51" s="23" t="s">
        <v>135</v>
      </c>
      <c r="D51" s="1"/>
      <c r="L51" s="87"/>
      <c r="O51" s="62"/>
      <c r="P51" s="62"/>
    </row>
    <row r="52" spans="3:16" ht="12.75">
      <c r="C52" s="1" t="s">
        <v>17</v>
      </c>
      <c r="D52" s="1" t="str">
        <f>"-Zsyno"</f>
        <v>-Zsyno</v>
      </c>
      <c r="E52" s="1" t="s">
        <v>128</v>
      </c>
      <c r="L52" s="87"/>
      <c r="O52" s="62"/>
      <c r="P52" s="62"/>
    </row>
    <row r="53" spans="3:16" ht="12.75">
      <c r="C53" s="1" t="s">
        <v>80</v>
      </c>
      <c r="D53" s="1" t="s">
        <v>131</v>
      </c>
      <c r="E53" s="1" t="s">
        <v>129</v>
      </c>
      <c r="L53" s="87"/>
      <c r="O53" s="62"/>
      <c r="P53" s="62"/>
    </row>
    <row r="54" spans="3:16" ht="12.75">
      <c r="C54" s="1" t="s">
        <v>81</v>
      </c>
      <c r="D54" s="1" t="s">
        <v>132</v>
      </c>
      <c r="E54" s="1" t="s">
        <v>130</v>
      </c>
      <c r="L54" s="87"/>
      <c r="O54" s="62"/>
      <c r="P54" s="62"/>
    </row>
    <row r="55" spans="5:16" ht="12.75">
      <c r="E55" s="19"/>
      <c r="F55" s="19"/>
      <c r="L55" s="87"/>
      <c r="O55" s="62"/>
      <c r="P55" s="62"/>
    </row>
  </sheetData>
  <printOptions/>
  <pageMargins left="0.6" right="0.4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AD57"/>
  <sheetViews>
    <sheetView workbookViewId="0" topLeftCell="A1">
      <pane ySplit="8325" topLeftCell="BM47" activePane="topLeft" state="split"/>
      <selection pane="topLeft" activeCell="A5" sqref="A5:B15"/>
      <selection pane="bottomLeft" activeCell="A49" sqref="A49:IV52"/>
    </sheetView>
  </sheetViews>
  <sheetFormatPr defaultColWidth="12" defaultRowHeight="12.75"/>
  <cols>
    <col min="1" max="2" width="12" style="1" customWidth="1"/>
    <col min="3" max="3" width="20.16015625" style="1" customWidth="1"/>
    <col min="4" max="6" width="12" style="1" customWidth="1"/>
    <col min="7" max="15" width="12.16015625" style="89" customWidth="1"/>
    <col min="16" max="21" width="12.16015625" style="97" customWidth="1"/>
    <col min="22" max="24" width="10.83203125" style="9" customWidth="1"/>
    <col min="25" max="16384" width="12" style="1" customWidth="1"/>
  </cols>
  <sheetData>
    <row r="1" spans="3:24" s="5" customFormat="1" ht="12.75">
      <c r="C1" s="5" t="s">
        <v>127</v>
      </c>
      <c r="D1" s="5" t="s">
        <v>2</v>
      </c>
      <c r="E1" s="5" t="s">
        <v>530</v>
      </c>
      <c r="F1" s="5" t="s">
        <v>156</v>
      </c>
      <c r="G1" s="85" t="str">
        <f>Axe&amp;Syst&amp;Ray</f>
        <v>XPhotGut</v>
      </c>
      <c r="H1" s="85" t="str">
        <f aca="true" t="shared" si="0" ref="H1:U1">Axe&amp;Syst&amp;Ray</f>
        <v>YPhotGut</v>
      </c>
      <c r="I1" s="85" t="str">
        <f t="shared" si="0"/>
        <v>ZPhotGut</v>
      </c>
      <c r="J1" s="85" t="str">
        <f t="shared" si="0"/>
        <v>XSpecUpGut</v>
      </c>
      <c r="K1" s="85" t="str">
        <f t="shared" si="0"/>
        <v>YSpecUpGut</v>
      </c>
      <c r="L1" s="85" t="str">
        <f t="shared" si="0"/>
        <v>ZSpecUpGut</v>
      </c>
      <c r="M1" s="85" t="str">
        <f t="shared" si="0"/>
        <v>XSpecLoGut</v>
      </c>
      <c r="N1" s="85" t="str">
        <f t="shared" si="0"/>
        <v>YSpecLoGut</v>
      </c>
      <c r="O1" s="85" t="str">
        <f t="shared" si="0"/>
        <v>ZSpecLoGut</v>
      </c>
      <c r="P1" s="85" t="str">
        <f t="shared" si="0"/>
        <v>XM3Cent</v>
      </c>
      <c r="Q1" s="85" t="str">
        <f t="shared" si="0"/>
        <v>YM3Cent</v>
      </c>
      <c r="R1" s="85" t="str">
        <f t="shared" si="0"/>
        <v>ZM3Cent</v>
      </c>
      <c r="S1" s="85" t="str">
        <f t="shared" si="0"/>
        <v>XM5Cent</v>
      </c>
      <c r="T1" s="85" t="str">
        <f t="shared" si="0"/>
        <v>YM5Cent</v>
      </c>
      <c r="U1" s="85" t="str">
        <f t="shared" si="0"/>
        <v>ZM5Cent</v>
      </c>
      <c r="V1" s="7"/>
      <c r="W1" s="7"/>
      <c r="X1" s="7"/>
    </row>
    <row r="2" spans="4:30" ht="13.5" thickBot="1">
      <c r="D2" s="1" t="s">
        <v>91</v>
      </c>
      <c r="E2" s="1" t="s">
        <v>546</v>
      </c>
      <c r="F2" s="1" t="s">
        <v>126</v>
      </c>
      <c r="G2" s="9">
        <f aca="true" ca="1" t="shared" si="1" ref="G2:U11">IF(OR(System="Common",System=Syst,Ray="Cent"),INDIRECT(Axe&amp;"0")+INDIRECT(Axe&amp;"fact")*INDIRECT("RayImpactsSyno!"&amp;AxeSyno&amp;Syst&amp;Ray),"")</f>
        <v>3252</v>
      </c>
      <c r="H2" s="9">
        <f ca="1" t="shared" si="1"/>
        <v>0</v>
      </c>
      <c r="I2" s="9">
        <f ca="1" t="shared" si="1"/>
        <v>61.176845</v>
      </c>
      <c r="J2" s="9">
        <f ca="1" t="shared" si="1"/>
        <v>3252.162</v>
      </c>
      <c r="K2" s="9">
        <f ca="1" t="shared" si="1"/>
        <v>41.140746</v>
      </c>
      <c r="L2" s="9">
        <f ca="1" t="shared" si="1"/>
        <v>61.187248</v>
      </c>
      <c r="M2" s="9">
        <f ca="1" t="shared" si="1"/>
        <v>3252.162</v>
      </c>
      <c r="N2" s="9">
        <f ca="1" t="shared" si="1"/>
        <v>41.140746</v>
      </c>
      <c r="O2" s="9">
        <f ca="1" t="shared" si="1"/>
        <v>61.187248</v>
      </c>
      <c r="P2" s="9">
        <f ca="1" t="shared" si="1"/>
        <v>3252.162</v>
      </c>
      <c r="Q2" s="9">
        <f ca="1" t="shared" si="1"/>
        <v>12.75945</v>
      </c>
      <c r="R2" s="9">
        <f ca="1" t="shared" si="1"/>
        <v>62.305383</v>
      </c>
      <c r="S2" s="9">
        <f ca="1" t="shared" si="1"/>
        <v>3252.162</v>
      </c>
      <c r="T2" s="9">
        <f ca="1" t="shared" si="1"/>
        <v>13.817514</v>
      </c>
      <c r="U2" s="9">
        <f ca="1" t="shared" si="1"/>
        <v>60.298241</v>
      </c>
      <c r="Y2" s="9"/>
      <c r="Z2" s="9"/>
      <c r="AA2" s="9"/>
      <c r="AB2" s="9"/>
      <c r="AC2" s="9"/>
      <c r="AD2" s="9"/>
    </row>
    <row r="3" spans="3:30" ht="12.75">
      <c r="C3" s="10" t="s">
        <v>120</v>
      </c>
      <c r="D3" s="11" t="s">
        <v>92</v>
      </c>
      <c r="E3" s="11" t="s">
        <v>546</v>
      </c>
      <c r="F3" s="11"/>
      <c r="G3" s="89">
        <f ca="1" t="shared" si="1"/>
        <v>1252.428903</v>
      </c>
      <c r="H3" s="89">
        <f ca="1" t="shared" si="1"/>
        <v>0</v>
      </c>
      <c r="I3" s="89">
        <f ca="1" t="shared" si="1"/>
        <v>54.793441</v>
      </c>
      <c r="J3" s="89">
        <f ca="1" t="shared" si="1"/>
        <v>1252.785036</v>
      </c>
      <c r="K3" s="89">
        <f ca="1" t="shared" si="1"/>
        <v>36.848567</v>
      </c>
      <c r="L3" s="89">
        <f ca="1" t="shared" si="1"/>
        <v>54.803634</v>
      </c>
      <c r="M3" s="89">
        <f ca="1" t="shared" si="1"/>
        <v>1252.785036</v>
      </c>
      <c r="N3" s="89">
        <f ca="1" t="shared" si="1"/>
        <v>36.848567</v>
      </c>
      <c r="O3" s="89">
        <f ca="1" t="shared" si="1"/>
        <v>54.803634</v>
      </c>
      <c r="P3" s="89">
        <f ca="1" t="shared" si="1"/>
        <v>1252.625517</v>
      </c>
      <c r="Q3" s="89">
        <f ca="1" t="shared" si="1"/>
        <v>11.427923</v>
      </c>
      <c r="R3" s="89">
        <f ca="1" t="shared" si="1"/>
        <v>55.803431</v>
      </c>
      <c r="S3" s="89">
        <f ca="1" t="shared" si="1"/>
        <v>1252.600535</v>
      </c>
      <c r="T3" s="89">
        <f ca="1" t="shared" si="1"/>
        <v>12.375513</v>
      </c>
      <c r="U3" s="89">
        <f ca="1" t="shared" si="1"/>
        <v>54.005491</v>
      </c>
      <c r="Y3" s="9"/>
      <c r="Z3" s="9"/>
      <c r="AA3" s="9"/>
      <c r="AB3" s="9"/>
      <c r="AC3" s="9"/>
      <c r="AD3" s="9"/>
    </row>
    <row r="4" spans="3:30" ht="13.5" thickBot="1">
      <c r="C4" s="14"/>
      <c r="D4" s="15" t="s">
        <v>93</v>
      </c>
      <c r="E4" s="15" t="s">
        <v>546</v>
      </c>
      <c r="F4" s="15"/>
      <c r="G4" s="89">
        <f ca="1" t="shared" si="1"/>
        <v>2839.998</v>
      </c>
      <c r="H4" s="89">
        <f ca="1" t="shared" si="1"/>
        <v>0</v>
      </c>
      <c r="I4" s="89">
        <f ca="1" t="shared" si="1"/>
        <v>7.11E-15</v>
      </c>
      <c r="J4" s="89">
        <f ca="1" t="shared" si="1"/>
        <v>2840.131</v>
      </c>
      <c r="K4" s="89">
        <f ca="1" t="shared" si="1"/>
        <v>3.77E-13</v>
      </c>
      <c r="L4" s="89">
        <f ca="1" t="shared" si="1"/>
        <v>-3.62E-13</v>
      </c>
      <c r="M4" s="89">
        <f ca="1" t="shared" si="1"/>
        <v>2840.131</v>
      </c>
      <c r="N4" s="89">
        <f ca="1" t="shared" si="1"/>
        <v>3.77E-13</v>
      </c>
      <c r="O4" s="89">
        <f ca="1" t="shared" si="1"/>
        <v>-3.62E-13</v>
      </c>
      <c r="P4" s="89">
        <f ca="1" t="shared" si="1"/>
        <v>2840.131</v>
      </c>
      <c r="Q4" s="89">
        <f ca="1" t="shared" si="1"/>
        <v>3.55E-15</v>
      </c>
      <c r="R4" s="89">
        <f ca="1" t="shared" si="1"/>
        <v>1.42E-14</v>
      </c>
      <c r="S4" s="89">
        <f ca="1" t="shared" si="1"/>
        <v>2840.131</v>
      </c>
      <c r="T4" s="89">
        <f ca="1" t="shared" si="1"/>
        <v>1.78E-15</v>
      </c>
      <c r="U4" s="89">
        <f ca="1" t="shared" si="1"/>
        <v>-7.11E-15</v>
      </c>
      <c r="Y4" s="9"/>
      <c r="Z4" s="9"/>
      <c r="AA4" s="9"/>
      <c r="AB4" s="9"/>
      <c r="AC4" s="9"/>
      <c r="AD4" s="9"/>
    </row>
    <row r="5" spans="1:30" ht="12.75">
      <c r="A5" s="23" t="s">
        <v>133</v>
      </c>
      <c r="C5" s="10" t="s">
        <v>121</v>
      </c>
      <c r="D5" s="11" t="s">
        <v>94</v>
      </c>
      <c r="E5" s="11" t="s">
        <v>546</v>
      </c>
      <c r="F5" s="11" t="s">
        <v>157</v>
      </c>
      <c r="G5" s="89">
        <f ca="1" t="shared" si="1"/>
        <v>228.382552</v>
      </c>
      <c r="H5" s="89">
        <f ca="1" t="shared" si="1"/>
        <v>0</v>
      </c>
      <c r="I5" s="89">
        <f ca="1" t="shared" si="1"/>
        <v>-90.137429</v>
      </c>
      <c r="J5" s="89">
        <f ca="1" t="shared" si="1"/>
        <v>241.659771</v>
      </c>
      <c r="K5" s="89">
        <f ca="1" t="shared" si="1"/>
        <v>-60.320777</v>
      </c>
      <c r="L5" s="89">
        <f ca="1" t="shared" si="1"/>
        <v>-89.713062</v>
      </c>
      <c r="M5" s="89">
        <f ca="1" t="shared" si="1"/>
        <v>241.659771</v>
      </c>
      <c r="N5" s="89">
        <f ca="1" t="shared" si="1"/>
        <v>-60.320777</v>
      </c>
      <c r="O5" s="89">
        <f ca="1" t="shared" si="1"/>
        <v>-89.713062</v>
      </c>
      <c r="P5" s="89">
        <f ca="1" t="shared" si="1"/>
        <v>230.68079</v>
      </c>
      <c r="Q5" s="89">
        <f ca="1" t="shared" si="1"/>
        <v>-18.784562</v>
      </c>
      <c r="R5" s="89">
        <f ca="1" t="shared" si="1"/>
        <v>-91.72647</v>
      </c>
      <c r="S5" s="89">
        <f ca="1" t="shared" si="1"/>
        <v>229.022003</v>
      </c>
      <c r="T5" s="89">
        <f ca="1" t="shared" si="1"/>
        <v>-20.354767</v>
      </c>
      <c r="U5" s="89">
        <f ca="1" t="shared" si="1"/>
        <v>-88.826152</v>
      </c>
      <c r="Y5" s="9"/>
      <c r="Z5" s="9"/>
      <c r="AA5" s="9"/>
      <c r="AB5" s="9"/>
      <c r="AC5" s="9"/>
      <c r="AD5" s="9"/>
    </row>
    <row r="6" spans="1:30" ht="12.75">
      <c r="A6" s="1" t="s">
        <v>568</v>
      </c>
      <c r="C6" s="18"/>
      <c r="D6" s="19" t="s">
        <v>95</v>
      </c>
      <c r="E6" s="19" t="s">
        <v>546</v>
      </c>
      <c r="F6" s="19"/>
      <c r="G6" s="89">
        <f ca="1" t="shared" si="1"/>
        <v>131.14166</v>
      </c>
      <c r="H6" s="89">
        <f ca="1" t="shared" si="1"/>
        <v>0</v>
      </c>
      <c r="I6" s="89">
        <f ca="1" t="shared" si="1"/>
        <v>-93.493606</v>
      </c>
      <c r="J6" s="89">
        <f ca="1" t="shared" si="1"/>
        <v>136.530948</v>
      </c>
      <c r="K6" s="89">
        <f ca="1" t="shared" si="1"/>
        <v>-62.761232</v>
      </c>
      <c r="L6" s="89">
        <f ca="1" t="shared" si="1"/>
        <v>-93.342669</v>
      </c>
      <c r="M6" s="89">
        <f ca="1" t="shared" si="1"/>
        <v>136.530948</v>
      </c>
      <c r="N6" s="89">
        <f ca="1" t="shared" si="1"/>
        <v>-62.761232</v>
      </c>
      <c r="O6" s="89">
        <f ca="1" t="shared" si="1"/>
        <v>-93.342669</v>
      </c>
      <c r="P6" s="89">
        <f ca="1" t="shared" si="1"/>
        <v>131.229806</v>
      </c>
      <c r="Q6" s="89">
        <f ca="1" t="shared" si="1"/>
        <v>-19.500476</v>
      </c>
      <c r="R6" s="89">
        <f ca="1" t="shared" si="1"/>
        <v>-95.222336</v>
      </c>
      <c r="S6" s="89">
        <f ca="1" t="shared" si="1"/>
        <v>132.089046</v>
      </c>
      <c r="T6" s="89">
        <f ca="1" t="shared" si="1"/>
        <v>-21.110403</v>
      </c>
      <c r="U6" s="89">
        <f ca="1" t="shared" si="1"/>
        <v>-92.123671</v>
      </c>
      <c r="Y6" s="9"/>
      <c r="Z6" s="9"/>
      <c r="AA6" s="9"/>
      <c r="AB6" s="9"/>
      <c r="AC6" s="9"/>
      <c r="AD6" s="9"/>
    </row>
    <row r="7" spans="1:30" ht="12.75">
      <c r="A7" s="1" t="s">
        <v>569</v>
      </c>
      <c r="C7" s="18"/>
      <c r="D7" s="19" t="s">
        <v>97</v>
      </c>
      <c r="E7" s="19" t="s">
        <v>546</v>
      </c>
      <c r="F7" s="19"/>
      <c r="G7" s="89">
        <f ca="1" t="shared" si="1"/>
        <v>316.125099</v>
      </c>
      <c r="H7" s="89">
        <f ca="1" t="shared" si="1"/>
        <v>0</v>
      </c>
      <c r="I7" s="89">
        <f ca="1" t="shared" si="1"/>
        <v>-200.09386</v>
      </c>
      <c r="J7" s="89">
        <f ca="1" t="shared" si="1"/>
        <v>316.03790200000003</v>
      </c>
      <c r="K7" s="89">
        <f ca="1" t="shared" si="1"/>
        <v>0.23026</v>
      </c>
      <c r="L7" s="89">
        <f ca="1" t="shared" si="1"/>
        <v>-200.363128</v>
      </c>
      <c r="M7" s="89">
        <f ca="1" t="shared" si="1"/>
        <v>316.03790200000003</v>
      </c>
      <c r="N7" s="89">
        <f ca="1" t="shared" si="1"/>
        <v>0.23026</v>
      </c>
      <c r="O7" s="89">
        <f ca="1" t="shared" si="1"/>
        <v>-200.363128</v>
      </c>
      <c r="P7" s="89">
        <f ca="1" t="shared" si="1"/>
        <v>316.117194</v>
      </c>
      <c r="Q7" s="89">
        <f ca="1" t="shared" si="1"/>
        <v>-0.002619</v>
      </c>
      <c r="R7" s="89">
        <f ca="1" t="shared" si="1"/>
        <v>-200.11827</v>
      </c>
      <c r="S7" s="89">
        <f ca="1" t="shared" si="1"/>
        <v>316.115744</v>
      </c>
      <c r="T7" s="89">
        <f ca="1" t="shared" si="1"/>
        <v>0.00704</v>
      </c>
      <c r="U7" s="89">
        <f ca="1" t="shared" si="1"/>
        <v>-200.122747</v>
      </c>
      <c r="Y7" s="9"/>
      <c r="Z7" s="9"/>
      <c r="AA7" s="9"/>
      <c r="AB7" s="9"/>
      <c r="AC7" s="9"/>
      <c r="AD7" s="9"/>
    </row>
    <row r="8" spans="1:30" ht="13.5" thickBot="1">
      <c r="A8" s="1" t="s">
        <v>570</v>
      </c>
      <c r="C8" s="14"/>
      <c r="D8" s="15" t="s">
        <v>98</v>
      </c>
      <c r="E8" s="15" t="s">
        <v>546</v>
      </c>
      <c r="F8" s="15"/>
      <c r="G8" s="89">
        <f ca="1" t="shared" si="1"/>
        <v>119.782557</v>
      </c>
      <c r="H8" s="89">
        <f ca="1" t="shared" si="1"/>
        <v>0</v>
      </c>
      <c r="I8" s="89">
        <f ca="1" t="shared" si="1"/>
        <v>-179.688568</v>
      </c>
      <c r="J8" s="89">
        <f ca="1" t="shared" si="1"/>
        <v>125.120751</v>
      </c>
      <c r="K8" s="89">
        <f ca="1" t="shared" si="1"/>
        <v>58.002151</v>
      </c>
      <c r="L8" s="89">
        <f ca="1" t="shared" si="1"/>
        <v>-183.378714</v>
      </c>
      <c r="M8" s="89">
        <f ca="1" t="shared" si="1"/>
        <v>125.120751</v>
      </c>
      <c r="N8" s="89">
        <f ca="1" t="shared" si="1"/>
        <v>58.002151</v>
      </c>
      <c r="O8" s="89">
        <f ca="1" t="shared" si="1"/>
        <v>-183.378714</v>
      </c>
      <c r="P8" s="89">
        <f ca="1" t="shared" si="1"/>
        <v>120.717899</v>
      </c>
      <c r="Q8" s="89">
        <f ca="1" t="shared" si="1"/>
        <v>18.0297</v>
      </c>
      <c r="R8" s="89">
        <f ca="1" t="shared" si="1"/>
        <v>-178.482563</v>
      </c>
      <c r="S8" s="89">
        <f ca="1" t="shared" si="1"/>
        <v>120.054658</v>
      </c>
      <c r="T8" s="89">
        <f ca="1" t="shared" si="1"/>
        <v>19.499867</v>
      </c>
      <c r="U8" s="89">
        <f ca="1" t="shared" si="1"/>
        <v>-181.314796</v>
      </c>
      <c r="Y8" s="9"/>
      <c r="Z8" s="9"/>
      <c r="AA8" s="9"/>
      <c r="AB8" s="9"/>
      <c r="AC8" s="9"/>
      <c r="AD8" s="9"/>
    </row>
    <row r="9" spans="1:30" ht="12.75">
      <c r="A9" s="23" t="s">
        <v>134</v>
      </c>
      <c r="C9" s="10" t="s">
        <v>122</v>
      </c>
      <c r="D9" s="11" t="s">
        <v>101</v>
      </c>
      <c r="E9" s="11" t="s">
        <v>527</v>
      </c>
      <c r="F9" s="11"/>
      <c r="G9" s="89">
        <f ca="1" t="shared" si="1"/>
        <v>296.15067</v>
      </c>
      <c r="H9" s="89">
        <f ca="1" t="shared" si="1"/>
        <v>0</v>
      </c>
      <c r="I9" s="89">
        <f ca="1" t="shared" si="1"/>
        <v>-259.533208</v>
      </c>
      <c r="J9" s="89">
        <f ca="1" t="shared" si="1"/>
      </c>
      <c r="K9" s="89">
        <f ca="1" t="shared" si="1"/>
      </c>
      <c r="L9" s="89">
        <f ca="1" t="shared" si="1"/>
      </c>
      <c r="M9" s="89">
        <f ca="1" t="shared" si="1"/>
      </c>
      <c r="N9" s="89">
        <f ca="1" t="shared" si="1"/>
      </c>
      <c r="O9" s="89">
        <f ca="1" t="shared" si="1"/>
      </c>
      <c r="P9" s="89">
        <f ca="1" t="shared" si="1"/>
        <v>296.485541</v>
      </c>
      <c r="Q9" s="89">
        <f ca="1" t="shared" si="1"/>
        <v>10.973657</v>
      </c>
      <c r="R9" s="89">
        <f ca="1" t="shared" si="1"/>
        <v>-258.542261</v>
      </c>
      <c r="S9" s="89">
        <f ca="1" t="shared" si="1"/>
        <v>296.20107</v>
      </c>
      <c r="T9" s="89">
        <f ca="1" t="shared" si="1"/>
        <v>11.832463</v>
      </c>
      <c r="U9" s="89">
        <f ca="1" t="shared" si="1"/>
        <v>-260.433321</v>
      </c>
      <c r="Y9" s="9"/>
      <c r="Z9" s="9"/>
      <c r="AA9" s="9"/>
      <c r="AB9" s="9"/>
      <c r="AC9" s="9"/>
      <c r="AD9" s="9"/>
    </row>
    <row r="10" spans="1:30" ht="12.75">
      <c r="A10" s="22" t="s">
        <v>110</v>
      </c>
      <c r="B10" s="22">
        <v>202</v>
      </c>
      <c r="C10" s="18"/>
      <c r="D10" s="19" t="s">
        <v>104</v>
      </c>
      <c r="E10" s="19" t="s">
        <v>527</v>
      </c>
      <c r="F10" s="19"/>
      <c r="G10" s="89">
        <f ca="1" t="shared" si="1"/>
        <v>94.234236</v>
      </c>
      <c r="H10" s="89">
        <f ca="1" t="shared" si="1"/>
        <v>0</v>
      </c>
      <c r="I10" s="89">
        <f ca="1" t="shared" si="1"/>
        <v>-279.481485</v>
      </c>
      <c r="J10" s="89">
        <f ca="1" t="shared" si="1"/>
      </c>
      <c r="K10" s="89">
        <f ca="1" t="shared" si="1"/>
      </c>
      <c r="L10" s="89">
        <f ca="1" t="shared" si="1"/>
      </c>
      <c r="M10" s="89">
        <f ca="1" t="shared" si="1"/>
      </c>
      <c r="N10" s="89">
        <f ca="1" t="shared" si="1"/>
      </c>
      <c r="O10" s="89">
        <f ca="1" t="shared" si="1"/>
      </c>
      <c r="P10" s="89">
        <f ca="1" t="shared" si="1"/>
        <v>95.212653</v>
      </c>
      <c r="Q10" s="89">
        <f ca="1" t="shared" si="1"/>
        <v>15.521875</v>
      </c>
      <c r="R10" s="89">
        <f ca="1" t="shared" si="1"/>
        <v>-277.506548</v>
      </c>
      <c r="S10" s="89">
        <f ca="1" t="shared" si="1"/>
        <v>94.24581</v>
      </c>
      <c r="T10" s="89">
        <f ca="1" t="shared" si="1"/>
        <v>16.690589</v>
      </c>
      <c r="U10" s="89">
        <f ca="1" t="shared" si="1"/>
        <v>-280.923961</v>
      </c>
      <c r="Y10" s="9"/>
      <c r="Z10" s="9"/>
      <c r="AA10" s="9"/>
      <c r="AB10" s="9"/>
      <c r="AC10" s="9"/>
      <c r="AD10" s="9"/>
    </row>
    <row r="11" spans="1:30" ht="12.75">
      <c r="A11" s="22" t="s">
        <v>112</v>
      </c>
      <c r="B11" s="22">
        <v>0</v>
      </c>
      <c r="C11" s="18"/>
      <c r="D11" s="19" t="s">
        <v>107</v>
      </c>
      <c r="E11" s="19" t="s">
        <v>527</v>
      </c>
      <c r="F11" s="19"/>
      <c r="G11" s="89">
        <f ca="1" t="shared" si="1"/>
        <v>240.46633</v>
      </c>
      <c r="H11" s="89">
        <f ca="1" t="shared" si="1"/>
        <v>0</v>
      </c>
      <c r="I11" s="89">
        <f ca="1" t="shared" si="1"/>
        <v>-397.634151</v>
      </c>
      <c r="J11" s="89">
        <f ca="1" t="shared" si="1"/>
      </c>
      <c r="K11" s="89">
        <f ca="1" t="shared" si="1"/>
      </c>
      <c r="L11" s="89">
        <f ca="1" t="shared" si="1"/>
      </c>
      <c r="M11" s="89">
        <f ca="1" t="shared" si="1"/>
      </c>
      <c r="N11" s="89">
        <f ca="1" t="shared" si="1"/>
      </c>
      <c r="O11" s="89">
        <f ca="1" t="shared" si="1"/>
      </c>
      <c r="P11" s="89">
        <f ca="1" t="shared" si="1"/>
        <v>240.450296</v>
      </c>
      <c r="Q11" s="89">
        <f ca="1" t="shared" si="1"/>
        <v>3.403216</v>
      </c>
      <c r="R11" s="89">
        <f ca="1" t="shared" si="1"/>
        <v>-397.122812</v>
      </c>
      <c r="S11" s="89">
        <f ca="1" t="shared" si="1"/>
        <v>240.511584</v>
      </c>
      <c r="T11" s="89">
        <f ca="1" t="shared" si="1"/>
        <v>3.639387</v>
      </c>
      <c r="U11" s="89">
        <f ca="1" t="shared" si="1"/>
        <v>-397.939241</v>
      </c>
      <c r="Y11" s="9"/>
      <c r="Z11" s="9"/>
      <c r="AA11" s="9"/>
      <c r="AB11" s="9"/>
      <c r="AC11" s="9"/>
      <c r="AD11" s="9"/>
    </row>
    <row r="12" spans="1:30" ht="12.75">
      <c r="A12" s="22" t="s">
        <v>114</v>
      </c>
      <c r="B12" s="22">
        <v>0</v>
      </c>
      <c r="C12" s="18"/>
      <c r="D12" s="19" t="s">
        <v>108</v>
      </c>
      <c r="E12" s="19" t="s">
        <v>527</v>
      </c>
      <c r="F12" s="19" t="s">
        <v>157</v>
      </c>
      <c r="G12" s="89">
        <f aca="true" ca="1" t="shared" si="2" ref="G12:U21">IF(OR(System="Common",System=Syst,Ray="Cent"),INDIRECT(Axe&amp;"0")+INDIRECT(Axe&amp;"fact")*INDIRECT("RayImpactsSyno!"&amp;AxeSyno&amp;Syst&amp;Ray),"")</f>
        <v>192.86738</v>
      </c>
      <c r="H12" s="89">
        <f ca="1" t="shared" si="2"/>
        <v>0</v>
      </c>
      <c r="I12" s="89">
        <f ca="1" t="shared" si="2"/>
        <v>-448.961193</v>
      </c>
      <c r="J12" s="89">
        <f ca="1" t="shared" si="2"/>
      </c>
      <c r="K12" s="89">
        <f ca="1" t="shared" si="2"/>
      </c>
      <c r="L12" s="89">
        <f ca="1" t="shared" si="2"/>
      </c>
      <c r="M12" s="89">
        <f ca="1" t="shared" si="2"/>
      </c>
      <c r="N12" s="89">
        <f ca="1" t="shared" si="2"/>
      </c>
      <c r="O12" s="89">
        <f ca="1" t="shared" si="2"/>
      </c>
      <c r="P12" s="89">
        <f ca="1" t="shared" si="2"/>
        <v>192.856362</v>
      </c>
      <c r="Q12" s="89">
        <f ca="1" t="shared" si="2"/>
        <v>0.087781</v>
      </c>
      <c r="R12" s="89">
        <f ca="1" t="shared" si="2"/>
        <v>-448.950976</v>
      </c>
      <c r="S12" s="89">
        <f ca="1" t="shared" si="2"/>
        <v>192.85285</v>
      </c>
      <c r="T12" s="89">
        <f ca="1" t="shared" si="2"/>
        <v>0.080828</v>
      </c>
      <c r="U12" s="89">
        <f ca="1" t="shared" si="2"/>
        <v>-448.947719</v>
      </c>
      <c r="Y12" s="9"/>
      <c r="Z12" s="9"/>
      <c r="AA12" s="9"/>
      <c r="AB12" s="9"/>
      <c r="AC12" s="9"/>
      <c r="AD12" s="9"/>
    </row>
    <row r="13" spans="1:30" ht="13.5" thickBot="1">
      <c r="A13" s="22" t="s">
        <v>571</v>
      </c>
      <c r="B13" s="22">
        <v>-1</v>
      </c>
      <c r="C13" s="14"/>
      <c r="D13" s="15" t="s">
        <v>109</v>
      </c>
      <c r="E13" s="15" t="s">
        <v>527</v>
      </c>
      <c r="F13" s="15"/>
      <c r="G13" s="89">
        <f ca="1" t="shared" si="2"/>
        <v>104.471035</v>
      </c>
      <c r="H13" s="89">
        <f ca="1" t="shared" si="2"/>
        <v>0</v>
      </c>
      <c r="I13" s="89">
        <f ca="1" t="shared" si="2"/>
        <v>-544.281002</v>
      </c>
      <c r="J13" s="89">
        <f ca="1" t="shared" si="2"/>
      </c>
      <c r="K13" s="89">
        <f ca="1" t="shared" si="2"/>
      </c>
      <c r="L13" s="89">
        <f ca="1" t="shared" si="2"/>
      </c>
      <c r="M13" s="89">
        <f ca="1" t="shared" si="2"/>
      </c>
      <c r="N13" s="89">
        <f ca="1" t="shared" si="2"/>
      </c>
      <c r="O13" s="89">
        <f ca="1" t="shared" si="2"/>
      </c>
      <c r="P13" s="89">
        <f ca="1" t="shared" si="2"/>
        <v>104.811354</v>
      </c>
      <c r="Q13" s="89">
        <f ca="1" t="shared" si="2"/>
        <v>-6.04551</v>
      </c>
      <c r="R13" s="89">
        <f ca="1" t="shared" si="2"/>
        <v>-544.828974</v>
      </c>
      <c r="S13" s="89">
        <f ca="1" t="shared" si="2"/>
        <v>104.270608</v>
      </c>
      <c r="T13" s="89">
        <f ca="1" t="shared" si="2"/>
        <v>-6.533386</v>
      </c>
      <c r="U13" s="89">
        <f ca="1" t="shared" si="2"/>
        <v>-543.756057</v>
      </c>
      <c r="Y13" s="9"/>
      <c r="Z13" s="9"/>
      <c r="AA13" s="9"/>
      <c r="AB13" s="9"/>
      <c r="AC13" s="9"/>
      <c r="AD13" s="9"/>
    </row>
    <row r="14" spans="1:30" ht="12.75">
      <c r="A14" s="22" t="s">
        <v>572</v>
      </c>
      <c r="B14" s="22">
        <v>1</v>
      </c>
      <c r="C14" s="10" t="s">
        <v>123</v>
      </c>
      <c r="D14" s="11" t="s">
        <v>111</v>
      </c>
      <c r="E14" s="11" t="s">
        <v>527</v>
      </c>
      <c r="F14" s="11"/>
      <c r="G14" s="89">
        <f ca="1" t="shared" si="2"/>
        <v>238.419239</v>
      </c>
      <c r="H14" s="89">
        <f ca="1" t="shared" si="2"/>
        <v>0</v>
      </c>
      <c r="I14" s="89">
        <f ca="1" t="shared" si="2"/>
        <v>-527.45872</v>
      </c>
      <c r="J14" s="89">
        <f ca="1" t="shared" si="2"/>
      </c>
      <c r="K14" s="89">
        <f ca="1" t="shared" si="2"/>
      </c>
      <c r="L14" s="89">
        <f ca="1" t="shared" si="2"/>
      </c>
      <c r="M14" s="89">
        <f ca="1" t="shared" si="2"/>
      </c>
      <c r="N14" s="89">
        <f ca="1" t="shared" si="2"/>
      </c>
      <c r="O14" s="89">
        <f ca="1" t="shared" si="2"/>
      </c>
      <c r="P14" s="89">
        <f ca="1" t="shared" si="2"/>
        <v>238.733246</v>
      </c>
      <c r="Q14" s="89">
        <f ca="1" t="shared" si="2"/>
        <v>-8.033705</v>
      </c>
      <c r="R14" s="89">
        <f ca="1" t="shared" si="2"/>
        <v>-528.127272</v>
      </c>
      <c r="S14" s="89">
        <f ca="1" t="shared" si="2"/>
        <v>238.116781</v>
      </c>
      <c r="T14" s="89">
        <f ca="1" t="shared" si="2"/>
        <v>-8.679048</v>
      </c>
      <c r="U14" s="89">
        <f ca="1" t="shared" si="2"/>
        <v>-526.814757</v>
      </c>
      <c r="Y14" s="9"/>
      <c r="Z14" s="9"/>
      <c r="AA14" s="9"/>
      <c r="AB14" s="9"/>
      <c r="AC14" s="9"/>
      <c r="AD14" s="9"/>
    </row>
    <row r="15" spans="1:30" ht="12.75">
      <c r="A15" s="22" t="s">
        <v>573</v>
      </c>
      <c r="B15" s="22">
        <v>1</v>
      </c>
      <c r="C15" s="18"/>
      <c r="D15" s="19" t="s">
        <v>113</v>
      </c>
      <c r="E15" s="19" t="s">
        <v>527</v>
      </c>
      <c r="F15" s="19"/>
      <c r="G15" s="89">
        <f ca="1" t="shared" si="2"/>
        <v>139.942078</v>
      </c>
      <c r="H15" s="89">
        <f ca="1" t="shared" si="2"/>
        <v>1.82E-14</v>
      </c>
      <c r="I15" s="89">
        <f ca="1" t="shared" si="2"/>
        <v>-619.802462</v>
      </c>
      <c r="J15" s="89">
        <f ca="1" t="shared" si="2"/>
      </c>
      <c r="K15" s="89">
        <f ca="1" t="shared" si="2"/>
      </c>
      <c r="L15" s="89">
        <f ca="1" t="shared" si="2"/>
      </c>
      <c r="M15" s="89">
        <f ca="1" t="shared" si="2"/>
      </c>
      <c r="N15" s="89">
        <f ca="1" t="shared" si="2"/>
      </c>
      <c r="O15" s="89">
        <f ca="1" t="shared" si="2"/>
      </c>
      <c r="P15" s="89">
        <f ca="1" t="shared" si="2"/>
        <v>133.090238</v>
      </c>
      <c r="Q15" s="89">
        <f ca="1" t="shared" si="2"/>
        <v>-10.168951</v>
      </c>
      <c r="R15" s="89">
        <f ca="1" t="shared" si="2"/>
        <v>-627.36187</v>
      </c>
      <c r="S15" s="89">
        <f ca="1" t="shared" si="2"/>
        <v>131.35487999999998</v>
      </c>
      <c r="T15" s="89">
        <f ca="1" t="shared" si="2"/>
        <v>-11.004597</v>
      </c>
      <c r="U15" s="89">
        <f ca="1" t="shared" si="2"/>
        <v>-626.732892</v>
      </c>
      <c r="Y15" s="9"/>
      <c r="Z15" s="9"/>
      <c r="AA15" s="9"/>
      <c r="AB15" s="9"/>
      <c r="AC15" s="9"/>
      <c r="AD15" s="9"/>
    </row>
    <row r="16" spans="3:30" ht="13.5" thickBot="1">
      <c r="C16" s="14"/>
      <c r="D16" s="15" t="s">
        <v>115</v>
      </c>
      <c r="E16" s="15" t="s">
        <v>527</v>
      </c>
      <c r="F16" s="15" t="s">
        <v>158</v>
      </c>
      <c r="G16" s="89">
        <f ca="1" t="shared" si="2"/>
        <v>139.942327</v>
      </c>
      <c r="H16" s="89">
        <f ca="1" t="shared" si="2"/>
        <v>-50</v>
      </c>
      <c r="I16" s="89">
        <f ca="1" t="shared" si="2"/>
        <v>-619.802728</v>
      </c>
      <c r="J16" s="89">
        <f ca="1" t="shared" si="2"/>
      </c>
      <c r="K16" s="89">
        <f ca="1" t="shared" si="2"/>
      </c>
      <c r="L16" s="89">
        <f ca="1" t="shared" si="2"/>
      </c>
      <c r="M16" s="89">
        <f ca="1" t="shared" si="2"/>
      </c>
      <c r="N16" s="89">
        <f ca="1" t="shared" si="2"/>
      </c>
      <c r="O16" s="89">
        <f ca="1" t="shared" si="2"/>
      </c>
      <c r="P16" s="89">
        <f ca="1" t="shared" si="2"/>
        <v>132.68589</v>
      </c>
      <c r="Q16" s="89">
        <f ca="1" t="shared" si="2"/>
        <v>-50</v>
      </c>
      <c r="R16" s="89">
        <f ca="1" t="shared" si="2"/>
        <v>-627.788504</v>
      </c>
      <c r="S16" s="89">
        <f ca="1" t="shared" si="2"/>
        <v>130.876814</v>
      </c>
      <c r="T16" s="89">
        <f ca="1" t="shared" si="2"/>
        <v>-50</v>
      </c>
      <c r="U16" s="89">
        <f ca="1" t="shared" si="2"/>
        <v>-627.129735</v>
      </c>
      <c r="Y16" s="9"/>
      <c r="Z16" s="9"/>
      <c r="AA16" s="9"/>
      <c r="AB16" s="9"/>
      <c r="AC16" s="9"/>
      <c r="AD16" s="9"/>
    </row>
    <row r="17" spans="4:30" ht="13.5" thickBot="1">
      <c r="D17" s="1" t="s">
        <v>111</v>
      </c>
      <c r="E17" s="1" t="s">
        <v>527</v>
      </c>
      <c r="F17" s="1" t="s">
        <v>126</v>
      </c>
      <c r="G17" s="89">
        <f ca="1" t="shared" si="2"/>
        <v>238.419239</v>
      </c>
      <c r="H17" s="89">
        <f ca="1" t="shared" si="2"/>
        <v>0</v>
      </c>
      <c r="I17" s="89">
        <f ca="1" t="shared" si="2"/>
        <v>-527.45872</v>
      </c>
      <c r="J17" s="89">
        <f ca="1" t="shared" si="2"/>
      </c>
      <c r="K17" s="89">
        <f ca="1" t="shared" si="2"/>
      </c>
      <c r="L17" s="89">
        <f ca="1" t="shared" si="2"/>
      </c>
      <c r="M17" s="89">
        <f ca="1" t="shared" si="2"/>
      </c>
      <c r="N17" s="89">
        <f ca="1" t="shared" si="2"/>
      </c>
      <c r="O17" s="89">
        <f ca="1" t="shared" si="2"/>
      </c>
      <c r="P17" s="89">
        <f ca="1" t="shared" si="2"/>
        <v>238.733246</v>
      </c>
      <c r="Q17" s="89">
        <f ca="1" t="shared" si="2"/>
        <v>-8.033705</v>
      </c>
      <c r="R17" s="89">
        <f ca="1" t="shared" si="2"/>
        <v>-528.127272</v>
      </c>
      <c r="S17" s="89">
        <f ca="1" t="shared" si="2"/>
        <v>238.116781</v>
      </c>
      <c r="T17" s="89">
        <f ca="1" t="shared" si="2"/>
        <v>-8.679048</v>
      </c>
      <c r="U17" s="89">
        <f ca="1" t="shared" si="2"/>
        <v>-526.814757</v>
      </c>
      <c r="Y17" s="9"/>
      <c r="Z17" s="9"/>
      <c r="AA17" s="9"/>
      <c r="AB17" s="9"/>
      <c r="AC17" s="9"/>
      <c r="AD17" s="9"/>
    </row>
    <row r="18" spans="3:30" ht="12.75">
      <c r="C18" s="10" t="s">
        <v>124</v>
      </c>
      <c r="D18" s="11" t="s">
        <v>116</v>
      </c>
      <c r="E18" s="11" t="s">
        <v>527</v>
      </c>
      <c r="F18" s="11"/>
      <c r="G18" s="89">
        <f ca="1" t="shared" si="2"/>
        <v>337.640264</v>
      </c>
      <c r="H18" s="89">
        <f ca="1" t="shared" si="2"/>
        <v>-4.41E-16</v>
      </c>
      <c r="I18" s="89">
        <f ca="1" t="shared" si="2"/>
        <v>-514.997754</v>
      </c>
      <c r="J18" s="89">
        <f ca="1" t="shared" si="2"/>
      </c>
      <c r="K18" s="89">
        <f ca="1" t="shared" si="2"/>
      </c>
      <c r="L18" s="89">
        <f ca="1" t="shared" si="2"/>
      </c>
      <c r="M18" s="89">
        <f ca="1" t="shared" si="2"/>
      </c>
      <c r="N18" s="89">
        <f ca="1" t="shared" si="2"/>
      </c>
      <c r="O18" s="89">
        <f ca="1" t="shared" si="2"/>
      </c>
      <c r="P18" s="89">
        <f ca="1" t="shared" si="2"/>
        <v>342.166446</v>
      </c>
      <c r="Q18" s="89">
        <f ca="1" t="shared" si="2"/>
        <v>-9.569267</v>
      </c>
      <c r="R18" s="89">
        <f ca="1" t="shared" si="2"/>
        <v>-515.227885</v>
      </c>
      <c r="S18" s="89">
        <f ca="1" t="shared" si="2"/>
        <v>342.331781</v>
      </c>
      <c r="T18" s="89">
        <f ca="1" t="shared" si="2"/>
        <v>-10.349698</v>
      </c>
      <c r="U18" s="89">
        <f ca="1" t="shared" si="2"/>
        <v>-513.62396</v>
      </c>
      <c r="Y18" s="9"/>
      <c r="Z18" s="9"/>
      <c r="AA18" s="9"/>
      <c r="AB18" s="9"/>
      <c r="AC18" s="9"/>
      <c r="AD18" s="9"/>
    </row>
    <row r="19" spans="3:30" ht="13.5" thickBot="1">
      <c r="C19" s="14"/>
      <c r="D19" s="15" t="s">
        <v>117</v>
      </c>
      <c r="E19" s="15" t="s">
        <v>527</v>
      </c>
      <c r="F19" s="15" t="s">
        <v>158</v>
      </c>
      <c r="G19" s="89">
        <f ca="1" t="shared" si="2"/>
        <v>283.429289</v>
      </c>
      <c r="H19" s="89">
        <f ca="1" t="shared" si="2"/>
        <v>-65.113778</v>
      </c>
      <c r="I19" s="89">
        <f ca="1" t="shared" si="2"/>
        <v>-521.807023</v>
      </c>
      <c r="J19" s="89">
        <f ca="1" t="shared" si="2"/>
      </c>
      <c r="K19" s="89">
        <f ca="1" t="shared" si="2"/>
      </c>
      <c r="L19" s="89">
        <f ca="1" t="shared" si="2"/>
      </c>
      <c r="M19" s="89">
        <f ca="1" t="shared" si="2"/>
      </c>
      <c r="N19" s="89">
        <f ca="1" t="shared" si="2"/>
      </c>
      <c r="O19" s="89">
        <f ca="1" t="shared" si="2"/>
      </c>
      <c r="P19" s="89">
        <f ca="1" t="shared" si="2"/>
        <v>291.711826</v>
      </c>
      <c r="Q19" s="89">
        <f ca="1" t="shared" si="2"/>
        <v>-72.027431</v>
      </c>
      <c r="R19" s="89">
        <f ca="1" t="shared" si="2"/>
        <v>-521.635326</v>
      </c>
      <c r="S19" s="89">
        <f ca="1" t="shared" si="2"/>
        <v>292.158272</v>
      </c>
      <c r="T19" s="89">
        <f ca="1" t="shared" si="2"/>
        <v>-72.58604</v>
      </c>
      <c r="U19" s="89">
        <f ca="1" t="shared" si="2"/>
        <v>-519.847765</v>
      </c>
      <c r="Y19" s="9"/>
      <c r="Z19" s="9"/>
      <c r="AA19" s="9"/>
      <c r="AB19" s="9"/>
      <c r="AC19" s="9"/>
      <c r="AD19" s="9"/>
    </row>
    <row r="20" spans="4:30" ht="13.5" thickBot="1">
      <c r="D20" s="1" t="s">
        <v>116</v>
      </c>
      <c r="E20" s="1" t="s">
        <v>527</v>
      </c>
      <c r="F20" s="1" t="s">
        <v>126</v>
      </c>
      <c r="G20" s="89">
        <f ca="1" t="shared" si="2"/>
        <v>337.640264</v>
      </c>
      <c r="H20" s="89">
        <f ca="1" t="shared" si="2"/>
        <v>-4.41E-16</v>
      </c>
      <c r="I20" s="89">
        <f ca="1" t="shared" si="2"/>
        <v>-514.997754</v>
      </c>
      <c r="J20" s="89">
        <f ca="1" t="shared" si="2"/>
      </c>
      <c r="K20" s="89">
        <f ca="1" t="shared" si="2"/>
      </c>
      <c r="L20" s="89">
        <f ca="1" t="shared" si="2"/>
      </c>
      <c r="M20" s="89">
        <f ca="1" t="shared" si="2"/>
      </c>
      <c r="N20" s="89">
        <f ca="1" t="shared" si="2"/>
      </c>
      <c r="O20" s="89">
        <f ca="1" t="shared" si="2"/>
      </c>
      <c r="P20" s="89">
        <f ca="1" t="shared" si="2"/>
        <v>342.166446</v>
      </c>
      <c r="Q20" s="89">
        <f ca="1" t="shared" si="2"/>
        <v>-9.569267</v>
      </c>
      <c r="R20" s="89">
        <f ca="1" t="shared" si="2"/>
        <v>-515.227885</v>
      </c>
      <c r="S20" s="89">
        <f ca="1" t="shared" si="2"/>
        <v>342.331781</v>
      </c>
      <c r="T20" s="89">
        <f ca="1" t="shared" si="2"/>
        <v>-10.349698</v>
      </c>
      <c r="U20" s="89">
        <f ca="1" t="shared" si="2"/>
        <v>-513.62396</v>
      </c>
      <c r="Y20" s="9"/>
      <c r="Z20" s="9"/>
      <c r="AA20" s="9"/>
      <c r="AB20" s="9"/>
      <c r="AC20" s="9"/>
      <c r="AD20" s="9"/>
    </row>
    <row r="21" spans="3:30" ht="12.75">
      <c r="C21" s="10" t="s">
        <v>125</v>
      </c>
      <c r="D21" s="11" t="s">
        <v>118</v>
      </c>
      <c r="E21" s="11" t="s">
        <v>527</v>
      </c>
      <c r="F21" s="11"/>
      <c r="G21" s="89">
        <f ca="1" t="shared" si="2"/>
        <v>381.297659</v>
      </c>
      <c r="H21" s="89">
        <f ca="1" t="shared" si="2"/>
        <v>-4.78E-15</v>
      </c>
      <c r="I21" s="89">
        <f ca="1" t="shared" si="2"/>
        <v>-509.514911</v>
      </c>
      <c r="J21" s="89">
        <f ca="1" t="shared" si="2"/>
      </c>
      <c r="K21" s="89">
        <f ca="1" t="shared" si="2"/>
      </c>
      <c r="L21" s="89">
        <f ca="1" t="shared" si="2"/>
      </c>
      <c r="M21" s="89">
        <f ca="1" t="shared" si="2"/>
      </c>
      <c r="N21" s="89">
        <f ca="1" t="shared" si="2"/>
      </c>
      <c r="O21" s="89">
        <f ca="1" t="shared" si="2"/>
      </c>
      <c r="P21" s="89">
        <f ca="1" t="shared" si="2"/>
        <v>380.47202</v>
      </c>
      <c r="Q21" s="89">
        <f ca="1" t="shared" si="2"/>
        <v>-10.137949</v>
      </c>
      <c r="R21" s="89">
        <f ca="1" t="shared" si="2"/>
        <v>-510.45071</v>
      </c>
      <c r="S21" s="89">
        <f ca="1" t="shared" si="2"/>
        <v>382.11503500000003</v>
      </c>
      <c r="T21" s="89">
        <f ca="1" t="shared" si="2"/>
        <v>-10.987456</v>
      </c>
      <c r="U21" s="89">
        <f ca="1" t="shared" si="2"/>
        <v>-508.588478</v>
      </c>
      <c r="Y21" s="9"/>
      <c r="Z21" s="9"/>
      <c r="AA21" s="9"/>
      <c r="AB21" s="9"/>
      <c r="AC21" s="9"/>
      <c r="AD21" s="9"/>
    </row>
    <row r="22" spans="3:30" ht="13.5" thickBot="1">
      <c r="C22" s="14"/>
      <c r="D22" s="15" t="s">
        <v>119</v>
      </c>
      <c r="E22" s="15" t="s">
        <v>527</v>
      </c>
      <c r="F22" s="15" t="s">
        <v>158</v>
      </c>
      <c r="G22" s="89">
        <f aca="true" ca="1" t="shared" si="3" ref="G22:U31">IF(OR(System="Common",System=Syst,Ray="Cent"),INDIRECT(Axe&amp;"0")+INDIRECT(Axe&amp;"fact")*INDIRECT("RayImpactsSyno!"&amp;AxeSyno&amp;Syst&amp;Ray),"")</f>
        <v>381.298363</v>
      </c>
      <c r="H22" s="89">
        <f ca="1" t="shared" si="3"/>
        <v>9.28E-15</v>
      </c>
      <c r="I22" s="89">
        <f ca="1" t="shared" si="3"/>
        <v>-468.515249</v>
      </c>
      <c r="J22" s="89">
        <f ca="1" t="shared" si="3"/>
      </c>
      <c r="K22" s="89">
        <f ca="1" t="shared" si="3"/>
      </c>
      <c r="L22" s="89">
        <f ca="1" t="shared" si="3"/>
      </c>
      <c r="M22" s="89">
        <f ca="1" t="shared" si="3"/>
      </c>
      <c r="N22" s="89">
        <f ca="1" t="shared" si="3"/>
      </c>
      <c r="O22" s="89">
        <f ca="1" t="shared" si="3"/>
      </c>
      <c r="P22" s="89">
        <f ca="1" t="shared" si="3"/>
        <v>380.43658300000004</v>
      </c>
      <c r="Q22" s="89">
        <f ca="1" t="shared" si="3"/>
        <v>-10.755735</v>
      </c>
      <c r="R22" s="89">
        <f ca="1" t="shared" si="3"/>
        <v>-468.515228</v>
      </c>
      <c r="S22" s="89">
        <f ca="1" t="shared" si="3"/>
        <v>382.154575</v>
      </c>
      <c r="T22" s="89">
        <f ca="1" t="shared" si="3"/>
        <v>-11.624777</v>
      </c>
      <c r="U22" s="89">
        <f ca="1" t="shared" si="3"/>
        <v>-468.51527</v>
      </c>
      <c r="Y22" s="9"/>
      <c r="Z22" s="9"/>
      <c r="AA22" s="9"/>
      <c r="AB22" s="9"/>
      <c r="AC22" s="9"/>
      <c r="AD22" s="9"/>
    </row>
    <row r="23" spans="3:30" ht="13.5" thickBot="1">
      <c r="C23" s="14"/>
      <c r="D23" s="15" t="s">
        <v>98</v>
      </c>
      <c r="E23" s="15" t="s">
        <v>528</v>
      </c>
      <c r="F23" s="15"/>
      <c r="G23" s="89">
        <f ca="1" t="shared" si="3"/>
      </c>
      <c r="H23" s="89">
        <f ca="1" t="shared" si="3"/>
      </c>
      <c r="I23" s="89">
        <f ca="1" t="shared" si="3"/>
      </c>
      <c r="J23" s="89">
        <f ca="1" t="shared" si="3"/>
        <v>125.120751</v>
      </c>
      <c r="K23" s="89">
        <f ca="1" t="shared" si="3"/>
        <v>58.002151</v>
      </c>
      <c r="L23" s="89">
        <f ca="1" t="shared" si="3"/>
        <v>-183.378714</v>
      </c>
      <c r="M23" s="89">
        <f ca="1" t="shared" si="3"/>
      </c>
      <c r="N23" s="89">
        <f ca="1" t="shared" si="3"/>
      </c>
      <c r="O23" s="89">
        <f ca="1" t="shared" si="3"/>
      </c>
      <c r="P23" s="89">
        <f ca="1" t="shared" si="3"/>
        <v>120.717899</v>
      </c>
      <c r="Q23" s="89">
        <f ca="1" t="shared" si="3"/>
        <v>18.0297</v>
      </c>
      <c r="R23" s="89">
        <f ca="1" t="shared" si="3"/>
        <v>-178.482563</v>
      </c>
      <c r="S23" s="89">
        <f ca="1" t="shared" si="3"/>
        <v>120.054658</v>
      </c>
      <c r="T23" s="89">
        <f ca="1" t="shared" si="3"/>
        <v>19.499867</v>
      </c>
      <c r="U23" s="89">
        <f ca="1" t="shared" si="3"/>
        <v>-181.314796</v>
      </c>
      <c r="Y23" s="9"/>
      <c r="Z23" s="9"/>
      <c r="AA23" s="9"/>
      <c r="AB23" s="9"/>
      <c r="AC23" s="9"/>
      <c r="AD23" s="9"/>
    </row>
    <row r="24" spans="3:30" ht="12.75">
      <c r="C24" s="10" t="s">
        <v>502</v>
      </c>
      <c r="D24" s="11" t="s">
        <v>503</v>
      </c>
      <c r="E24" s="11" t="s">
        <v>528</v>
      </c>
      <c r="F24" s="11"/>
      <c r="G24" s="89">
        <f ca="1" t="shared" si="3"/>
      </c>
      <c r="H24" s="89">
        <f ca="1" t="shared" si="3"/>
      </c>
      <c r="I24" s="89">
        <f ca="1" t="shared" si="3"/>
      </c>
      <c r="J24" s="89">
        <f ca="1" t="shared" si="3"/>
        <v>306.147395</v>
      </c>
      <c r="K24" s="89">
        <f ca="1" t="shared" si="3"/>
        <v>33.819252</v>
      </c>
      <c r="L24" s="89">
        <f ca="1" t="shared" si="3"/>
        <v>-263.978028</v>
      </c>
      <c r="M24" s="89">
        <f ca="1" t="shared" si="3"/>
      </c>
      <c r="N24" s="89">
        <f ca="1" t="shared" si="3"/>
      </c>
      <c r="O24" s="89">
        <f ca="1" t="shared" si="3"/>
      </c>
      <c r="P24" s="89">
        <f ca="1" t="shared" si="3"/>
        <v>95.212653</v>
      </c>
      <c r="Q24" s="89">
        <f ca="1" t="shared" si="3"/>
        <v>15.521875</v>
      </c>
      <c r="R24" s="89">
        <f ca="1" t="shared" si="3"/>
        <v>-277.506548</v>
      </c>
      <c r="S24" s="89">
        <f ca="1" t="shared" si="3"/>
        <v>94.24581</v>
      </c>
      <c r="T24" s="89">
        <f ca="1" t="shared" si="3"/>
        <v>16.690589</v>
      </c>
      <c r="U24" s="89">
        <f ca="1" t="shared" si="3"/>
        <v>-280.923961</v>
      </c>
      <c r="Y24" s="9"/>
      <c r="Z24" s="9"/>
      <c r="AA24" s="9"/>
      <c r="AB24" s="9"/>
      <c r="AC24" s="9"/>
      <c r="AD24" s="9"/>
    </row>
    <row r="25" spans="3:30" ht="12.75">
      <c r="C25" s="18"/>
      <c r="D25" s="19" t="s">
        <v>504</v>
      </c>
      <c r="E25" s="19" t="s">
        <v>528</v>
      </c>
      <c r="F25" s="19" t="s">
        <v>157</v>
      </c>
      <c r="G25" s="89">
        <f ca="1" t="shared" si="3"/>
      </c>
      <c r="H25" s="89">
        <f ca="1" t="shared" si="3"/>
      </c>
      <c r="I25" s="89">
        <f ca="1" t="shared" si="3"/>
      </c>
      <c r="J25" s="89">
        <f ca="1" t="shared" si="3"/>
        <v>314.98366599999997</v>
      </c>
      <c r="K25" s="89">
        <f ca="1" t="shared" si="3"/>
        <v>141.696058</v>
      </c>
      <c r="L25" s="89">
        <f ca="1" t="shared" si="3"/>
        <v>-233.04406</v>
      </c>
      <c r="M25" s="89">
        <f ca="1" t="shared" si="3"/>
      </c>
      <c r="N25" s="89">
        <f ca="1" t="shared" si="3"/>
      </c>
      <c r="O25" s="89">
        <f ca="1" t="shared" si="3"/>
      </c>
      <c r="P25" s="89">
        <f ca="1" t="shared" si="3"/>
        <v>192.856362</v>
      </c>
      <c r="Q25" s="89">
        <f ca="1" t="shared" si="3"/>
        <v>0.087781</v>
      </c>
      <c r="R25" s="89">
        <f ca="1" t="shared" si="3"/>
        <v>-448.950976</v>
      </c>
      <c r="S25" s="89">
        <f ca="1" t="shared" si="3"/>
        <v>192.85285</v>
      </c>
      <c r="T25" s="89">
        <f ca="1" t="shared" si="3"/>
        <v>0.080828</v>
      </c>
      <c r="U25" s="89">
        <f ca="1" t="shared" si="3"/>
        <v>-448.947719</v>
      </c>
      <c r="Y25" s="9"/>
      <c r="Z25" s="9"/>
      <c r="AA25" s="9"/>
      <c r="AB25" s="9"/>
      <c r="AC25" s="9"/>
      <c r="AD25" s="9"/>
    </row>
    <row r="26" spans="3:30" ht="12.75">
      <c r="C26" s="18"/>
      <c r="D26" s="19" t="s">
        <v>505</v>
      </c>
      <c r="E26" s="19" t="s">
        <v>528</v>
      </c>
      <c r="F26" s="19"/>
      <c r="G26" s="89">
        <f ca="1" t="shared" si="3"/>
      </c>
      <c r="H26" s="89">
        <f ca="1" t="shared" si="3"/>
      </c>
      <c r="I26" s="89">
        <f ca="1" t="shared" si="3"/>
      </c>
      <c r="J26" s="89">
        <f ca="1" t="shared" si="3"/>
        <v>317.372432</v>
      </c>
      <c r="K26" s="89">
        <f ca="1" t="shared" si="3"/>
        <v>170.859094</v>
      </c>
      <c r="L26" s="89">
        <f ca="1" t="shared" si="3"/>
        <v>-224.68148</v>
      </c>
      <c r="M26" s="89">
        <f ca="1" t="shared" si="3"/>
      </c>
      <c r="N26" s="89">
        <f ca="1" t="shared" si="3"/>
      </c>
      <c r="O26" s="89">
        <f ca="1" t="shared" si="3"/>
      </c>
      <c r="P26" s="89">
        <f ca="1" t="shared" si="3"/>
        <v>422.085158</v>
      </c>
      <c r="Q26" s="89">
        <f ca="1" t="shared" si="3"/>
        <v>-10.755735</v>
      </c>
      <c r="R26" s="89">
        <f ca="1" t="shared" si="3"/>
        <v>-505.261042</v>
      </c>
      <c r="S26" s="89">
        <f ca="1" t="shared" si="3"/>
        <v>421.87106800000004</v>
      </c>
      <c r="T26" s="89">
        <f ca="1" t="shared" si="3"/>
        <v>-11.624777</v>
      </c>
      <c r="U26" s="89">
        <f ca="1" t="shared" si="3"/>
        <v>-503.556441</v>
      </c>
      <c r="Y26" s="9"/>
      <c r="Z26" s="9"/>
      <c r="AA26" s="9"/>
      <c r="AB26" s="9"/>
      <c r="AC26" s="9"/>
      <c r="AD26" s="9"/>
    </row>
    <row r="27" spans="3:30" ht="13.5" thickBot="1">
      <c r="C27" s="14"/>
      <c r="D27" s="15" t="s">
        <v>506</v>
      </c>
      <c r="E27" s="15" t="s">
        <v>528</v>
      </c>
      <c r="F27" s="15"/>
      <c r="G27" s="89">
        <f ca="1" t="shared" si="3"/>
      </c>
      <c r="H27" s="89">
        <f ca="1" t="shared" si="3"/>
      </c>
      <c r="I27" s="89">
        <f ca="1" t="shared" si="3"/>
      </c>
      <c r="J27" s="89">
        <f ca="1" t="shared" si="3"/>
        <v>373.50445</v>
      </c>
      <c r="K27" s="89">
        <f ca="1" t="shared" si="3"/>
        <v>170.859883</v>
      </c>
      <c r="L27" s="89">
        <f ca="1" t="shared" si="3"/>
        <v>-234.57904</v>
      </c>
      <c r="M27" s="89">
        <f ca="1" t="shared" si="3"/>
      </c>
      <c r="N27" s="89">
        <f ca="1" t="shared" si="3"/>
      </c>
      <c r="O27" s="89">
        <f ca="1" t="shared" si="3"/>
      </c>
      <c r="P27" s="89">
        <f ca="1" t="shared" si="3"/>
        <v>133.090238</v>
      </c>
      <c r="Q27" s="89">
        <f ca="1" t="shared" si="3"/>
        <v>-10.168951</v>
      </c>
      <c r="R27" s="89">
        <f ca="1" t="shared" si="3"/>
        <v>-627.36187</v>
      </c>
      <c r="S27" s="89">
        <f ca="1" t="shared" si="3"/>
        <v>131.35487999999998</v>
      </c>
      <c r="T27" s="89">
        <f ca="1" t="shared" si="3"/>
        <v>-11.004597</v>
      </c>
      <c r="U27" s="89">
        <f ca="1" t="shared" si="3"/>
        <v>-626.732892</v>
      </c>
      <c r="Y27" s="9"/>
      <c r="Z27" s="9"/>
      <c r="AA27" s="9"/>
      <c r="AB27" s="9"/>
      <c r="AC27" s="9"/>
      <c r="AD27" s="9"/>
    </row>
    <row r="28" spans="3:30" ht="12.75">
      <c r="C28" s="10" t="s">
        <v>507</v>
      </c>
      <c r="D28" s="11" t="s">
        <v>508</v>
      </c>
      <c r="E28" s="11" t="s">
        <v>528</v>
      </c>
      <c r="F28" s="11"/>
      <c r="G28" s="89">
        <f ca="1" t="shared" si="3"/>
      </c>
      <c r="H28" s="89">
        <f ca="1" t="shared" si="3"/>
      </c>
      <c r="I28" s="89">
        <f ca="1" t="shared" si="3"/>
      </c>
      <c r="J28" s="89">
        <f ca="1" t="shared" si="3"/>
        <v>223.12771</v>
      </c>
      <c r="K28" s="89">
        <f ca="1" t="shared" si="3"/>
        <v>170.857126</v>
      </c>
      <c r="L28" s="89">
        <f ca="1" t="shared" si="3"/>
        <v>-321.398179</v>
      </c>
      <c r="M28" s="89">
        <f ca="1" t="shared" si="3"/>
      </c>
      <c r="N28" s="89">
        <f ca="1" t="shared" si="3"/>
      </c>
      <c r="O28" s="89">
        <f ca="1" t="shared" si="3"/>
      </c>
      <c r="P28" s="89">
        <f ca="1" t="shared" si="3"/>
        <v>132.84689400000002</v>
      </c>
      <c r="Q28" s="89">
        <f ca="1" t="shared" si="3"/>
        <v>-34.14</v>
      </c>
      <c r="R28" s="89">
        <f ca="1" t="shared" si="3"/>
        <v>-627.618626</v>
      </c>
      <c r="S28" s="89">
        <f ca="1" t="shared" si="3"/>
        <v>131.07125100000002</v>
      </c>
      <c r="T28" s="89">
        <f ca="1" t="shared" si="3"/>
        <v>-34.14</v>
      </c>
      <c r="U28" s="89">
        <f ca="1" t="shared" si="3"/>
        <v>-626.968333</v>
      </c>
      <c r="Y28" s="9"/>
      <c r="Z28" s="9"/>
      <c r="AA28" s="9"/>
      <c r="AB28" s="9"/>
      <c r="AC28" s="9"/>
      <c r="AD28" s="9"/>
    </row>
    <row r="29" spans="3:30" ht="12.75">
      <c r="C29" s="18"/>
      <c r="D29" s="19" t="s">
        <v>509</v>
      </c>
      <c r="E29" s="19" t="s">
        <v>528</v>
      </c>
      <c r="F29" s="19"/>
      <c r="G29" s="89">
        <f ca="1" t="shared" si="3"/>
      </c>
      <c r="H29" s="89">
        <f ca="1" t="shared" si="3"/>
      </c>
      <c r="I29" s="89">
        <f ca="1" t="shared" si="3"/>
      </c>
      <c r="J29" s="89">
        <f ca="1" t="shared" si="3"/>
        <v>373.123603</v>
      </c>
      <c r="K29" s="89">
        <f ca="1" t="shared" si="3"/>
        <v>170.854376</v>
      </c>
      <c r="L29" s="89">
        <f ca="1" t="shared" si="3"/>
        <v>-407.997437</v>
      </c>
      <c r="M29" s="89">
        <f ca="1" t="shared" si="3"/>
      </c>
      <c r="N29" s="89">
        <f ca="1" t="shared" si="3"/>
      </c>
      <c r="O29" s="89">
        <f ca="1" t="shared" si="3"/>
      </c>
      <c r="P29" s="89">
        <f ca="1" t="shared" si="3"/>
        <v>140.50206500000002</v>
      </c>
      <c r="Q29" s="89">
        <f ca="1" t="shared" si="3"/>
        <v>-10.019144</v>
      </c>
      <c r="R29" s="89">
        <f ca="1" t="shared" si="3"/>
        <v>-620.399652</v>
      </c>
      <c r="S29" s="89">
        <f ca="1" t="shared" si="3"/>
        <v>139.389571</v>
      </c>
      <c r="T29" s="89">
        <f ca="1" t="shared" si="3"/>
        <v>-10.829581</v>
      </c>
      <c r="U29" s="89">
        <f ca="1" t="shared" si="3"/>
        <v>-619.213249</v>
      </c>
      <c r="Y29" s="9"/>
      <c r="Z29" s="9"/>
      <c r="AA29" s="9"/>
      <c r="AB29" s="9"/>
      <c r="AC29" s="9"/>
      <c r="AD29" s="9"/>
    </row>
    <row r="30" spans="1:30" ht="12.75">
      <c r="A30" s="23"/>
      <c r="C30" s="18"/>
      <c r="D30" s="19" t="s">
        <v>510</v>
      </c>
      <c r="E30" s="19" t="s">
        <v>528</v>
      </c>
      <c r="F30" s="19"/>
      <c r="G30" s="89">
        <f ca="1" t="shared" si="3"/>
      </c>
      <c r="H30" s="89">
        <f ca="1" t="shared" si="3"/>
      </c>
      <c r="I30" s="89">
        <f ca="1" t="shared" si="3"/>
      </c>
      <c r="J30" s="89">
        <f ca="1" t="shared" si="3"/>
        <v>248.123882</v>
      </c>
      <c r="K30" s="89">
        <f ca="1" t="shared" si="3"/>
        <v>170.854534</v>
      </c>
      <c r="L30" s="89">
        <f ca="1" t="shared" si="3"/>
        <v>-407.997961</v>
      </c>
      <c r="M30" s="89">
        <f ca="1" t="shared" si="3"/>
      </c>
      <c r="N30" s="89">
        <f ca="1" t="shared" si="3"/>
      </c>
      <c r="O30" s="89">
        <f ca="1" t="shared" si="3"/>
      </c>
      <c r="P30" s="89">
        <f ca="1" t="shared" si="3"/>
        <v>342.166446</v>
      </c>
      <c r="Q30" s="89">
        <f ca="1" t="shared" si="3"/>
        <v>-9.569267</v>
      </c>
      <c r="R30" s="89">
        <f ca="1" t="shared" si="3"/>
        <v>-515.227885</v>
      </c>
      <c r="S30" s="89">
        <f ca="1" t="shared" si="3"/>
        <v>342.331781</v>
      </c>
      <c r="T30" s="89">
        <f ca="1" t="shared" si="3"/>
        <v>-10.349698</v>
      </c>
      <c r="U30" s="89">
        <f ca="1" t="shared" si="3"/>
        <v>-513.62396</v>
      </c>
      <c r="Y30" s="9"/>
      <c r="Z30" s="9"/>
      <c r="AA30" s="9"/>
      <c r="AB30" s="9"/>
      <c r="AC30" s="9"/>
      <c r="AD30" s="9"/>
    </row>
    <row r="31" spans="3:30" ht="12.75">
      <c r="C31" s="18"/>
      <c r="D31" s="19" t="s">
        <v>511</v>
      </c>
      <c r="E31" s="19" t="s">
        <v>528</v>
      </c>
      <c r="F31" s="19"/>
      <c r="G31" s="89">
        <f ca="1" t="shared" si="3"/>
      </c>
      <c r="H31" s="89">
        <f ca="1" t="shared" si="3"/>
      </c>
      <c r="I31" s="89">
        <f ca="1" t="shared" si="3"/>
      </c>
      <c r="J31" s="89">
        <f ca="1" t="shared" si="3"/>
        <v>248.126616</v>
      </c>
      <c r="K31" s="89">
        <f ca="1" t="shared" si="3"/>
        <v>170.858759</v>
      </c>
      <c r="L31" s="89">
        <f ca="1" t="shared" si="3"/>
        <v>-457.998896</v>
      </c>
      <c r="M31" s="89">
        <f ca="1" t="shared" si="3"/>
      </c>
      <c r="N31" s="89">
        <f ca="1" t="shared" si="3"/>
      </c>
      <c r="O31" s="89">
        <f ca="1" t="shared" si="3"/>
      </c>
      <c r="P31" s="89">
        <f ca="1" t="shared" si="3"/>
        <v>291.711826</v>
      </c>
      <c r="Q31" s="89">
        <f ca="1" t="shared" si="3"/>
        <v>-72.027431</v>
      </c>
      <c r="R31" s="89">
        <f ca="1" t="shared" si="3"/>
        <v>-521.635326</v>
      </c>
      <c r="S31" s="89">
        <f ca="1" t="shared" si="3"/>
        <v>292.158272</v>
      </c>
      <c r="T31" s="89">
        <f ca="1" t="shared" si="3"/>
        <v>-72.58604</v>
      </c>
      <c r="U31" s="89">
        <f ca="1" t="shared" si="3"/>
        <v>-519.847765</v>
      </c>
      <c r="Y31" s="9"/>
      <c r="Z31" s="9"/>
      <c r="AA31" s="9"/>
      <c r="AB31" s="9"/>
      <c r="AC31" s="9"/>
      <c r="AD31" s="9"/>
    </row>
    <row r="32" spans="3:30" ht="12.75">
      <c r="C32" s="18"/>
      <c r="D32" s="19" t="s">
        <v>512</v>
      </c>
      <c r="E32" s="19" t="s">
        <v>528</v>
      </c>
      <c r="F32" s="19"/>
      <c r="G32" s="89">
        <f aca="true" ca="1" t="shared" si="4" ref="G32:U41">IF(OR(System="Common",System=Syst,Ray="Cent"),INDIRECT(Axe&amp;"0")+INDIRECT(Axe&amp;"fact")*INDIRECT("RayImpactsSyno!"&amp;AxeSyno&amp;Syst&amp;Ray),"")</f>
      </c>
      <c r="H32" s="89">
        <f ca="1" t="shared" si="4"/>
      </c>
      <c r="I32" s="89">
        <f ca="1" t="shared" si="4"/>
      </c>
      <c r="J32" s="89">
        <f ca="1" t="shared" si="4"/>
        <v>248.123672</v>
      </c>
      <c r="K32" s="89">
        <f ca="1" t="shared" si="4"/>
        <v>170.854597</v>
      </c>
      <c r="L32" s="89">
        <f ca="1" t="shared" si="4"/>
        <v>-457.995952</v>
      </c>
      <c r="M32" s="89">
        <f ca="1" t="shared" si="4"/>
      </c>
      <c r="N32" s="89">
        <f ca="1" t="shared" si="4"/>
      </c>
      <c r="O32" s="89">
        <f ca="1" t="shared" si="4"/>
      </c>
      <c r="P32" s="89">
        <f ca="1" t="shared" si="4"/>
        <v>300.169191</v>
      </c>
      <c r="Q32" s="89">
        <f ca="1" t="shared" si="4"/>
        <v>-61.557994</v>
      </c>
      <c r="R32" s="89">
        <f ca="1" t="shared" si="4"/>
        <v>-520.56129</v>
      </c>
      <c r="S32" s="89">
        <f ca="1" t="shared" si="4"/>
        <v>300.606691</v>
      </c>
      <c r="T32" s="89">
        <f ca="1" t="shared" si="4"/>
        <v>-62.106432</v>
      </c>
      <c r="U32" s="89">
        <f ca="1" t="shared" si="4"/>
        <v>-518.799775</v>
      </c>
      <c r="Y32" s="9"/>
      <c r="Z32" s="9"/>
      <c r="AA32" s="9"/>
      <c r="AB32" s="9"/>
      <c r="AC32" s="9"/>
      <c r="AD32" s="9"/>
    </row>
    <row r="33" spans="3:30" ht="12.75">
      <c r="C33" s="18"/>
      <c r="D33" s="19" t="s">
        <v>513</v>
      </c>
      <c r="E33" s="19" t="s">
        <v>528</v>
      </c>
      <c r="F33" s="19"/>
      <c r="G33" s="89">
        <f ca="1" t="shared" si="4"/>
      </c>
      <c r="H33" s="89">
        <f ca="1" t="shared" si="4"/>
      </c>
      <c r="I33" s="89">
        <f ca="1" t="shared" si="4"/>
      </c>
      <c r="J33" s="89">
        <f ca="1" t="shared" si="4"/>
        <v>373.123266</v>
      </c>
      <c r="K33" s="89">
        <f ca="1" t="shared" si="4"/>
        <v>170.858602</v>
      </c>
      <c r="L33" s="89">
        <f ca="1" t="shared" si="4"/>
        <v>-457.998372</v>
      </c>
      <c r="M33" s="89">
        <f ca="1" t="shared" si="4"/>
      </c>
      <c r="N33" s="89">
        <f ca="1" t="shared" si="4"/>
      </c>
      <c r="O33" s="89">
        <f ca="1" t="shared" si="4"/>
      </c>
      <c r="P33" s="89">
        <f ca="1" t="shared" si="4"/>
        <v>337.738523</v>
      </c>
      <c r="Q33" s="89">
        <f ca="1" t="shared" si="4"/>
        <v>-9.503531</v>
      </c>
      <c r="R33" s="89">
        <f ca="1" t="shared" si="4"/>
        <v>-515.780101</v>
      </c>
      <c r="S33" s="89">
        <f ca="1" t="shared" si="4"/>
        <v>337.543836</v>
      </c>
      <c r="T33" s="89">
        <f ca="1" t="shared" si="4"/>
        <v>-10.272944</v>
      </c>
      <c r="U33" s="89">
        <f ca="1" t="shared" si="4"/>
        <v>-514.229985</v>
      </c>
      <c r="Y33" s="9"/>
      <c r="Z33" s="9"/>
      <c r="AA33" s="9"/>
      <c r="AB33" s="9"/>
      <c r="AC33" s="9"/>
      <c r="AD33" s="9"/>
    </row>
    <row r="34" spans="1:30" ht="12.75">
      <c r="A34" s="23"/>
      <c r="C34" s="18"/>
      <c r="D34" s="19" t="s">
        <v>514</v>
      </c>
      <c r="E34" s="19" t="s">
        <v>528</v>
      </c>
      <c r="F34" s="19"/>
      <c r="G34" s="89">
        <f ca="1" t="shared" si="4"/>
      </c>
      <c r="H34" s="89">
        <f ca="1" t="shared" si="4"/>
      </c>
      <c r="I34" s="89">
        <f ca="1" t="shared" si="4"/>
      </c>
      <c r="J34" s="89">
        <f ca="1" t="shared" si="4"/>
        <v>223.12771</v>
      </c>
      <c r="K34" s="89">
        <f ca="1" t="shared" si="4"/>
        <v>170.855908</v>
      </c>
      <c r="L34" s="89">
        <f ca="1" t="shared" si="4"/>
        <v>-544.597766</v>
      </c>
      <c r="M34" s="89">
        <f ca="1" t="shared" si="4"/>
      </c>
      <c r="N34" s="89">
        <f ca="1" t="shared" si="4"/>
      </c>
      <c r="O34" s="89">
        <f ca="1" t="shared" si="4"/>
      </c>
      <c r="P34" s="89">
        <f ca="1" t="shared" si="4"/>
        <v>380.44417999999996</v>
      </c>
      <c r="Q34" s="89">
        <f ca="1" t="shared" si="4"/>
        <v>-10.623296</v>
      </c>
      <c r="R34" s="89">
        <f ca="1" t="shared" si="4"/>
        <v>-477.505228</v>
      </c>
      <c r="S34" s="89">
        <f ca="1" t="shared" si="4"/>
        <v>382.145705</v>
      </c>
      <c r="T34" s="89">
        <f ca="1" t="shared" si="4"/>
        <v>-11.481801</v>
      </c>
      <c r="U34" s="89">
        <f ca="1" t="shared" si="4"/>
        <v>-477.50527</v>
      </c>
      <c r="Y34" s="9"/>
      <c r="Z34" s="9"/>
      <c r="AA34" s="9"/>
      <c r="AB34" s="9"/>
      <c r="AC34" s="9"/>
      <c r="AD34" s="9"/>
    </row>
    <row r="35" spans="1:30" ht="12.75">
      <c r="A35" s="22"/>
      <c r="B35" s="22"/>
      <c r="C35" s="18"/>
      <c r="D35" s="19" t="s">
        <v>515</v>
      </c>
      <c r="E35" s="19" t="s">
        <v>528</v>
      </c>
      <c r="F35" s="19"/>
      <c r="G35" s="89">
        <f ca="1" t="shared" si="4"/>
      </c>
      <c r="H35" s="89">
        <f ca="1" t="shared" si="4"/>
      </c>
      <c r="I35" s="89">
        <f ca="1" t="shared" si="4"/>
      </c>
      <c r="J35" s="89">
        <f ca="1" t="shared" si="4"/>
        <v>354.74645499999997</v>
      </c>
      <c r="K35" s="89">
        <f ca="1" t="shared" si="4"/>
        <v>170.853544</v>
      </c>
      <c r="L35" s="89">
        <f ca="1" t="shared" si="4"/>
        <v>-620.587374</v>
      </c>
      <c r="M35" s="89">
        <f ca="1" t="shared" si="4"/>
      </c>
      <c r="N35" s="89">
        <f ca="1" t="shared" si="4"/>
      </c>
      <c r="O35" s="89">
        <f ca="1" t="shared" si="4"/>
      </c>
      <c r="P35" s="89">
        <f ca="1" t="shared" si="4"/>
        <v>380.43658300000004</v>
      </c>
      <c r="Q35" s="89">
        <f ca="1" t="shared" si="4"/>
        <v>-10.755735</v>
      </c>
      <c r="R35" s="89">
        <f ca="1" t="shared" si="4"/>
        <v>-468.515228</v>
      </c>
      <c r="S35" s="89">
        <f ca="1" t="shared" si="4"/>
        <v>382.154575</v>
      </c>
      <c r="T35" s="89">
        <f ca="1" t="shared" si="4"/>
        <v>-11.624777</v>
      </c>
      <c r="U35" s="89">
        <f ca="1" t="shared" si="4"/>
        <v>-468.51527</v>
      </c>
      <c r="Y35" s="9"/>
      <c r="Z35" s="9"/>
      <c r="AA35" s="9"/>
      <c r="AB35" s="9"/>
      <c r="AC35" s="9"/>
      <c r="AD35" s="9"/>
    </row>
    <row r="36" spans="1:30" ht="12.75">
      <c r="A36" s="22"/>
      <c r="B36" s="22"/>
      <c r="C36" s="18"/>
      <c r="D36" s="19" t="s">
        <v>516</v>
      </c>
      <c r="E36" s="19" t="s">
        <v>528</v>
      </c>
      <c r="F36" s="19"/>
      <c r="G36" s="89">
        <f ca="1" t="shared" si="4"/>
      </c>
      <c r="H36" s="89">
        <f ca="1" t="shared" si="4"/>
      </c>
      <c r="I36" s="89">
        <f ca="1" t="shared" si="4"/>
      </c>
      <c r="J36" s="89">
        <f ca="1" t="shared" si="4"/>
        <v>263.583891</v>
      </c>
      <c r="K36" s="89">
        <f ca="1" t="shared" si="4"/>
        <v>170.855319</v>
      </c>
      <c r="L36" s="89">
        <f ca="1" t="shared" si="4"/>
        <v>-636.662659</v>
      </c>
      <c r="M36" s="89">
        <f ca="1" t="shared" si="4"/>
      </c>
      <c r="N36" s="89">
        <f ca="1" t="shared" si="4"/>
      </c>
      <c r="O36" s="89">
        <f ca="1" t="shared" si="4"/>
      </c>
      <c r="P36" s="89">
        <f ca="1" t="shared" si="4"/>
        <v>202</v>
      </c>
      <c r="Q36" s="89">
        <f ca="1" t="shared" si="4"/>
        <v>0</v>
      </c>
      <c r="R36" s="89">
        <f ca="1" t="shared" si="4"/>
        <v>0</v>
      </c>
      <c r="S36" s="89">
        <f ca="1" t="shared" si="4"/>
        <v>202</v>
      </c>
      <c r="T36" s="89">
        <f ca="1" t="shared" si="4"/>
        <v>0</v>
      </c>
      <c r="U36" s="89">
        <f ca="1" t="shared" si="4"/>
        <v>0</v>
      </c>
      <c r="Y36" s="9"/>
      <c r="Z36" s="9"/>
      <c r="AA36" s="9"/>
      <c r="AB36" s="9"/>
      <c r="AC36" s="9"/>
      <c r="AD36" s="9"/>
    </row>
    <row r="37" spans="1:30" ht="13.5" thickBot="1">
      <c r="A37" s="22"/>
      <c r="B37" s="22"/>
      <c r="C37" s="14"/>
      <c r="D37" s="15" t="s">
        <v>517</v>
      </c>
      <c r="E37" s="19" t="s">
        <v>528</v>
      </c>
      <c r="F37" s="15" t="s">
        <v>158</v>
      </c>
      <c r="G37" s="89">
        <f ca="1" t="shared" si="4"/>
      </c>
      <c r="H37" s="89">
        <f ca="1" t="shared" si="4"/>
      </c>
      <c r="I37" s="89">
        <f ca="1" t="shared" si="4"/>
      </c>
      <c r="J37" s="89">
        <f ca="1" t="shared" si="4"/>
        <v>263.582508</v>
      </c>
      <c r="K37" s="89">
        <f ca="1" t="shared" si="4"/>
        <v>250.856678</v>
      </c>
      <c r="L37" s="89">
        <f ca="1" t="shared" si="4"/>
        <v>-636.663651</v>
      </c>
      <c r="M37" s="89">
        <f ca="1" t="shared" si="4"/>
      </c>
      <c r="N37" s="89">
        <f ca="1" t="shared" si="4"/>
      </c>
      <c r="O37" s="89">
        <f ca="1" t="shared" si="4"/>
      </c>
      <c r="P37" s="89">
        <f ca="1" t="shared" si="4"/>
        <v>202</v>
      </c>
      <c r="Q37" s="89">
        <f ca="1" t="shared" si="4"/>
        <v>0</v>
      </c>
      <c r="R37" s="89">
        <f ca="1" t="shared" si="4"/>
        <v>0</v>
      </c>
      <c r="S37" s="89">
        <f ca="1" t="shared" si="4"/>
        <v>202</v>
      </c>
      <c r="T37" s="89">
        <f ca="1" t="shared" si="4"/>
        <v>0</v>
      </c>
      <c r="U37" s="89">
        <f ca="1" t="shared" si="4"/>
        <v>0</v>
      </c>
      <c r="Y37" s="9"/>
      <c r="Z37" s="9"/>
      <c r="AA37" s="9"/>
      <c r="AB37" s="9"/>
      <c r="AC37" s="9"/>
      <c r="AD37" s="9"/>
    </row>
    <row r="38" spans="1:30" ht="13.5" thickBot="1">
      <c r="A38" s="23"/>
      <c r="C38" s="19"/>
      <c r="D38" s="19" t="s">
        <v>506</v>
      </c>
      <c r="E38" s="19" t="s">
        <v>529</v>
      </c>
      <c r="F38" s="19" t="s">
        <v>126</v>
      </c>
      <c r="G38" s="89">
        <f ca="1" t="shared" si="4"/>
      </c>
      <c r="H38" s="89">
        <f ca="1" t="shared" si="4"/>
      </c>
      <c r="I38" s="89">
        <f ca="1" t="shared" si="4"/>
      </c>
      <c r="J38" s="89">
        <f ca="1" t="shared" si="4"/>
      </c>
      <c r="K38" s="89">
        <f ca="1" t="shared" si="4"/>
      </c>
      <c r="L38" s="89">
        <f ca="1" t="shared" si="4"/>
      </c>
      <c r="M38" s="89">
        <f ca="1" t="shared" si="4"/>
        <v>373.50445</v>
      </c>
      <c r="N38" s="89">
        <f ca="1" t="shared" si="4"/>
        <v>170.859883</v>
      </c>
      <c r="O38" s="89">
        <f ca="1" t="shared" si="4"/>
        <v>-234.57904</v>
      </c>
      <c r="P38" s="89">
        <f ca="1" t="shared" si="4"/>
        <v>133.090238</v>
      </c>
      <c r="Q38" s="89">
        <f ca="1" t="shared" si="4"/>
        <v>-10.168951</v>
      </c>
      <c r="R38" s="89">
        <f ca="1" t="shared" si="4"/>
        <v>-627.36187</v>
      </c>
      <c r="S38" s="89">
        <f ca="1" t="shared" si="4"/>
        <v>131.35487999999998</v>
      </c>
      <c r="T38" s="89">
        <f ca="1" t="shared" si="4"/>
        <v>-11.004597</v>
      </c>
      <c r="U38" s="89">
        <f ca="1" t="shared" si="4"/>
        <v>-626.732892</v>
      </c>
      <c r="Y38" s="9"/>
      <c r="Z38" s="9"/>
      <c r="AA38" s="9"/>
      <c r="AB38" s="9"/>
      <c r="AC38" s="9"/>
      <c r="AD38" s="9"/>
    </row>
    <row r="39" spans="3:30" ht="12.75">
      <c r="C39" s="10" t="s">
        <v>518</v>
      </c>
      <c r="D39" s="11" t="s">
        <v>508</v>
      </c>
      <c r="E39" s="11" t="s">
        <v>529</v>
      </c>
      <c r="F39" s="11" t="s">
        <v>157</v>
      </c>
      <c r="G39" s="89">
        <f ca="1" t="shared" si="4"/>
      </c>
      <c r="H39" s="89">
        <f ca="1" t="shared" si="4"/>
      </c>
      <c r="I39" s="89">
        <f ca="1" t="shared" si="4"/>
      </c>
      <c r="J39" s="89">
        <f ca="1" t="shared" si="4"/>
      </c>
      <c r="K39" s="89">
        <f ca="1" t="shared" si="4"/>
      </c>
      <c r="L39" s="89">
        <f ca="1" t="shared" si="4"/>
      </c>
      <c r="M39" s="89">
        <f ca="1" t="shared" si="4"/>
        <v>223.12771</v>
      </c>
      <c r="N39" s="89">
        <f ca="1" t="shared" si="4"/>
        <v>170.857126</v>
      </c>
      <c r="O39" s="89">
        <f ca="1" t="shared" si="4"/>
        <v>-321.398179</v>
      </c>
      <c r="P39" s="89">
        <f ca="1" t="shared" si="4"/>
        <v>132.84689400000002</v>
      </c>
      <c r="Q39" s="89">
        <f ca="1" t="shared" si="4"/>
        <v>-34.14</v>
      </c>
      <c r="R39" s="89">
        <f ca="1" t="shared" si="4"/>
        <v>-627.618626</v>
      </c>
      <c r="S39" s="89">
        <f ca="1" t="shared" si="4"/>
        <v>131.07125100000002</v>
      </c>
      <c r="T39" s="89">
        <f ca="1" t="shared" si="4"/>
        <v>-34.14</v>
      </c>
      <c r="U39" s="89">
        <f ca="1" t="shared" si="4"/>
        <v>-626.968333</v>
      </c>
      <c r="Y39" s="9"/>
      <c r="Z39" s="9"/>
      <c r="AA39" s="9"/>
      <c r="AB39" s="9"/>
      <c r="AC39" s="9"/>
      <c r="AD39" s="9"/>
    </row>
    <row r="40" spans="3:30" ht="12.75">
      <c r="C40" s="18"/>
      <c r="D40" s="19" t="s">
        <v>519</v>
      </c>
      <c r="E40" s="19" t="s">
        <v>529</v>
      </c>
      <c r="F40" s="19"/>
      <c r="G40" s="89">
        <f ca="1" t="shared" si="4"/>
      </c>
      <c r="H40" s="89">
        <f ca="1" t="shared" si="4"/>
      </c>
      <c r="I40" s="89">
        <f ca="1" t="shared" si="4"/>
      </c>
      <c r="J40" s="89">
        <f ca="1" t="shared" si="4"/>
      </c>
      <c r="K40" s="89">
        <f ca="1" t="shared" si="4"/>
      </c>
      <c r="L40" s="89">
        <f ca="1" t="shared" si="4"/>
      </c>
      <c r="M40" s="89">
        <f ca="1" t="shared" si="4"/>
        <v>73.13181599999999</v>
      </c>
      <c r="N40" s="89">
        <f ca="1" t="shared" si="4"/>
        <v>170.854376</v>
      </c>
      <c r="O40" s="89">
        <f ca="1" t="shared" si="4"/>
        <v>-407.997437</v>
      </c>
      <c r="P40" s="89">
        <f ca="1" t="shared" si="4"/>
        <v>140.50206500000002</v>
      </c>
      <c r="Q40" s="89">
        <f ca="1" t="shared" si="4"/>
        <v>-10.019144</v>
      </c>
      <c r="R40" s="89">
        <f ca="1" t="shared" si="4"/>
        <v>-620.399652</v>
      </c>
      <c r="S40" s="89">
        <f ca="1" t="shared" si="4"/>
        <v>139.389571</v>
      </c>
      <c r="T40" s="89">
        <f ca="1" t="shared" si="4"/>
        <v>-10.829581</v>
      </c>
      <c r="U40" s="89">
        <f ca="1" t="shared" si="4"/>
        <v>-619.213249</v>
      </c>
      <c r="Y40" s="9"/>
      <c r="Z40" s="9"/>
      <c r="AA40" s="9"/>
      <c r="AB40" s="9"/>
      <c r="AC40" s="9"/>
      <c r="AD40" s="9"/>
    </row>
    <row r="41" spans="3:30" ht="12.75">
      <c r="C41" s="18"/>
      <c r="D41" s="19" t="s">
        <v>520</v>
      </c>
      <c r="E41" s="19" t="s">
        <v>529</v>
      </c>
      <c r="F41" s="19"/>
      <c r="G41" s="89">
        <f ca="1" t="shared" si="4"/>
      </c>
      <c r="H41" s="89">
        <f ca="1" t="shared" si="4"/>
      </c>
      <c r="I41" s="89">
        <f ca="1" t="shared" si="4"/>
      </c>
      <c r="J41" s="89">
        <f ca="1" t="shared" si="4"/>
      </c>
      <c r="K41" s="89">
        <f ca="1" t="shared" si="4"/>
      </c>
      <c r="L41" s="89">
        <f ca="1" t="shared" si="4"/>
      </c>
      <c r="M41" s="89">
        <f ca="1" t="shared" si="4"/>
        <v>198.131538</v>
      </c>
      <c r="N41" s="89">
        <f ca="1" t="shared" si="4"/>
        <v>170.854534</v>
      </c>
      <c r="O41" s="89">
        <f ca="1" t="shared" si="4"/>
        <v>-407.997961</v>
      </c>
      <c r="P41" s="89">
        <f ca="1" t="shared" si="4"/>
        <v>342.166446</v>
      </c>
      <c r="Q41" s="89">
        <f ca="1" t="shared" si="4"/>
        <v>-9.569267</v>
      </c>
      <c r="R41" s="89">
        <f ca="1" t="shared" si="4"/>
        <v>-515.227885</v>
      </c>
      <c r="S41" s="89">
        <f ca="1" t="shared" si="4"/>
        <v>342.331781</v>
      </c>
      <c r="T41" s="89">
        <f ca="1" t="shared" si="4"/>
        <v>-10.349698</v>
      </c>
      <c r="U41" s="89">
        <f ca="1" t="shared" si="4"/>
        <v>-513.62396</v>
      </c>
      <c r="Y41" s="9"/>
      <c r="Z41" s="9"/>
      <c r="AA41" s="9"/>
      <c r="AB41" s="9"/>
      <c r="AC41" s="9"/>
      <c r="AD41" s="9"/>
    </row>
    <row r="42" spans="3:30" ht="12.75">
      <c r="C42" s="18"/>
      <c r="D42" s="19" t="s">
        <v>521</v>
      </c>
      <c r="E42" s="19" t="s">
        <v>529</v>
      </c>
      <c r="F42" s="19"/>
      <c r="G42" s="89">
        <f aca="true" ca="1" t="shared" si="5" ref="G42:U48">IF(OR(System="Common",System=Syst,Ray="Cent"),INDIRECT(Axe&amp;"0")+INDIRECT(Axe&amp;"fact")*INDIRECT("RayImpactsSyno!"&amp;AxeSyno&amp;Syst&amp;Ray),"")</f>
      </c>
      <c r="H42" s="89">
        <f ca="1" t="shared" si="5"/>
      </c>
      <c r="I42" s="89">
        <f ca="1" t="shared" si="5"/>
      </c>
      <c r="J42" s="89">
        <f ca="1" t="shared" si="5"/>
      </c>
      <c r="K42" s="89">
        <f ca="1" t="shared" si="5"/>
      </c>
      <c r="L42" s="89">
        <f ca="1" t="shared" si="5"/>
      </c>
      <c r="M42" s="89">
        <f ca="1" t="shared" si="5"/>
        <v>198.128804</v>
      </c>
      <c r="N42" s="89">
        <f ca="1" t="shared" si="5"/>
        <v>170.858759</v>
      </c>
      <c r="O42" s="89">
        <f ca="1" t="shared" si="5"/>
        <v>-457.998896</v>
      </c>
      <c r="P42" s="89">
        <f ca="1" t="shared" si="5"/>
        <v>291.711826</v>
      </c>
      <c r="Q42" s="89">
        <f ca="1" t="shared" si="5"/>
        <v>-72.027431</v>
      </c>
      <c r="R42" s="89">
        <f ca="1" t="shared" si="5"/>
        <v>-521.635326</v>
      </c>
      <c r="S42" s="89">
        <f ca="1" t="shared" si="5"/>
        <v>292.158272</v>
      </c>
      <c r="T42" s="89">
        <f ca="1" t="shared" si="5"/>
        <v>-72.58604</v>
      </c>
      <c r="U42" s="89">
        <f ca="1" t="shared" si="5"/>
        <v>-519.847765</v>
      </c>
      <c r="Y42" s="9"/>
      <c r="Z42" s="9"/>
      <c r="AA42" s="9"/>
      <c r="AB42" s="9"/>
      <c r="AC42" s="9"/>
      <c r="AD42" s="9"/>
    </row>
    <row r="43" spans="3:30" ht="12.75">
      <c r="C43" s="18"/>
      <c r="D43" s="19" t="s">
        <v>522</v>
      </c>
      <c r="E43" s="19" t="s">
        <v>529</v>
      </c>
      <c r="F43" s="19"/>
      <c r="G43" s="89">
        <f ca="1" t="shared" si="5"/>
      </c>
      <c r="H43" s="89">
        <f ca="1" t="shared" si="5"/>
      </c>
      <c r="I43" s="89">
        <f ca="1" t="shared" si="5"/>
      </c>
      <c r="J43" s="89">
        <f ca="1" t="shared" si="5"/>
      </c>
      <c r="K43" s="89">
        <f ca="1" t="shared" si="5"/>
      </c>
      <c r="L43" s="89">
        <f ca="1" t="shared" si="5"/>
      </c>
      <c r="M43" s="89">
        <f ca="1" t="shared" si="5"/>
        <v>198.131747</v>
      </c>
      <c r="N43" s="89">
        <f ca="1" t="shared" si="5"/>
        <v>170.854597</v>
      </c>
      <c r="O43" s="89">
        <f ca="1" t="shared" si="5"/>
        <v>-457.995952</v>
      </c>
      <c r="P43" s="89">
        <f ca="1" t="shared" si="5"/>
        <v>300.169191</v>
      </c>
      <c r="Q43" s="89">
        <f ca="1" t="shared" si="5"/>
        <v>-61.557994</v>
      </c>
      <c r="R43" s="89">
        <f ca="1" t="shared" si="5"/>
        <v>-520.56129</v>
      </c>
      <c r="S43" s="89">
        <f ca="1" t="shared" si="5"/>
        <v>300.606691</v>
      </c>
      <c r="T43" s="89">
        <f ca="1" t="shared" si="5"/>
        <v>-62.106432</v>
      </c>
      <c r="U43" s="89">
        <f ca="1" t="shared" si="5"/>
        <v>-518.799775</v>
      </c>
      <c r="Y43" s="9"/>
      <c r="Z43" s="9"/>
      <c r="AA43" s="9"/>
      <c r="AB43" s="9"/>
      <c r="AC43" s="9"/>
      <c r="AD43" s="9"/>
    </row>
    <row r="44" spans="3:30" ht="12.75">
      <c r="C44" s="18"/>
      <c r="D44" s="19" t="s">
        <v>523</v>
      </c>
      <c r="E44" s="19" t="s">
        <v>529</v>
      </c>
      <c r="F44" s="19"/>
      <c r="G44" s="89">
        <f ca="1" t="shared" si="5"/>
      </c>
      <c r="H44" s="89">
        <f ca="1" t="shared" si="5"/>
      </c>
      <c r="I44" s="89">
        <f ca="1" t="shared" si="5"/>
      </c>
      <c r="J44" s="89">
        <f ca="1" t="shared" si="5"/>
      </c>
      <c r="K44" s="89">
        <f ca="1" t="shared" si="5"/>
      </c>
      <c r="L44" s="89">
        <f ca="1" t="shared" si="5"/>
      </c>
      <c r="M44" s="89">
        <f ca="1" t="shared" si="5"/>
        <v>73.13215299999999</v>
      </c>
      <c r="N44" s="89">
        <f ca="1" t="shared" si="5"/>
        <v>170.858602</v>
      </c>
      <c r="O44" s="89">
        <f ca="1" t="shared" si="5"/>
        <v>-457.998372</v>
      </c>
      <c r="P44" s="89">
        <f ca="1" t="shared" si="5"/>
        <v>337.738523</v>
      </c>
      <c r="Q44" s="89">
        <f ca="1" t="shared" si="5"/>
        <v>-9.503531</v>
      </c>
      <c r="R44" s="89">
        <f ca="1" t="shared" si="5"/>
        <v>-515.780101</v>
      </c>
      <c r="S44" s="89">
        <f ca="1" t="shared" si="5"/>
        <v>337.543836</v>
      </c>
      <c r="T44" s="89">
        <f ca="1" t="shared" si="5"/>
        <v>-10.272944</v>
      </c>
      <c r="U44" s="89">
        <f ca="1" t="shared" si="5"/>
        <v>-514.229985</v>
      </c>
      <c r="Y44" s="9"/>
      <c r="Z44" s="9"/>
      <c r="AA44" s="9"/>
      <c r="AB44" s="9"/>
      <c r="AC44" s="9"/>
      <c r="AD44" s="9"/>
    </row>
    <row r="45" spans="3:30" ht="12.75">
      <c r="C45" s="18"/>
      <c r="D45" s="19" t="s">
        <v>514</v>
      </c>
      <c r="E45" s="19" t="s">
        <v>529</v>
      </c>
      <c r="F45" s="19"/>
      <c r="G45" s="89">
        <f ca="1" t="shared" si="5"/>
      </c>
      <c r="H45" s="89">
        <f ca="1" t="shared" si="5"/>
      </c>
      <c r="I45" s="89">
        <f ca="1" t="shared" si="5"/>
      </c>
      <c r="J45" s="89">
        <f ca="1" t="shared" si="5"/>
      </c>
      <c r="K45" s="89">
        <f ca="1" t="shared" si="5"/>
      </c>
      <c r="L45" s="89">
        <f ca="1" t="shared" si="5"/>
      </c>
      <c r="M45" s="89">
        <f ca="1" t="shared" si="5"/>
        <v>223.12771</v>
      </c>
      <c r="N45" s="89">
        <f ca="1" t="shared" si="5"/>
        <v>170.855908</v>
      </c>
      <c r="O45" s="89">
        <f ca="1" t="shared" si="5"/>
        <v>-544.597766</v>
      </c>
      <c r="P45" s="89">
        <f ca="1" t="shared" si="5"/>
        <v>380.44417999999996</v>
      </c>
      <c r="Q45" s="89">
        <f ca="1" t="shared" si="5"/>
        <v>-10.623296</v>
      </c>
      <c r="R45" s="89">
        <f ca="1" t="shared" si="5"/>
        <v>-477.505228</v>
      </c>
      <c r="S45" s="89">
        <f ca="1" t="shared" si="5"/>
        <v>382.145705</v>
      </c>
      <c r="T45" s="89">
        <f ca="1" t="shared" si="5"/>
        <v>-11.481801</v>
      </c>
      <c r="U45" s="89">
        <f ca="1" t="shared" si="5"/>
        <v>-477.50527</v>
      </c>
      <c r="Y45" s="9"/>
      <c r="Z45" s="9"/>
      <c r="AA45" s="9"/>
      <c r="AB45" s="9"/>
      <c r="AC45" s="9"/>
      <c r="AD45" s="9"/>
    </row>
    <row r="46" spans="3:30" ht="12.75">
      <c r="C46" s="18"/>
      <c r="D46" s="19" t="s">
        <v>524</v>
      </c>
      <c r="E46" s="19" t="s">
        <v>529</v>
      </c>
      <c r="F46" s="19"/>
      <c r="G46" s="89">
        <f ca="1" t="shared" si="5"/>
      </c>
      <c r="H46" s="89">
        <f ca="1" t="shared" si="5"/>
      </c>
      <c r="I46" s="89">
        <f ca="1" t="shared" si="5"/>
      </c>
      <c r="J46" s="89">
        <f ca="1" t="shared" si="5"/>
      </c>
      <c r="K46" s="89">
        <f ca="1" t="shared" si="5"/>
      </c>
      <c r="L46" s="89">
        <f ca="1" t="shared" si="5"/>
      </c>
      <c r="M46" s="89">
        <f ca="1" t="shared" si="5"/>
        <v>91.508965</v>
      </c>
      <c r="N46" s="89">
        <f ca="1" t="shared" si="5"/>
        <v>170.853544</v>
      </c>
      <c r="O46" s="89">
        <f ca="1" t="shared" si="5"/>
        <v>-620.587374</v>
      </c>
      <c r="P46" s="89">
        <f ca="1" t="shared" si="5"/>
        <v>380.43658300000004</v>
      </c>
      <c r="Q46" s="89">
        <f ca="1" t="shared" si="5"/>
        <v>-10.755735</v>
      </c>
      <c r="R46" s="89">
        <f ca="1" t="shared" si="5"/>
        <v>-468.515228</v>
      </c>
      <c r="S46" s="89">
        <f ca="1" t="shared" si="5"/>
        <v>382.154575</v>
      </c>
      <c r="T46" s="89">
        <f ca="1" t="shared" si="5"/>
        <v>-11.624777</v>
      </c>
      <c r="U46" s="89">
        <f ca="1" t="shared" si="5"/>
        <v>-468.51527</v>
      </c>
      <c r="Y46" s="9"/>
      <c r="Z46" s="9"/>
      <c r="AA46" s="9"/>
      <c r="AB46" s="9"/>
      <c r="AC46" s="9"/>
      <c r="AD46" s="9"/>
    </row>
    <row r="47" spans="3:30" ht="12.75">
      <c r="C47" s="18"/>
      <c r="D47" s="19" t="s">
        <v>525</v>
      </c>
      <c r="E47" s="19" t="s">
        <v>529</v>
      </c>
      <c r="F47" s="19"/>
      <c r="G47" s="89">
        <f ca="1" t="shared" si="5"/>
      </c>
      <c r="H47" s="89">
        <f ca="1" t="shared" si="5"/>
      </c>
      <c r="I47" s="89">
        <f ca="1" t="shared" si="5"/>
      </c>
      <c r="J47" s="89">
        <f ca="1" t="shared" si="5"/>
      </c>
      <c r="K47" s="89">
        <f ca="1" t="shared" si="5"/>
      </c>
      <c r="L47" s="89">
        <f ca="1" t="shared" si="5"/>
      </c>
      <c r="M47" s="89">
        <f ca="1" t="shared" si="5"/>
        <v>182.671529</v>
      </c>
      <c r="N47" s="89">
        <f ca="1" t="shared" si="5"/>
        <v>170.855319</v>
      </c>
      <c r="O47" s="89">
        <f ca="1" t="shared" si="5"/>
        <v>-636.662659</v>
      </c>
      <c r="P47" s="89">
        <f ca="1" t="shared" si="5"/>
        <v>202</v>
      </c>
      <c r="Q47" s="89">
        <f ca="1" t="shared" si="5"/>
        <v>0</v>
      </c>
      <c r="R47" s="89">
        <f ca="1" t="shared" si="5"/>
        <v>0</v>
      </c>
      <c r="S47" s="89">
        <f ca="1" t="shared" si="5"/>
        <v>202</v>
      </c>
      <c r="T47" s="89">
        <f ca="1" t="shared" si="5"/>
        <v>0</v>
      </c>
      <c r="U47" s="89">
        <f ca="1" t="shared" si="5"/>
        <v>0</v>
      </c>
      <c r="Y47" s="9"/>
      <c r="Z47" s="9"/>
      <c r="AA47" s="9"/>
      <c r="AB47" s="9"/>
      <c r="AC47" s="9"/>
      <c r="AD47" s="9"/>
    </row>
    <row r="48" spans="3:30" ht="13.5" thickBot="1">
      <c r="C48" s="14"/>
      <c r="D48" s="15" t="s">
        <v>526</v>
      </c>
      <c r="E48" s="15" t="s">
        <v>529</v>
      </c>
      <c r="F48" s="15" t="s">
        <v>158</v>
      </c>
      <c r="G48" s="89">
        <f ca="1" t="shared" si="5"/>
      </c>
      <c r="H48" s="89">
        <f ca="1" t="shared" si="5"/>
      </c>
      <c r="I48" s="89">
        <f ca="1" t="shared" si="5"/>
      </c>
      <c r="J48" s="89">
        <f ca="1" t="shared" si="5"/>
      </c>
      <c r="K48" s="89">
        <f ca="1" t="shared" si="5"/>
      </c>
      <c r="L48" s="89">
        <f ca="1" t="shared" si="5"/>
      </c>
      <c r="M48" s="89">
        <f ca="1" t="shared" si="5"/>
        <v>182.672912</v>
      </c>
      <c r="N48" s="89">
        <f ca="1" t="shared" si="5"/>
        <v>250.856678</v>
      </c>
      <c r="O48" s="89">
        <f ca="1" t="shared" si="5"/>
        <v>-636.663651</v>
      </c>
      <c r="P48" s="89">
        <f ca="1" t="shared" si="5"/>
        <v>202</v>
      </c>
      <c r="Q48" s="89">
        <f ca="1" t="shared" si="5"/>
        <v>0</v>
      </c>
      <c r="R48" s="89">
        <f ca="1" t="shared" si="5"/>
        <v>0</v>
      </c>
      <c r="S48" s="89">
        <f ca="1" t="shared" si="5"/>
        <v>202</v>
      </c>
      <c r="T48" s="89">
        <f ca="1" t="shared" si="5"/>
        <v>0</v>
      </c>
      <c r="U48" s="89">
        <f ca="1" t="shared" si="5"/>
        <v>0</v>
      </c>
      <c r="Y48" s="9"/>
      <c r="Z48" s="9"/>
      <c r="AA48" s="9"/>
      <c r="AB48" s="9"/>
      <c r="AC48" s="9"/>
      <c r="AD48" s="9"/>
    </row>
    <row r="49" spans="1:30" ht="12.75">
      <c r="A49" s="25" t="s">
        <v>553</v>
      </c>
      <c r="C49" s="19"/>
      <c r="D49" s="19"/>
      <c r="E49" s="19"/>
      <c r="G49" s="21" t="s">
        <v>17</v>
      </c>
      <c r="H49" s="21" t="s">
        <v>80</v>
      </c>
      <c r="I49" s="21" t="s">
        <v>81</v>
      </c>
      <c r="J49" s="21" t="s">
        <v>17</v>
      </c>
      <c r="K49" s="21" t="s">
        <v>80</v>
      </c>
      <c r="L49" s="21" t="s">
        <v>81</v>
      </c>
      <c r="M49" s="21" t="s">
        <v>17</v>
      </c>
      <c r="N49" s="21" t="s">
        <v>80</v>
      </c>
      <c r="O49" s="21" t="s">
        <v>81</v>
      </c>
      <c r="P49" s="21" t="s">
        <v>17</v>
      </c>
      <c r="Q49" s="21" t="s">
        <v>80</v>
      </c>
      <c r="R49" s="21" t="s">
        <v>81</v>
      </c>
      <c r="S49" s="21" t="s">
        <v>17</v>
      </c>
      <c r="T49" s="21" t="s">
        <v>80</v>
      </c>
      <c r="U49" s="21" t="s">
        <v>81</v>
      </c>
      <c r="V49" s="21"/>
      <c r="W49" s="21"/>
      <c r="X49" s="21"/>
      <c r="Y49" s="19"/>
      <c r="Z49" s="19"/>
      <c r="AA49" s="19"/>
      <c r="AB49" s="19"/>
      <c r="AC49" s="19"/>
      <c r="AD49" s="19"/>
    </row>
    <row r="50" spans="1:30" ht="12.75">
      <c r="A50" s="5" t="s">
        <v>555</v>
      </c>
      <c r="G50" s="21" t="s">
        <v>527</v>
      </c>
      <c r="H50" s="21" t="s">
        <v>527</v>
      </c>
      <c r="I50" s="21" t="s">
        <v>527</v>
      </c>
      <c r="J50" s="21" t="s">
        <v>528</v>
      </c>
      <c r="K50" s="21" t="s">
        <v>528</v>
      </c>
      <c r="L50" s="21" t="s">
        <v>528</v>
      </c>
      <c r="M50" s="21" t="s">
        <v>529</v>
      </c>
      <c r="N50" s="21" t="s">
        <v>529</v>
      </c>
      <c r="O50" s="21" t="s">
        <v>529</v>
      </c>
      <c r="P50" s="20" t="s">
        <v>556</v>
      </c>
      <c r="Q50" s="20" t="s">
        <v>556</v>
      </c>
      <c r="R50" s="20" t="s">
        <v>556</v>
      </c>
      <c r="S50" s="20" t="s">
        <v>558</v>
      </c>
      <c r="T50" s="20" t="s">
        <v>558</v>
      </c>
      <c r="U50" s="20" t="s">
        <v>558</v>
      </c>
      <c r="V50" s="21"/>
      <c r="W50" s="21"/>
      <c r="X50" s="21"/>
      <c r="Y50" s="19"/>
      <c r="Z50" s="19"/>
      <c r="AA50" s="19"/>
      <c r="AB50" s="19"/>
      <c r="AC50" s="19"/>
      <c r="AD50" s="19"/>
    </row>
    <row r="51" spans="1:30" ht="12.75">
      <c r="A51" s="25" t="s">
        <v>3</v>
      </c>
      <c r="G51" s="21" t="s">
        <v>147</v>
      </c>
      <c r="H51" s="21" t="s">
        <v>147</v>
      </c>
      <c r="I51" s="21" t="s">
        <v>147</v>
      </c>
      <c r="J51" s="21" t="s">
        <v>147</v>
      </c>
      <c r="K51" s="21" t="s">
        <v>147</v>
      </c>
      <c r="L51" s="21" t="s">
        <v>147</v>
      </c>
      <c r="M51" s="21" t="s">
        <v>147</v>
      </c>
      <c r="N51" s="21" t="s">
        <v>147</v>
      </c>
      <c r="O51" s="21" t="s">
        <v>147</v>
      </c>
      <c r="P51" s="20" t="s">
        <v>557</v>
      </c>
      <c r="Q51" s="20" t="s">
        <v>557</v>
      </c>
      <c r="R51" s="20" t="s">
        <v>557</v>
      </c>
      <c r="S51" s="20" t="s">
        <v>557</v>
      </c>
      <c r="T51" s="20" t="s">
        <v>557</v>
      </c>
      <c r="U51" s="20" t="s">
        <v>557</v>
      </c>
      <c r="V51" s="21"/>
      <c r="W51" s="21"/>
      <c r="X51" s="21"/>
      <c r="Y51" s="19"/>
      <c r="Z51" s="19"/>
      <c r="AA51" s="19"/>
      <c r="AB51" s="19"/>
      <c r="AC51" s="19"/>
      <c r="AD51" s="19"/>
    </row>
    <row r="52" spans="1:30" ht="12.75">
      <c r="A52" s="5" t="s">
        <v>554</v>
      </c>
      <c r="G52" s="21" t="s">
        <v>545</v>
      </c>
      <c r="H52" s="21" t="s">
        <v>543</v>
      </c>
      <c r="I52" s="21" t="s">
        <v>544</v>
      </c>
      <c r="J52" s="21" t="s">
        <v>545</v>
      </c>
      <c r="K52" s="21" t="s">
        <v>543</v>
      </c>
      <c r="L52" s="21" t="s">
        <v>544</v>
      </c>
      <c r="M52" s="21" t="s">
        <v>545</v>
      </c>
      <c r="N52" s="21" t="s">
        <v>543</v>
      </c>
      <c r="O52" s="21" t="s">
        <v>544</v>
      </c>
      <c r="P52" s="21" t="s">
        <v>545</v>
      </c>
      <c r="Q52" s="21" t="s">
        <v>543</v>
      </c>
      <c r="R52" s="21" t="s">
        <v>544</v>
      </c>
      <c r="S52" s="21" t="s">
        <v>545</v>
      </c>
      <c r="T52" s="21" t="s">
        <v>543</v>
      </c>
      <c r="U52" s="21" t="s">
        <v>544</v>
      </c>
      <c r="V52" s="21"/>
      <c r="W52" s="21"/>
      <c r="X52" s="21"/>
      <c r="Y52" s="19"/>
      <c r="Z52" s="19"/>
      <c r="AA52" s="19"/>
      <c r="AB52" s="19"/>
      <c r="AC52" s="19"/>
      <c r="AD52" s="19"/>
    </row>
    <row r="53" spans="7:30" ht="12.75">
      <c r="G53" s="21"/>
      <c r="H53" s="21"/>
      <c r="I53" s="21"/>
      <c r="J53" s="21"/>
      <c r="K53" s="21"/>
      <c r="L53" s="21"/>
      <c r="M53" s="21"/>
      <c r="N53" s="21"/>
      <c r="O53" s="21"/>
      <c r="P53" s="19"/>
      <c r="Q53" s="19"/>
      <c r="R53" s="19"/>
      <c r="S53" s="19"/>
      <c r="T53" s="19"/>
      <c r="U53" s="19"/>
      <c r="V53" s="21"/>
      <c r="W53" s="21"/>
      <c r="X53" s="21"/>
      <c r="Y53" s="19"/>
      <c r="Z53" s="19"/>
      <c r="AA53" s="19"/>
      <c r="AB53" s="19"/>
      <c r="AC53" s="19"/>
      <c r="AD53" s="19"/>
    </row>
    <row r="54" spans="3:30" ht="12.75">
      <c r="C54" s="23" t="s">
        <v>135</v>
      </c>
      <c r="D54" s="19"/>
      <c r="E54" s="19"/>
      <c r="G54" s="21"/>
      <c r="H54" s="21"/>
      <c r="I54" s="21"/>
      <c r="J54" s="21"/>
      <c r="K54" s="21"/>
      <c r="L54" s="21"/>
      <c r="M54" s="21"/>
      <c r="N54" s="21"/>
      <c r="O54" s="21"/>
      <c r="P54" s="19"/>
      <c r="Q54" s="19"/>
      <c r="R54" s="19"/>
      <c r="S54" s="19"/>
      <c r="T54" s="19"/>
      <c r="U54" s="19"/>
      <c r="V54" s="21"/>
      <c r="W54" s="21"/>
      <c r="X54" s="21"/>
      <c r="Y54" s="19"/>
      <c r="Z54" s="19"/>
      <c r="AA54" s="19"/>
      <c r="AB54" s="19"/>
      <c r="AC54" s="19"/>
      <c r="AD54" s="19"/>
    </row>
    <row r="55" spans="3:30" ht="12.75">
      <c r="C55" s="1" t="s">
        <v>17</v>
      </c>
      <c r="D55" s="1" t="str">
        <f>"-Zsyno"</f>
        <v>-Zsyno</v>
      </c>
      <c r="E55" s="1" t="s">
        <v>128</v>
      </c>
      <c r="F55" s="19"/>
      <c r="G55" s="21"/>
      <c r="H55" s="21"/>
      <c r="I55" s="21"/>
      <c r="J55" s="21"/>
      <c r="K55" s="21"/>
      <c r="L55" s="21"/>
      <c r="M55" s="21"/>
      <c r="N55" s="21"/>
      <c r="O55" s="21"/>
      <c r="P55" s="19"/>
      <c r="Q55" s="19"/>
      <c r="R55" s="19"/>
      <c r="S55" s="19"/>
      <c r="T55" s="19"/>
      <c r="U55" s="19"/>
      <c r="V55" s="21"/>
      <c r="W55" s="21"/>
      <c r="X55" s="21"/>
      <c r="Y55" s="19"/>
      <c r="Z55" s="19"/>
      <c r="AA55" s="19"/>
      <c r="AB55" s="19"/>
      <c r="AC55" s="19"/>
      <c r="AD55" s="19"/>
    </row>
    <row r="56" spans="3:5" ht="12.75">
      <c r="C56" s="1" t="s">
        <v>80</v>
      </c>
      <c r="D56" s="1" t="s">
        <v>131</v>
      </c>
      <c r="E56" s="1" t="s">
        <v>129</v>
      </c>
    </row>
    <row r="57" spans="3:5" ht="12.75">
      <c r="C57" s="1" t="s">
        <v>81</v>
      </c>
      <c r="D57" s="1" t="s">
        <v>132</v>
      </c>
      <c r="E57" s="1" t="s">
        <v>130</v>
      </c>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AE55"/>
  <sheetViews>
    <sheetView workbookViewId="0" topLeftCell="A1">
      <pane ySplit="8835" topLeftCell="BM47" activePane="topLeft" state="split"/>
      <selection pane="topLeft" activeCell="I1" sqref="I1:W16384"/>
      <selection pane="bottomLeft" activeCell="O53" sqref="O53"/>
    </sheetView>
  </sheetViews>
  <sheetFormatPr defaultColWidth="12" defaultRowHeight="12.75"/>
  <cols>
    <col min="1" max="1" width="10" style="1" customWidth="1"/>
    <col min="2" max="2" width="12" style="1" customWidth="1"/>
    <col min="3" max="3" width="20.16015625" style="1" customWidth="1"/>
    <col min="4" max="6" width="12" style="1" customWidth="1"/>
    <col min="7" max="7" width="12" style="8" customWidth="1"/>
    <col min="8" max="8" width="8.16015625" style="8" customWidth="1"/>
    <col min="9" max="17" width="12.16015625" style="89" customWidth="1"/>
    <col min="18" max="23" width="12.16015625" style="97" customWidth="1"/>
    <col min="24" max="16384" width="12" style="1" customWidth="1"/>
  </cols>
  <sheetData>
    <row r="1" spans="3:23" s="5" customFormat="1" ht="12.75">
      <c r="C1" s="5" t="s">
        <v>127</v>
      </c>
      <c r="D1" s="5" t="s">
        <v>2</v>
      </c>
      <c r="E1" s="5" t="s">
        <v>530</v>
      </c>
      <c r="F1" s="5" t="s">
        <v>156</v>
      </c>
      <c r="G1" s="6" t="s">
        <v>89</v>
      </c>
      <c r="H1" s="6" t="s">
        <v>90</v>
      </c>
      <c r="I1" s="85" t="str">
        <f>Axe&amp;Syst&amp;Ray</f>
        <v>XPhotGut</v>
      </c>
      <c r="J1" s="85" t="str">
        <f aca="true" t="shared" si="0" ref="J1:W1">Axe&amp;Syst&amp;Ray</f>
        <v>YPhotGut</v>
      </c>
      <c r="K1" s="85" t="str">
        <f t="shared" si="0"/>
        <v>ZPhotGut</v>
      </c>
      <c r="L1" s="85" t="str">
        <f t="shared" si="0"/>
        <v>XSpecUpGut</v>
      </c>
      <c r="M1" s="85" t="str">
        <f t="shared" si="0"/>
        <v>YSpecUpGut</v>
      </c>
      <c r="N1" s="85" t="str">
        <f t="shared" si="0"/>
        <v>ZSpecUpGut</v>
      </c>
      <c r="O1" s="85" t="str">
        <f t="shared" si="0"/>
        <v>XSpecLoGut</v>
      </c>
      <c r="P1" s="85" t="str">
        <f t="shared" si="0"/>
        <v>YSpecLoGut</v>
      </c>
      <c r="Q1" s="85" t="str">
        <f t="shared" si="0"/>
        <v>ZSpecLoGut</v>
      </c>
      <c r="R1" s="85" t="str">
        <f t="shared" si="0"/>
        <v>XM3Cent</v>
      </c>
      <c r="S1" s="85" t="str">
        <f t="shared" si="0"/>
        <v>YM3Cent</v>
      </c>
      <c r="T1" s="85" t="str">
        <f t="shared" si="0"/>
        <v>ZM3Cent</v>
      </c>
      <c r="U1" s="85" t="str">
        <f t="shared" si="0"/>
        <v>XM5Cent</v>
      </c>
      <c r="V1" s="85" t="str">
        <f t="shared" si="0"/>
        <v>YM5Cent</v>
      </c>
      <c r="W1" s="85" t="str">
        <f t="shared" si="0"/>
        <v>ZM5Cent</v>
      </c>
    </row>
    <row r="2" spans="4:23" ht="13.5" thickBot="1">
      <c r="D2" s="1" t="s">
        <v>91</v>
      </c>
      <c r="E2" s="1" t="s">
        <v>546</v>
      </c>
      <c r="F2" s="1" t="s">
        <v>126</v>
      </c>
      <c r="G2" s="8">
        <v>5</v>
      </c>
      <c r="H2" s="8">
        <v>27</v>
      </c>
      <c r="I2" s="89">
        <f aca="true" ca="1" t="shared" si="1" ref="I2:W11">IF(OR(System="Common",System=Syst,Ray="Cent"),INDIRECT(Syst&amp;Ray&amp;"Ray!"&amp;INDIRECT(Axe&amp;"col")&amp;FIXED(Line,0)),"")</f>
        <v>0</v>
      </c>
      <c r="J2" s="89">
        <f ca="1" t="shared" si="1"/>
        <v>61.176845</v>
      </c>
      <c r="K2" s="89">
        <f ca="1" t="shared" si="1"/>
        <v>-3050</v>
      </c>
      <c r="L2" s="89">
        <f ca="1" t="shared" si="1"/>
        <v>41.140746</v>
      </c>
      <c r="M2" s="89">
        <f ca="1" t="shared" si="1"/>
        <v>61.187248</v>
      </c>
      <c r="N2" s="89">
        <f ca="1" t="shared" si="1"/>
        <v>-3050.162</v>
      </c>
      <c r="O2" s="89">
        <f ca="1" t="shared" si="1"/>
        <v>41.140746</v>
      </c>
      <c r="P2" s="89">
        <f ca="1" t="shared" si="1"/>
        <v>61.187248</v>
      </c>
      <c r="Q2" s="89">
        <f ca="1" t="shared" si="1"/>
        <v>-3050.162</v>
      </c>
      <c r="R2" s="89">
        <f ca="1" t="shared" si="1"/>
        <v>12.75945</v>
      </c>
      <c r="S2" s="89">
        <f ca="1" t="shared" si="1"/>
        <v>62.305383</v>
      </c>
      <c r="T2" s="89">
        <f ca="1" t="shared" si="1"/>
        <v>-3050.162</v>
      </c>
      <c r="U2" s="89">
        <f ca="1" t="shared" si="1"/>
        <v>13.817514</v>
      </c>
      <c r="V2" s="89">
        <f ca="1" t="shared" si="1"/>
        <v>60.298241</v>
      </c>
      <c r="W2" s="89">
        <f ca="1" t="shared" si="1"/>
        <v>-3050.162</v>
      </c>
    </row>
    <row r="3" spans="3:23" ht="12.75">
      <c r="C3" s="10" t="s">
        <v>120</v>
      </c>
      <c r="D3" s="11" t="s">
        <v>92</v>
      </c>
      <c r="E3" s="11" t="s">
        <v>546</v>
      </c>
      <c r="F3" s="11"/>
      <c r="G3" s="12">
        <v>6</v>
      </c>
      <c r="H3" s="12">
        <f>SurfNum+Line0</f>
        <v>28</v>
      </c>
      <c r="I3" s="89">
        <f ca="1" t="shared" si="1"/>
        <v>0</v>
      </c>
      <c r="J3" s="89">
        <f ca="1" t="shared" si="1"/>
        <v>54.793441</v>
      </c>
      <c r="K3" s="89">
        <f ca="1" t="shared" si="1"/>
        <v>-1050.428903</v>
      </c>
      <c r="L3" s="89">
        <f ca="1" t="shared" si="1"/>
        <v>36.848567</v>
      </c>
      <c r="M3" s="89">
        <f ca="1" t="shared" si="1"/>
        <v>54.803634</v>
      </c>
      <c r="N3" s="89">
        <f ca="1" t="shared" si="1"/>
        <v>-1050.785036</v>
      </c>
      <c r="O3" s="89">
        <f ca="1" t="shared" si="1"/>
        <v>36.848567</v>
      </c>
      <c r="P3" s="89">
        <f ca="1" t="shared" si="1"/>
        <v>54.803634</v>
      </c>
      <c r="Q3" s="89">
        <f ca="1" t="shared" si="1"/>
        <v>-1050.785036</v>
      </c>
      <c r="R3" s="89">
        <f ca="1" t="shared" si="1"/>
        <v>11.427923</v>
      </c>
      <c r="S3" s="89">
        <f ca="1" t="shared" si="1"/>
        <v>55.803431</v>
      </c>
      <c r="T3" s="89">
        <f ca="1" t="shared" si="1"/>
        <v>-1050.625517</v>
      </c>
      <c r="U3" s="89">
        <f ca="1" t="shared" si="1"/>
        <v>12.375513</v>
      </c>
      <c r="V3" s="89">
        <f ca="1" t="shared" si="1"/>
        <v>54.005491</v>
      </c>
      <c r="W3" s="89">
        <f ca="1" t="shared" si="1"/>
        <v>-1050.600535</v>
      </c>
    </row>
    <row r="4" spans="3:23" ht="13.5" thickBot="1">
      <c r="C4" s="14"/>
      <c r="D4" s="15" t="s">
        <v>93</v>
      </c>
      <c r="E4" s="15" t="s">
        <v>546</v>
      </c>
      <c r="F4" s="15"/>
      <c r="G4" s="16">
        <v>7</v>
      </c>
      <c r="H4" s="16">
        <f aca="true" t="shared" si="2" ref="H4:H22">SurfNum+Line0</f>
        <v>29</v>
      </c>
      <c r="I4" s="89">
        <f ca="1" t="shared" si="1"/>
        <v>0</v>
      </c>
      <c r="J4" s="89">
        <f ca="1" t="shared" si="1"/>
        <v>7.11E-15</v>
      </c>
      <c r="K4" s="89">
        <f ca="1" t="shared" si="1"/>
        <v>-2637.998</v>
      </c>
      <c r="L4" s="89">
        <f ca="1" t="shared" si="1"/>
        <v>3.77E-13</v>
      </c>
      <c r="M4" s="89">
        <f ca="1" t="shared" si="1"/>
        <v>-3.62E-13</v>
      </c>
      <c r="N4" s="89">
        <f ca="1" t="shared" si="1"/>
        <v>-2638.131</v>
      </c>
      <c r="O4" s="89">
        <f ca="1" t="shared" si="1"/>
        <v>3.77E-13</v>
      </c>
      <c r="P4" s="89">
        <f ca="1" t="shared" si="1"/>
        <v>-3.62E-13</v>
      </c>
      <c r="Q4" s="89">
        <f ca="1" t="shared" si="1"/>
        <v>-2638.131</v>
      </c>
      <c r="R4" s="89">
        <f ca="1" t="shared" si="1"/>
        <v>3.55E-15</v>
      </c>
      <c r="S4" s="89">
        <f ca="1" t="shared" si="1"/>
        <v>1.42E-14</v>
      </c>
      <c r="T4" s="89">
        <f ca="1" t="shared" si="1"/>
        <v>-2638.131</v>
      </c>
      <c r="U4" s="89">
        <f ca="1" t="shared" si="1"/>
        <v>1.78E-15</v>
      </c>
      <c r="V4" s="89">
        <f ca="1" t="shared" si="1"/>
        <v>-7.11E-15</v>
      </c>
      <c r="W4" s="89">
        <f ca="1" t="shared" si="1"/>
        <v>-2638.131</v>
      </c>
    </row>
    <row r="5" spans="3:23" ht="12.75">
      <c r="C5" s="10" t="s">
        <v>121</v>
      </c>
      <c r="D5" s="11" t="s">
        <v>94</v>
      </c>
      <c r="E5" s="11" t="s">
        <v>546</v>
      </c>
      <c r="F5" s="11" t="s">
        <v>157</v>
      </c>
      <c r="G5" s="12">
        <v>9</v>
      </c>
      <c r="H5" s="12">
        <f t="shared" si="2"/>
        <v>31</v>
      </c>
      <c r="I5" s="89">
        <f ca="1" t="shared" si="1"/>
        <v>0</v>
      </c>
      <c r="J5" s="89">
        <f ca="1" t="shared" si="1"/>
        <v>-90.137429</v>
      </c>
      <c r="K5" s="89">
        <f ca="1" t="shared" si="1"/>
        <v>-26.382552</v>
      </c>
      <c r="L5" s="89">
        <f ca="1" t="shared" si="1"/>
        <v>-60.320777</v>
      </c>
      <c r="M5" s="89">
        <f ca="1" t="shared" si="1"/>
        <v>-89.713062</v>
      </c>
      <c r="N5" s="89">
        <f ca="1" t="shared" si="1"/>
        <v>-39.659771</v>
      </c>
      <c r="O5" s="89">
        <f ca="1" t="shared" si="1"/>
        <v>-60.320777</v>
      </c>
      <c r="P5" s="89">
        <f ca="1" t="shared" si="1"/>
        <v>-89.713062</v>
      </c>
      <c r="Q5" s="89">
        <f ca="1" t="shared" si="1"/>
        <v>-39.659771</v>
      </c>
      <c r="R5" s="89">
        <f ca="1" t="shared" si="1"/>
        <v>-18.784562</v>
      </c>
      <c r="S5" s="89">
        <f ca="1" t="shared" si="1"/>
        <v>-91.72647</v>
      </c>
      <c r="T5" s="89">
        <f ca="1" t="shared" si="1"/>
        <v>-28.68079</v>
      </c>
      <c r="U5" s="89">
        <f ca="1" t="shared" si="1"/>
        <v>-20.354767</v>
      </c>
      <c r="V5" s="89">
        <f ca="1" t="shared" si="1"/>
        <v>-88.826152</v>
      </c>
      <c r="W5" s="89">
        <f ca="1" t="shared" si="1"/>
        <v>-27.022003</v>
      </c>
    </row>
    <row r="6" spans="3:23" ht="12.75">
      <c r="C6" s="18"/>
      <c r="D6" s="19" t="s">
        <v>95</v>
      </c>
      <c r="E6" s="19" t="s">
        <v>546</v>
      </c>
      <c r="F6" s="19"/>
      <c r="G6" s="20">
        <v>11</v>
      </c>
      <c r="H6" s="20">
        <f t="shared" si="2"/>
        <v>33</v>
      </c>
      <c r="I6" s="89">
        <f ca="1" t="shared" si="1"/>
        <v>0</v>
      </c>
      <c r="J6" s="89">
        <f ca="1" t="shared" si="1"/>
        <v>-93.493606</v>
      </c>
      <c r="K6" s="89">
        <f ca="1" t="shared" si="1"/>
        <v>70.85834</v>
      </c>
      <c r="L6" s="89">
        <f ca="1" t="shared" si="1"/>
        <v>-62.761232</v>
      </c>
      <c r="M6" s="89">
        <f ca="1" t="shared" si="1"/>
        <v>-93.342669</v>
      </c>
      <c r="N6" s="89">
        <f ca="1" t="shared" si="1"/>
        <v>65.469052</v>
      </c>
      <c r="O6" s="89">
        <f ca="1" t="shared" si="1"/>
        <v>-62.761232</v>
      </c>
      <c r="P6" s="89">
        <f ca="1" t="shared" si="1"/>
        <v>-93.342669</v>
      </c>
      <c r="Q6" s="89">
        <f ca="1" t="shared" si="1"/>
        <v>65.469052</v>
      </c>
      <c r="R6" s="89">
        <f ca="1" t="shared" si="1"/>
        <v>-19.500476</v>
      </c>
      <c r="S6" s="89">
        <f ca="1" t="shared" si="1"/>
        <v>-95.222336</v>
      </c>
      <c r="T6" s="89">
        <f ca="1" t="shared" si="1"/>
        <v>70.770194</v>
      </c>
      <c r="U6" s="89">
        <f ca="1" t="shared" si="1"/>
        <v>-21.110403</v>
      </c>
      <c r="V6" s="89">
        <f ca="1" t="shared" si="1"/>
        <v>-92.123671</v>
      </c>
      <c r="W6" s="89">
        <f ca="1" t="shared" si="1"/>
        <v>69.910954</v>
      </c>
    </row>
    <row r="7" spans="1:23" ht="12.75">
      <c r="A7" s="1" t="s">
        <v>96</v>
      </c>
      <c r="B7" s="1">
        <v>22</v>
      </c>
      <c r="C7" s="18"/>
      <c r="D7" s="19" t="s">
        <v>97</v>
      </c>
      <c r="E7" s="19" t="s">
        <v>546</v>
      </c>
      <c r="F7" s="19"/>
      <c r="G7" s="20">
        <v>14</v>
      </c>
      <c r="H7" s="20">
        <f t="shared" si="2"/>
        <v>36</v>
      </c>
      <c r="I7" s="89">
        <f ca="1" t="shared" si="1"/>
        <v>0</v>
      </c>
      <c r="J7" s="89">
        <f ca="1" t="shared" si="1"/>
        <v>-200.09386</v>
      </c>
      <c r="K7" s="89">
        <f ca="1" t="shared" si="1"/>
        <v>-114.125099</v>
      </c>
      <c r="L7" s="89">
        <f ca="1" t="shared" si="1"/>
        <v>0.23026</v>
      </c>
      <c r="M7" s="89">
        <f ca="1" t="shared" si="1"/>
        <v>-200.363128</v>
      </c>
      <c r="N7" s="89">
        <f ca="1" t="shared" si="1"/>
        <v>-114.037902</v>
      </c>
      <c r="O7" s="89">
        <f ca="1" t="shared" si="1"/>
        <v>0.23026</v>
      </c>
      <c r="P7" s="89">
        <f ca="1" t="shared" si="1"/>
        <v>-200.363128</v>
      </c>
      <c r="Q7" s="89">
        <f ca="1" t="shared" si="1"/>
        <v>-114.037902</v>
      </c>
      <c r="R7" s="89">
        <f ca="1" t="shared" si="1"/>
        <v>-0.002619</v>
      </c>
      <c r="S7" s="89">
        <f ca="1" t="shared" si="1"/>
        <v>-200.11827</v>
      </c>
      <c r="T7" s="89">
        <f ca="1" t="shared" si="1"/>
        <v>-114.117194</v>
      </c>
      <c r="U7" s="89">
        <f ca="1" t="shared" si="1"/>
        <v>0.00704</v>
      </c>
      <c r="V7" s="89">
        <f ca="1" t="shared" si="1"/>
        <v>-200.122747</v>
      </c>
      <c r="W7" s="89">
        <f ca="1" t="shared" si="1"/>
        <v>-114.115744</v>
      </c>
    </row>
    <row r="8" spans="3:23" ht="13.5" thickBot="1">
      <c r="C8" s="14"/>
      <c r="D8" s="15" t="s">
        <v>98</v>
      </c>
      <c r="E8" s="15" t="s">
        <v>546</v>
      </c>
      <c r="F8" s="15"/>
      <c r="G8" s="16">
        <v>17</v>
      </c>
      <c r="H8" s="16">
        <f t="shared" si="2"/>
        <v>39</v>
      </c>
      <c r="I8" s="89">
        <f ca="1" t="shared" si="1"/>
        <v>0</v>
      </c>
      <c r="J8" s="89">
        <f ca="1" t="shared" si="1"/>
        <v>-179.688568</v>
      </c>
      <c r="K8" s="89">
        <f ca="1" t="shared" si="1"/>
        <v>82.217443</v>
      </c>
      <c r="L8" s="89">
        <f ca="1" t="shared" si="1"/>
        <v>58.002151</v>
      </c>
      <c r="M8" s="89">
        <f ca="1" t="shared" si="1"/>
        <v>-183.378714</v>
      </c>
      <c r="N8" s="89">
        <f ca="1" t="shared" si="1"/>
        <v>76.879249</v>
      </c>
      <c r="O8" s="89">
        <f ca="1" t="shared" si="1"/>
        <v>58.002151</v>
      </c>
      <c r="P8" s="89">
        <f ca="1" t="shared" si="1"/>
        <v>-183.378714</v>
      </c>
      <c r="Q8" s="89">
        <f ca="1" t="shared" si="1"/>
        <v>76.879249</v>
      </c>
      <c r="R8" s="89">
        <f ca="1" t="shared" si="1"/>
        <v>18.0297</v>
      </c>
      <c r="S8" s="89">
        <f ca="1" t="shared" si="1"/>
        <v>-178.482563</v>
      </c>
      <c r="T8" s="89">
        <f ca="1" t="shared" si="1"/>
        <v>81.282101</v>
      </c>
      <c r="U8" s="89">
        <f ca="1" t="shared" si="1"/>
        <v>19.499867</v>
      </c>
      <c r="V8" s="89">
        <f ca="1" t="shared" si="1"/>
        <v>-181.314796</v>
      </c>
      <c r="W8" s="89">
        <f ca="1" t="shared" si="1"/>
        <v>81.945342</v>
      </c>
    </row>
    <row r="9" spans="1:23" ht="12.75">
      <c r="A9" s="1" t="s">
        <v>99</v>
      </c>
      <c r="B9" s="1" t="s">
        <v>100</v>
      </c>
      <c r="C9" s="10" t="s">
        <v>122</v>
      </c>
      <c r="D9" s="11" t="s">
        <v>101</v>
      </c>
      <c r="E9" s="11" t="s">
        <v>527</v>
      </c>
      <c r="F9" s="11"/>
      <c r="G9" s="12">
        <v>20</v>
      </c>
      <c r="H9" s="12">
        <f t="shared" si="2"/>
        <v>42</v>
      </c>
      <c r="I9" s="89">
        <f ca="1" t="shared" si="1"/>
        <v>0</v>
      </c>
      <c r="J9" s="89">
        <f ca="1" t="shared" si="1"/>
        <v>-259.533208</v>
      </c>
      <c r="K9" s="89">
        <f ca="1" t="shared" si="1"/>
        <v>-94.15067</v>
      </c>
      <c r="L9" s="89">
        <f ca="1" t="shared" si="1"/>
      </c>
      <c r="M9" s="89">
        <f ca="1" t="shared" si="1"/>
      </c>
      <c r="N9" s="89">
        <f ca="1" t="shared" si="1"/>
      </c>
      <c r="O9" s="89">
        <f ca="1" t="shared" si="1"/>
      </c>
      <c r="P9" s="89">
        <f ca="1" t="shared" si="1"/>
      </c>
      <c r="Q9" s="89">
        <f ca="1" t="shared" si="1"/>
      </c>
      <c r="R9" s="89">
        <f ca="1" t="shared" si="1"/>
        <v>10.973657</v>
      </c>
      <c r="S9" s="89">
        <f ca="1" t="shared" si="1"/>
        <v>-258.542261</v>
      </c>
      <c r="T9" s="89">
        <f ca="1" t="shared" si="1"/>
        <v>-94.485541</v>
      </c>
      <c r="U9" s="89">
        <f ca="1" t="shared" si="1"/>
        <v>11.832463</v>
      </c>
      <c r="V9" s="89">
        <f ca="1" t="shared" si="1"/>
        <v>-260.433321</v>
      </c>
      <c r="W9" s="89">
        <f ca="1" t="shared" si="1"/>
        <v>-94.20107</v>
      </c>
    </row>
    <row r="10" spans="1:23" ht="12.75">
      <c r="A10" s="1" t="s">
        <v>102</v>
      </c>
      <c r="B10" s="1" t="s">
        <v>103</v>
      </c>
      <c r="C10" s="18"/>
      <c r="D10" s="19" t="s">
        <v>104</v>
      </c>
      <c r="E10" s="19" t="s">
        <v>527</v>
      </c>
      <c r="F10" s="19"/>
      <c r="G10" s="20">
        <v>22</v>
      </c>
      <c r="H10" s="20">
        <f t="shared" si="2"/>
        <v>44</v>
      </c>
      <c r="I10" s="89">
        <f ca="1" t="shared" si="1"/>
        <v>0</v>
      </c>
      <c r="J10" s="89">
        <f ca="1" t="shared" si="1"/>
        <v>-279.481485</v>
      </c>
      <c r="K10" s="89">
        <f ca="1" t="shared" si="1"/>
        <v>107.765764</v>
      </c>
      <c r="L10" s="89">
        <f ca="1" t="shared" si="1"/>
      </c>
      <c r="M10" s="89">
        <f ca="1" t="shared" si="1"/>
      </c>
      <c r="N10" s="89">
        <f ca="1" t="shared" si="1"/>
      </c>
      <c r="O10" s="89">
        <f ca="1" t="shared" si="1"/>
      </c>
      <c r="P10" s="89">
        <f ca="1" t="shared" si="1"/>
      </c>
      <c r="Q10" s="89">
        <f ca="1" t="shared" si="1"/>
      </c>
      <c r="R10" s="89">
        <f ca="1" t="shared" si="1"/>
        <v>15.521875</v>
      </c>
      <c r="S10" s="89">
        <f ca="1" t="shared" si="1"/>
        <v>-277.506548</v>
      </c>
      <c r="T10" s="89">
        <f ca="1" t="shared" si="1"/>
        <v>106.787347</v>
      </c>
      <c r="U10" s="89">
        <f ca="1" t="shared" si="1"/>
        <v>16.690589</v>
      </c>
      <c r="V10" s="89">
        <f ca="1" t="shared" si="1"/>
        <v>-280.923961</v>
      </c>
      <c r="W10" s="89">
        <f ca="1" t="shared" si="1"/>
        <v>107.75419</v>
      </c>
    </row>
    <row r="11" spans="1:23" ht="12.75">
      <c r="A11" s="1" t="s">
        <v>105</v>
      </c>
      <c r="B11" s="1" t="s">
        <v>106</v>
      </c>
      <c r="C11" s="18"/>
      <c r="D11" s="19" t="s">
        <v>107</v>
      </c>
      <c r="E11" s="19" t="s">
        <v>527</v>
      </c>
      <c r="F11" s="19"/>
      <c r="G11" s="20">
        <v>24</v>
      </c>
      <c r="H11" s="20">
        <f t="shared" si="2"/>
        <v>46</v>
      </c>
      <c r="I11" s="89">
        <f ca="1" t="shared" si="1"/>
        <v>0</v>
      </c>
      <c r="J11" s="89">
        <f ca="1" t="shared" si="1"/>
        <v>-397.634151</v>
      </c>
      <c r="K11" s="89">
        <f ca="1" t="shared" si="1"/>
        <v>-38.46633</v>
      </c>
      <c r="L11" s="89">
        <f ca="1" t="shared" si="1"/>
      </c>
      <c r="M11" s="89">
        <f ca="1" t="shared" si="1"/>
      </c>
      <c r="N11" s="89">
        <f ca="1" t="shared" si="1"/>
      </c>
      <c r="O11" s="89">
        <f ca="1" t="shared" si="1"/>
      </c>
      <c r="P11" s="89">
        <f ca="1" t="shared" si="1"/>
      </c>
      <c r="Q11" s="89">
        <f ca="1" t="shared" si="1"/>
      </c>
      <c r="R11" s="89">
        <f ca="1" t="shared" si="1"/>
        <v>3.403216</v>
      </c>
      <c r="S11" s="89">
        <f ca="1" t="shared" si="1"/>
        <v>-397.122812</v>
      </c>
      <c r="T11" s="89">
        <f ca="1" t="shared" si="1"/>
        <v>-38.450296</v>
      </c>
      <c r="U11" s="89">
        <f ca="1" t="shared" si="1"/>
        <v>3.639387</v>
      </c>
      <c r="V11" s="89">
        <f ca="1" t="shared" si="1"/>
        <v>-397.939241</v>
      </c>
      <c r="W11" s="89">
        <f ca="1" t="shared" si="1"/>
        <v>-38.511584</v>
      </c>
    </row>
    <row r="12" spans="3:23" ht="12.75">
      <c r="C12" s="18"/>
      <c r="D12" s="19" t="s">
        <v>108</v>
      </c>
      <c r="E12" s="19" t="s">
        <v>527</v>
      </c>
      <c r="F12" s="19" t="s">
        <v>157</v>
      </c>
      <c r="G12" s="20">
        <v>26</v>
      </c>
      <c r="H12" s="20">
        <f t="shared" si="2"/>
        <v>48</v>
      </c>
      <c r="I12" s="89">
        <f aca="true" ca="1" t="shared" si="3" ref="I12:W21">IF(OR(System="Common",System=Syst,Ray="Cent"),INDIRECT(Syst&amp;Ray&amp;"Ray!"&amp;INDIRECT(Axe&amp;"col")&amp;FIXED(Line,0)),"")</f>
        <v>0</v>
      </c>
      <c r="J12" s="89">
        <f ca="1" t="shared" si="3"/>
        <v>-448.961193</v>
      </c>
      <c r="K12" s="89">
        <f ca="1" t="shared" si="3"/>
        <v>9.13262</v>
      </c>
      <c r="L12" s="89">
        <f ca="1" t="shared" si="3"/>
      </c>
      <c r="M12" s="89">
        <f ca="1" t="shared" si="3"/>
      </c>
      <c r="N12" s="89">
        <f ca="1" t="shared" si="3"/>
      </c>
      <c r="O12" s="89">
        <f ca="1" t="shared" si="3"/>
      </c>
      <c r="P12" s="89">
        <f ca="1" t="shared" si="3"/>
      </c>
      <c r="Q12" s="89">
        <f ca="1" t="shared" si="3"/>
      </c>
      <c r="R12" s="89">
        <f ca="1" t="shared" si="3"/>
        <v>0.087781</v>
      </c>
      <c r="S12" s="89">
        <f ca="1" t="shared" si="3"/>
        <v>-448.950976</v>
      </c>
      <c r="T12" s="89">
        <f ca="1" t="shared" si="3"/>
        <v>9.143638</v>
      </c>
      <c r="U12" s="89">
        <f ca="1" t="shared" si="3"/>
        <v>0.080828</v>
      </c>
      <c r="V12" s="89">
        <f ca="1" t="shared" si="3"/>
        <v>-448.947719</v>
      </c>
      <c r="W12" s="89">
        <f ca="1" t="shared" si="3"/>
        <v>9.14715</v>
      </c>
    </row>
    <row r="13" spans="3:23" ht="13.5" thickBot="1">
      <c r="C13" s="14"/>
      <c r="D13" s="15" t="s">
        <v>109</v>
      </c>
      <c r="E13" s="15" t="s">
        <v>527</v>
      </c>
      <c r="F13" s="15"/>
      <c r="G13" s="16">
        <v>27</v>
      </c>
      <c r="H13" s="16">
        <f t="shared" si="2"/>
        <v>49</v>
      </c>
      <c r="I13" s="89">
        <f ca="1" t="shared" si="3"/>
        <v>0</v>
      </c>
      <c r="J13" s="89">
        <f ca="1" t="shared" si="3"/>
        <v>-544.281002</v>
      </c>
      <c r="K13" s="89">
        <f ca="1" t="shared" si="3"/>
        <v>97.528965</v>
      </c>
      <c r="L13" s="89">
        <f ca="1" t="shared" si="3"/>
      </c>
      <c r="M13" s="89">
        <f ca="1" t="shared" si="3"/>
      </c>
      <c r="N13" s="89">
        <f ca="1" t="shared" si="3"/>
      </c>
      <c r="O13" s="89">
        <f ca="1" t="shared" si="3"/>
      </c>
      <c r="P13" s="89">
        <f ca="1" t="shared" si="3"/>
      </c>
      <c r="Q13" s="89">
        <f ca="1" t="shared" si="3"/>
      </c>
      <c r="R13" s="89">
        <f ca="1" t="shared" si="3"/>
        <v>-6.04551</v>
      </c>
      <c r="S13" s="89">
        <f ca="1" t="shared" si="3"/>
        <v>-544.828974</v>
      </c>
      <c r="T13" s="89">
        <f ca="1" t="shared" si="3"/>
        <v>97.188646</v>
      </c>
      <c r="U13" s="89">
        <f ca="1" t="shared" si="3"/>
        <v>-6.533386</v>
      </c>
      <c r="V13" s="89">
        <f ca="1" t="shared" si="3"/>
        <v>-543.756057</v>
      </c>
      <c r="W13" s="89">
        <f ca="1" t="shared" si="3"/>
        <v>97.729392</v>
      </c>
    </row>
    <row r="14" spans="3:23" ht="12.75">
      <c r="C14" s="10" t="s">
        <v>123</v>
      </c>
      <c r="D14" s="11" t="s">
        <v>111</v>
      </c>
      <c r="E14" s="11" t="s">
        <v>527</v>
      </c>
      <c r="F14" s="11"/>
      <c r="G14" s="12">
        <v>31</v>
      </c>
      <c r="H14" s="12">
        <f t="shared" si="2"/>
        <v>53</v>
      </c>
      <c r="I14" s="89">
        <f ca="1" t="shared" si="3"/>
        <v>0</v>
      </c>
      <c r="J14" s="89">
        <f ca="1" t="shared" si="3"/>
        <v>-527.45872</v>
      </c>
      <c r="K14" s="89">
        <f ca="1" t="shared" si="3"/>
        <v>-36.419239</v>
      </c>
      <c r="L14" s="89">
        <f ca="1" t="shared" si="3"/>
      </c>
      <c r="M14" s="89">
        <f ca="1" t="shared" si="3"/>
      </c>
      <c r="N14" s="89">
        <f ca="1" t="shared" si="3"/>
      </c>
      <c r="O14" s="89">
        <f ca="1" t="shared" si="3"/>
      </c>
      <c r="P14" s="89">
        <f ca="1" t="shared" si="3"/>
      </c>
      <c r="Q14" s="89">
        <f ca="1" t="shared" si="3"/>
      </c>
      <c r="R14" s="89">
        <f ca="1" t="shared" si="3"/>
        <v>-8.033705</v>
      </c>
      <c r="S14" s="89">
        <f ca="1" t="shared" si="3"/>
        <v>-528.127272</v>
      </c>
      <c r="T14" s="89">
        <f ca="1" t="shared" si="3"/>
        <v>-36.733246</v>
      </c>
      <c r="U14" s="89">
        <f ca="1" t="shared" si="3"/>
        <v>-8.679048</v>
      </c>
      <c r="V14" s="89">
        <f ca="1" t="shared" si="3"/>
        <v>-526.814757</v>
      </c>
      <c r="W14" s="89">
        <f ca="1" t="shared" si="3"/>
        <v>-36.116781</v>
      </c>
    </row>
    <row r="15" spans="3:23" ht="12.75">
      <c r="C15" s="18"/>
      <c r="D15" s="19" t="s">
        <v>113</v>
      </c>
      <c r="E15" s="19" t="s">
        <v>527</v>
      </c>
      <c r="F15" s="19"/>
      <c r="G15" s="20">
        <v>36</v>
      </c>
      <c r="H15" s="20">
        <f t="shared" si="2"/>
        <v>58</v>
      </c>
      <c r="I15" s="89">
        <f ca="1" t="shared" si="3"/>
        <v>1.82E-14</v>
      </c>
      <c r="J15" s="89">
        <f ca="1" t="shared" si="3"/>
        <v>-619.802462</v>
      </c>
      <c r="K15" s="89">
        <f ca="1" t="shared" si="3"/>
        <v>62.057922</v>
      </c>
      <c r="L15" s="89">
        <f ca="1" t="shared" si="3"/>
      </c>
      <c r="M15" s="89">
        <f ca="1" t="shared" si="3"/>
      </c>
      <c r="N15" s="89">
        <f ca="1" t="shared" si="3"/>
      </c>
      <c r="O15" s="89">
        <f ca="1" t="shared" si="3"/>
      </c>
      <c r="P15" s="89">
        <f ca="1" t="shared" si="3"/>
      </c>
      <c r="Q15" s="89">
        <f ca="1" t="shared" si="3"/>
      </c>
      <c r="R15" s="89">
        <f ca="1" t="shared" si="3"/>
        <v>-10.168951</v>
      </c>
      <c r="S15" s="89">
        <f ca="1" t="shared" si="3"/>
        <v>-627.36187</v>
      </c>
      <c r="T15" s="89">
        <f ca="1" t="shared" si="3"/>
        <v>68.909762</v>
      </c>
      <c r="U15" s="89">
        <f ca="1" t="shared" si="3"/>
        <v>-11.004597</v>
      </c>
      <c r="V15" s="89">
        <f ca="1" t="shared" si="3"/>
        <v>-626.732892</v>
      </c>
      <c r="W15" s="89">
        <f ca="1" t="shared" si="3"/>
        <v>70.64512</v>
      </c>
    </row>
    <row r="16" spans="3:23" ht="13.5" thickBot="1">
      <c r="C16" s="14"/>
      <c r="D16" s="15" t="s">
        <v>115</v>
      </c>
      <c r="E16" s="15" t="s">
        <v>527</v>
      </c>
      <c r="F16" s="15" t="s">
        <v>158</v>
      </c>
      <c r="G16" s="16">
        <v>38</v>
      </c>
      <c r="H16" s="16">
        <f t="shared" si="2"/>
        <v>60</v>
      </c>
      <c r="I16" s="89">
        <f ca="1" t="shared" si="3"/>
        <v>-50</v>
      </c>
      <c r="J16" s="89">
        <f ca="1" t="shared" si="3"/>
        <v>-619.802728</v>
      </c>
      <c r="K16" s="89">
        <f ca="1" t="shared" si="3"/>
        <v>62.057673</v>
      </c>
      <c r="L16" s="89">
        <f ca="1" t="shared" si="3"/>
      </c>
      <c r="M16" s="89">
        <f ca="1" t="shared" si="3"/>
      </c>
      <c r="N16" s="89">
        <f ca="1" t="shared" si="3"/>
      </c>
      <c r="O16" s="89">
        <f ca="1" t="shared" si="3"/>
      </c>
      <c r="P16" s="89">
        <f ca="1" t="shared" si="3"/>
      </c>
      <c r="Q16" s="89">
        <f ca="1" t="shared" si="3"/>
      </c>
      <c r="R16" s="89">
        <f ca="1" t="shared" si="3"/>
        <v>-50</v>
      </c>
      <c r="S16" s="89">
        <f ca="1" t="shared" si="3"/>
        <v>-627.788504</v>
      </c>
      <c r="T16" s="89">
        <f ca="1" t="shared" si="3"/>
        <v>69.31411</v>
      </c>
      <c r="U16" s="89">
        <f ca="1" t="shared" si="3"/>
        <v>-50</v>
      </c>
      <c r="V16" s="89">
        <f ca="1" t="shared" si="3"/>
        <v>-627.129735</v>
      </c>
      <c r="W16" s="89">
        <f ca="1" t="shared" si="3"/>
        <v>71.123186</v>
      </c>
    </row>
    <row r="17" spans="4:23" ht="13.5" thickBot="1">
      <c r="D17" s="1" t="s">
        <v>111</v>
      </c>
      <c r="E17" s="1" t="s">
        <v>527</v>
      </c>
      <c r="F17" s="1" t="s">
        <v>126</v>
      </c>
      <c r="G17" s="8">
        <v>31</v>
      </c>
      <c r="H17" s="8">
        <f t="shared" si="2"/>
        <v>53</v>
      </c>
      <c r="I17" s="89">
        <f ca="1" t="shared" si="3"/>
        <v>0</v>
      </c>
      <c r="J17" s="89">
        <f ca="1" t="shared" si="3"/>
        <v>-527.45872</v>
      </c>
      <c r="K17" s="89">
        <f ca="1" t="shared" si="3"/>
        <v>-36.419239</v>
      </c>
      <c r="L17" s="89">
        <f ca="1" t="shared" si="3"/>
      </c>
      <c r="M17" s="89">
        <f ca="1" t="shared" si="3"/>
      </c>
      <c r="N17" s="89">
        <f ca="1" t="shared" si="3"/>
      </c>
      <c r="O17" s="89">
        <f ca="1" t="shared" si="3"/>
      </c>
      <c r="P17" s="89">
        <f ca="1" t="shared" si="3"/>
      </c>
      <c r="Q17" s="89">
        <f ca="1" t="shared" si="3"/>
      </c>
      <c r="R17" s="89">
        <f ca="1" t="shared" si="3"/>
        <v>-8.033705</v>
      </c>
      <c r="S17" s="89">
        <f ca="1" t="shared" si="3"/>
        <v>-528.127272</v>
      </c>
      <c r="T17" s="89">
        <f ca="1" t="shared" si="3"/>
        <v>-36.733246</v>
      </c>
      <c r="U17" s="89">
        <f ca="1" t="shared" si="3"/>
        <v>-8.679048</v>
      </c>
      <c r="V17" s="89">
        <f ca="1" t="shared" si="3"/>
        <v>-526.814757</v>
      </c>
      <c r="W17" s="89">
        <f ca="1" t="shared" si="3"/>
        <v>-36.116781</v>
      </c>
    </row>
    <row r="18" spans="3:23" ht="12.75">
      <c r="C18" s="10" t="s">
        <v>124</v>
      </c>
      <c r="D18" s="11" t="s">
        <v>116</v>
      </c>
      <c r="E18" s="11" t="s">
        <v>527</v>
      </c>
      <c r="F18" s="11"/>
      <c r="G18" s="12">
        <v>46</v>
      </c>
      <c r="H18" s="12">
        <f t="shared" si="2"/>
        <v>68</v>
      </c>
      <c r="I18" s="89">
        <f ca="1" t="shared" si="3"/>
        <v>-4.41E-16</v>
      </c>
      <c r="J18" s="89">
        <f ca="1" t="shared" si="3"/>
        <v>-514.997754</v>
      </c>
      <c r="K18" s="89">
        <f ca="1" t="shared" si="3"/>
        <v>-135.640264</v>
      </c>
      <c r="L18" s="89">
        <f ca="1" t="shared" si="3"/>
      </c>
      <c r="M18" s="89">
        <f ca="1" t="shared" si="3"/>
      </c>
      <c r="N18" s="89">
        <f ca="1" t="shared" si="3"/>
      </c>
      <c r="O18" s="89">
        <f ca="1" t="shared" si="3"/>
      </c>
      <c r="P18" s="89">
        <f ca="1" t="shared" si="3"/>
      </c>
      <c r="Q18" s="89">
        <f ca="1" t="shared" si="3"/>
      </c>
      <c r="R18" s="89">
        <f ca="1" t="shared" si="3"/>
        <v>-9.569267</v>
      </c>
      <c r="S18" s="89">
        <f ca="1" t="shared" si="3"/>
        <v>-515.227885</v>
      </c>
      <c r="T18" s="89">
        <f ca="1" t="shared" si="3"/>
        <v>-140.166446</v>
      </c>
      <c r="U18" s="89">
        <f ca="1" t="shared" si="3"/>
        <v>-10.349698</v>
      </c>
      <c r="V18" s="89">
        <f ca="1" t="shared" si="3"/>
        <v>-513.62396</v>
      </c>
      <c r="W18" s="89">
        <f ca="1" t="shared" si="3"/>
        <v>-140.331781</v>
      </c>
    </row>
    <row r="19" spans="3:23" ht="13.5" thickBot="1">
      <c r="C19" s="14"/>
      <c r="D19" s="15" t="s">
        <v>117</v>
      </c>
      <c r="E19" s="15" t="s">
        <v>527</v>
      </c>
      <c r="F19" s="15" t="s">
        <v>158</v>
      </c>
      <c r="G19" s="16">
        <v>51</v>
      </c>
      <c r="H19" s="16">
        <f t="shared" si="2"/>
        <v>73</v>
      </c>
      <c r="I19" s="89">
        <f ca="1" t="shared" si="3"/>
        <v>-65.113778</v>
      </c>
      <c r="J19" s="89">
        <f ca="1" t="shared" si="3"/>
        <v>-521.807023</v>
      </c>
      <c r="K19" s="89">
        <f ca="1" t="shared" si="3"/>
        <v>-81.429289</v>
      </c>
      <c r="L19" s="89">
        <f ca="1" t="shared" si="3"/>
      </c>
      <c r="M19" s="89">
        <f ca="1" t="shared" si="3"/>
      </c>
      <c r="N19" s="89">
        <f ca="1" t="shared" si="3"/>
      </c>
      <c r="O19" s="89">
        <f ca="1" t="shared" si="3"/>
      </c>
      <c r="P19" s="89">
        <f ca="1" t="shared" si="3"/>
      </c>
      <c r="Q19" s="89">
        <f ca="1" t="shared" si="3"/>
      </c>
      <c r="R19" s="89">
        <f ca="1" t="shared" si="3"/>
        <v>-72.027431</v>
      </c>
      <c r="S19" s="89">
        <f ca="1" t="shared" si="3"/>
        <v>-521.635326</v>
      </c>
      <c r="T19" s="89">
        <f ca="1" t="shared" si="3"/>
        <v>-89.711826</v>
      </c>
      <c r="U19" s="89">
        <f ca="1" t="shared" si="3"/>
        <v>-72.58604</v>
      </c>
      <c r="V19" s="89">
        <f ca="1" t="shared" si="3"/>
        <v>-519.847765</v>
      </c>
      <c r="W19" s="89">
        <f ca="1" t="shared" si="3"/>
        <v>-90.158272</v>
      </c>
    </row>
    <row r="20" spans="4:23" ht="13.5" thickBot="1">
      <c r="D20" s="1" t="s">
        <v>116</v>
      </c>
      <c r="E20" s="1" t="s">
        <v>527</v>
      </c>
      <c r="F20" s="1" t="s">
        <v>126</v>
      </c>
      <c r="G20" s="8">
        <v>46</v>
      </c>
      <c r="H20" s="8">
        <f t="shared" si="2"/>
        <v>68</v>
      </c>
      <c r="I20" s="89">
        <f ca="1" t="shared" si="3"/>
        <v>-4.41E-16</v>
      </c>
      <c r="J20" s="89">
        <f ca="1" t="shared" si="3"/>
        <v>-514.997754</v>
      </c>
      <c r="K20" s="89">
        <f ca="1" t="shared" si="3"/>
        <v>-135.640264</v>
      </c>
      <c r="L20" s="89">
        <f ca="1" t="shared" si="3"/>
      </c>
      <c r="M20" s="89">
        <f ca="1" t="shared" si="3"/>
      </c>
      <c r="N20" s="89">
        <f ca="1" t="shared" si="3"/>
      </c>
      <c r="O20" s="89">
        <f ca="1" t="shared" si="3"/>
      </c>
      <c r="P20" s="89">
        <f ca="1" t="shared" si="3"/>
      </c>
      <c r="Q20" s="89">
        <f ca="1" t="shared" si="3"/>
      </c>
      <c r="R20" s="89">
        <f ca="1" t="shared" si="3"/>
        <v>-9.569267</v>
      </c>
      <c r="S20" s="89">
        <f ca="1" t="shared" si="3"/>
        <v>-515.227885</v>
      </c>
      <c r="T20" s="89">
        <f ca="1" t="shared" si="3"/>
        <v>-140.166446</v>
      </c>
      <c r="U20" s="89">
        <f ca="1" t="shared" si="3"/>
        <v>-10.349698</v>
      </c>
      <c r="V20" s="89">
        <f ca="1" t="shared" si="3"/>
        <v>-513.62396</v>
      </c>
      <c r="W20" s="89">
        <f ca="1" t="shared" si="3"/>
        <v>-140.331781</v>
      </c>
    </row>
    <row r="21" spans="3:23" ht="12.75">
      <c r="C21" s="10" t="s">
        <v>125</v>
      </c>
      <c r="D21" s="11" t="s">
        <v>118</v>
      </c>
      <c r="E21" s="11" t="s">
        <v>527</v>
      </c>
      <c r="F21" s="11"/>
      <c r="G21" s="12">
        <v>57</v>
      </c>
      <c r="H21" s="12">
        <f t="shared" si="2"/>
        <v>79</v>
      </c>
      <c r="I21" s="89">
        <f ca="1" t="shared" si="3"/>
        <v>-4.78E-15</v>
      </c>
      <c r="J21" s="89">
        <f ca="1" t="shared" si="3"/>
        <v>-509.514911</v>
      </c>
      <c r="K21" s="89">
        <f ca="1" t="shared" si="3"/>
        <v>-179.297659</v>
      </c>
      <c r="L21" s="89">
        <f ca="1" t="shared" si="3"/>
      </c>
      <c r="M21" s="89">
        <f ca="1" t="shared" si="3"/>
      </c>
      <c r="N21" s="89">
        <f ca="1" t="shared" si="3"/>
      </c>
      <c r="O21" s="89">
        <f ca="1" t="shared" si="3"/>
      </c>
      <c r="P21" s="89">
        <f ca="1" t="shared" si="3"/>
      </c>
      <c r="Q21" s="89">
        <f ca="1" t="shared" si="3"/>
      </c>
      <c r="R21" s="89">
        <f ca="1" t="shared" si="3"/>
        <v>-10.137949</v>
      </c>
      <c r="S21" s="89">
        <f ca="1" t="shared" si="3"/>
        <v>-510.45071</v>
      </c>
      <c r="T21" s="89">
        <f ca="1" t="shared" si="3"/>
        <v>-178.47202</v>
      </c>
      <c r="U21" s="89">
        <f ca="1" t="shared" si="3"/>
        <v>-10.987456</v>
      </c>
      <c r="V21" s="89">
        <f ca="1" t="shared" si="3"/>
        <v>-508.588478</v>
      </c>
      <c r="W21" s="89">
        <f ca="1" t="shared" si="3"/>
        <v>-180.115035</v>
      </c>
    </row>
    <row r="22" spans="3:23" ht="13.5" thickBot="1">
      <c r="C22" s="14"/>
      <c r="D22" s="15" t="s">
        <v>119</v>
      </c>
      <c r="E22" s="15" t="s">
        <v>527</v>
      </c>
      <c r="F22" s="15" t="s">
        <v>158</v>
      </c>
      <c r="G22" s="16">
        <v>59</v>
      </c>
      <c r="H22" s="16">
        <f t="shared" si="2"/>
        <v>81</v>
      </c>
      <c r="I22" s="89">
        <f aca="true" ca="1" t="shared" si="4" ref="I22:W31">IF(OR(System="Common",System=Syst,Ray="Cent"),INDIRECT(Syst&amp;Ray&amp;"Ray!"&amp;INDIRECT(Axe&amp;"col")&amp;FIXED(Line,0)),"")</f>
        <v>9.28E-15</v>
      </c>
      <c r="J22" s="89">
        <f ca="1" t="shared" si="4"/>
        <v>-468.515249</v>
      </c>
      <c r="K22" s="89">
        <f ca="1" t="shared" si="4"/>
        <v>-179.298363</v>
      </c>
      <c r="L22" s="89">
        <f ca="1" t="shared" si="4"/>
      </c>
      <c r="M22" s="89">
        <f ca="1" t="shared" si="4"/>
      </c>
      <c r="N22" s="89">
        <f ca="1" t="shared" si="4"/>
      </c>
      <c r="O22" s="89">
        <f ca="1" t="shared" si="4"/>
      </c>
      <c r="P22" s="89">
        <f ca="1" t="shared" si="4"/>
      </c>
      <c r="Q22" s="89">
        <f ca="1" t="shared" si="4"/>
      </c>
      <c r="R22" s="89">
        <f ca="1" t="shared" si="4"/>
        <v>-10.755735</v>
      </c>
      <c r="S22" s="89">
        <f ca="1" t="shared" si="4"/>
        <v>-468.515228</v>
      </c>
      <c r="T22" s="89">
        <f ca="1" t="shared" si="4"/>
        <v>-178.436583</v>
      </c>
      <c r="U22" s="89">
        <f ca="1" t="shared" si="4"/>
        <v>-11.624777</v>
      </c>
      <c r="V22" s="89">
        <f ca="1" t="shared" si="4"/>
        <v>-468.51527</v>
      </c>
      <c r="W22" s="89">
        <f ca="1" t="shared" si="4"/>
        <v>-180.154575</v>
      </c>
    </row>
    <row r="23" spans="3:31" ht="13.5" thickBot="1">
      <c r="C23" s="14"/>
      <c r="D23" s="15" t="s">
        <v>98</v>
      </c>
      <c r="E23" s="15" t="s">
        <v>528</v>
      </c>
      <c r="F23" s="15" t="s">
        <v>126</v>
      </c>
      <c r="G23" s="20">
        <v>17</v>
      </c>
      <c r="H23" s="20">
        <f aca="true" t="shared" si="5" ref="H23:H48">SurfNum+Line0</f>
        <v>39</v>
      </c>
      <c r="I23" s="89">
        <f ca="1" t="shared" si="4"/>
      </c>
      <c r="J23" s="89">
        <f ca="1" t="shared" si="4"/>
      </c>
      <c r="K23" s="89">
        <f ca="1" t="shared" si="4"/>
      </c>
      <c r="L23" s="89">
        <f ca="1" t="shared" si="4"/>
        <v>58.002151</v>
      </c>
      <c r="M23" s="89">
        <f ca="1" t="shared" si="4"/>
        <v>-183.378714</v>
      </c>
      <c r="N23" s="89">
        <f ca="1" t="shared" si="4"/>
        <v>76.879249</v>
      </c>
      <c r="O23" s="89">
        <f ca="1" t="shared" si="4"/>
      </c>
      <c r="P23" s="89">
        <f ca="1" t="shared" si="4"/>
      </c>
      <c r="Q23" s="89">
        <f ca="1" t="shared" si="4"/>
      </c>
      <c r="R23" s="89">
        <f ca="1" t="shared" si="4"/>
        <v>18.0297</v>
      </c>
      <c r="S23" s="89">
        <f ca="1" t="shared" si="4"/>
        <v>-178.482563</v>
      </c>
      <c r="T23" s="89">
        <f ca="1" t="shared" si="4"/>
        <v>81.282101</v>
      </c>
      <c r="U23" s="89">
        <f ca="1" t="shared" si="4"/>
        <v>19.499867</v>
      </c>
      <c r="V23" s="89">
        <f ca="1" t="shared" si="4"/>
        <v>-181.314796</v>
      </c>
      <c r="W23" s="89">
        <f ca="1" t="shared" si="4"/>
        <v>81.945342</v>
      </c>
      <c r="X23" s="19"/>
      <c r="Y23" s="19"/>
      <c r="Z23" s="19"/>
      <c r="AA23" s="19"/>
      <c r="AB23" s="19"/>
      <c r="AC23" s="19"/>
      <c r="AD23" s="19"/>
      <c r="AE23" s="19"/>
    </row>
    <row r="24" spans="3:31" ht="12.75">
      <c r="C24" s="10" t="s">
        <v>502</v>
      </c>
      <c r="D24" s="11" t="s">
        <v>503</v>
      </c>
      <c r="E24" s="11" t="s">
        <v>528</v>
      </c>
      <c r="F24" s="11"/>
      <c r="G24" s="20">
        <v>22</v>
      </c>
      <c r="H24" s="20">
        <f t="shared" si="5"/>
        <v>44</v>
      </c>
      <c r="I24" s="89">
        <f ca="1" t="shared" si="4"/>
      </c>
      <c r="J24" s="89">
        <f ca="1" t="shared" si="4"/>
      </c>
      <c r="K24" s="89">
        <f ca="1" t="shared" si="4"/>
      </c>
      <c r="L24" s="89">
        <f ca="1" t="shared" si="4"/>
        <v>33.819252</v>
      </c>
      <c r="M24" s="89">
        <f ca="1" t="shared" si="4"/>
        <v>-263.978028</v>
      </c>
      <c r="N24" s="89">
        <f ca="1" t="shared" si="4"/>
        <v>-104.147395</v>
      </c>
      <c r="O24" s="89">
        <f ca="1" t="shared" si="4"/>
      </c>
      <c r="P24" s="89">
        <f ca="1" t="shared" si="4"/>
      </c>
      <c r="Q24" s="89">
        <f ca="1" t="shared" si="4"/>
      </c>
      <c r="R24" s="89">
        <f ca="1" t="shared" si="4"/>
        <v>15.521875</v>
      </c>
      <c r="S24" s="89">
        <f ca="1" t="shared" si="4"/>
        <v>-277.506548</v>
      </c>
      <c r="T24" s="89">
        <f ca="1" t="shared" si="4"/>
        <v>106.787347</v>
      </c>
      <c r="U24" s="89">
        <f ca="1" t="shared" si="4"/>
        <v>16.690589</v>
      </c>
      <c r="V24" s="89">
        <f ca="1" t="shared" si="4"/>
        <v>-280.923961</v>
      </c>
      <c r="W24" s="89">
        <f ca="1" t="shared" si="4"/>
        <v>107.75419</v>
      </c>
      <c r="X24" s="19"/>
      <c r="Y24" s="19"/>
      <c r="Z24" s="19"/>
      <c r="AA24" s="19"/>
      <c r="AB24" s="19"/>
      <c r="AC24" s="19"/>
      <c r="AD24" s="19"/>
      <c r="AE24" s="19"/>
    </row>
    <row r="25" spans="3:31" ht="12.75">
      <c r="C25" s="18"/>
      <c r="D25" s="19" t="s">
        <v>504</v>
      </c>
      <c r="E25" s="19" t="s">
        <v>528</v>
      </c>
      <c r="F25" s="19" t="s">
        <v>157</v>
      </c>
      <c r="G25" s="20">
        <v>26</v>
      </c>
      <c r="H25" s="20">
        <f t="shared" si="5"/>
        <v>48</v>
      </c>
      <c r="I25" s="89">
        <f ca="1" t="shared" si="4"/>
      </c>
      <c r="J25" s="89">
        <f ca="1" t="shared" si="4"/>
      </c>
      <c r="K25" s="89">
        <f ca="1" t="shared" si="4"/>
      </c>
      <c r="L25" s="89">
        <f ca="1" t="shared" si="4"/>
        <v>141.696058</v>
      </c>
      <c r="M25" s="89">
        <f ca="1" t="shared" si="4"/>
        <v>-233.04406</v>
      </c>
      <c r="N25" s="89">
        <f ca="1" t="shared" si="4"/>
        <v>-112.983666</v>
      </c>
      <c r="O25" s="89">
        <f ca="1" t="shared" si="4"/>
      </c>
      <c r="P25" s="89">
        <f ca="1" t="shared" si="4"/>
      </c>
      <c r="Q25" s="89">
        <f ca="1" t="shared" si="4"/>
      </c>
      <c r="R25" s="89">
        <f ca="1" t="shared" si="4"/>
        <v>0.087781</v>
      </c>
      <c r="S25" s="89">
        <f ca="1" t="shared" si="4"/>
        <v>-448.950976</v>
      </c>
      <c r="T25" s="89">
        <f ca="1" t="shared" si="4"/>
        <v>9.143638</v>
      </c>
      <c r="U25" s="89">
        <f ca="1" t="shared" si="4"/>
        <v>0.080828</v>
      </c>
      <c r="V25" s="89">
        <f ca="1" t="shared" si="4"/>
        <v>-448.947719</v>
      </c>
      <c r="W25" s="89">
        <f ca="1" t="shared" si="4"/>
        <v>9.14715</v>
      </c>
      <c r="X25" s="19"/>
      <c r="Y25" s="19"/>
      <c r="Z25" s="19"/>
      <c r="AA25" s="19"/>
      <c r="AB25" s="19"/>
      <c r="AC25" s="19"/>
      <c r="AD25" s="19"/>
      <c r="AE25" s="19"/>
    </row>
    <row r="26" spans="3:31" ht="12.75">
      <c r="C26" s="18"/>
      <c r="D26" s="19" t="s">
        <v>505</v>
      </c>
      <c r="E26" s="19" t="s">
        <v>528</v>
      </c>
      <c r="F26" s="19"/>
      <c r="G26" s="20">
        <v>30</v>
      </c>
      <c r="H26" s="20">
        <f t="shared" si="5"/>
        <v>52</v>
      </c>
      <c r="I26" s="89">
        <f ca="1" t="shared" si="4"/>
      </c>
      <c r="J26" s="89">
        <f ca="1" t="shared" si="4"/>
      </c>
      <c r="K26" s="89">
        <f ca="1" t="shared" si="4"/>
      </c>
      <c r="L26" s="89">
        <f ca="1" t="shared" si="4"/>
        <v>170.859094</v>
      </c>
      <c r="M26" s="89">
        <f ca="1" t="shared" si="4"/>
        <v>-224.68148</v>
      </c>
      <c r="N26" s="89">
        <f ca="1" t="shared" si="4"/>
        <v>-115.372432</v>
      </c>
      <c r="O26" s="89">
        <f ca="1" t="shared" si="4"/>
      </c>
      <c r="P26" s="89">
        <f ca="1" t="shared" si="4"/>
      </c>
      <c r="Q26" s="89">
        <f ca="1" t="shared" si="4"/>
      </c>
      <c r="R26" s="89">
        <f ca="1" t="shared" si="4"/>
        <v>-10.755735</v>
      </c>
      <c r="S26" s="89">
        <f ca="1" t="shared" si="4"/>
        <v>-505.261042</v>
      </c>
      <c r="T26" s="89">
        <f ca="1" t="shared" si="4"/>
        <v>-220.085158</v>
      </c>
      <c r="U26" s="89">
        <f ca="1" t="shared" si="4"/>
        <v>-11.624777</v>
      </c>
      <c r="V26" s="89">
        <f ca="1" t="shared" si="4"/>
        <v>-503.556441</v>
      </c>
      <c r="W26" s="89">
        <f ca="1" t="shared" si="4"/>
        <v>-219.871068</v>
      </c>
      <c r="X26" s="19"/>
      <c r="Y26" s="19"/>
      <c r="Z26" s="19"/>
      <c r="AA26" s="19"/>
      <c r="AB26" s="19"/>
      <c r="AC26" s="19"/>
      <c r="AD26" s="19"/>
      <c r="AE26" s="19"/>
    </row>
    <row r="27" spans="3:31" ht="13.5" thickBot="1">
      <c r="C27" s="14"/>
      <c r="D27" s="15" t="s">
        <v>506</v>
      </c>
      <c r="E27" s="15" t="s">
        <v>528</v>
      </c>
      <c r="F27" s="15"/>
      <c r="G27" s="20">
        <v>36</v>
      </c>
      <c r="H27" s="20">
        <f t="shared" si="5"/>
        <v>58</v>
      </c>
      <c r="I27" s="89">
        <f ca="1" t="shared" si="4"/>
      </c>
      <c r="J27" s="89">
        <f ca="1" t="shared" si="4"/>
      </c>
      <c r="K27" s="89">
        <f ca="1" t="shared" si="4"/>
      </c>
      <c r="L27" s="89">
        <f ca="1" t="shared" si="4"/>
        <v>170.859883</v>
      </c>
      <c r="M27" s="89">
        <f ca="1" t="shared" si="4"/>
        <v>-234.57904</v>
      </c>
      <c r="N27" s="89">
        <f ca="1" t="shared" si="4"/>
        <v>-171.50445</v>
      </c>
      <c r="O27" s="89">
        <f ca="1" t="shared" si="4"/>
      </c>
      <c r="P27" s="89">
        <f ca="1" t="shared" si="4"/>
      </c>
      <c r="Q27" s="89">
        <f ca="1" t="shared" si="4"/>
      </c>
      <c r="R27" s="89">
        <f ca="1" t="shared" si="4"/>
        <v>-10.168951</v>
      </c>
      <c r="S27" s="89">
        <f ca="1" t="shared" si="4"/>
        <v>-627.36187</v>
      </c>
      <c r="T27" s="89">
        <f ca="1" t="shared" si="4"/>
        <v>68.909762</v>
      </c>
      <c r="U27" s="89">
        <f ca="1" t="shared" si="4"/>
        <v>-11.004597</v>
      </c>
      <c r="V27" s="89">
        <f ca="1" t="shared" si="4"/>
        <v>-626.732892</v>
      </c>
      <c r="W27" s="89">
        <f ca="1" t="shared" si="4"/>
        <v>70.64512</v>
      </c>
      <c r="X27" s="19"/>
      <c r="Y27" s="19"/>
      <c r="Z27" s="19"/>
      <c r="AA27" s="19"/>
      <c r="AB27" s="19"/>
      <c r="AC27" s="19"/>
      <c r="AD27" s="19"/>
      <c r="AE27" s="19"/>
    </row>
    <row r="28" spans="3:31" ht="12.75">
      <c r="C28" s="10" t="s">
        <v>507</v>
      </c>
      <c r="D28" s="11" t="s">
        <v>508</v>
      </c>
      <c r="E28" s="11" t="s">
        <v>528</v>
      </c>
      <c r="F28" s="11"/>
      <c r="G28" s="20">
        <v>39</v>
      </c>
      <c r="H28" s="20">
        <f t="shared" si="5"/>
        <v>61</v>
      </c>
      <c r="I28" s="89">
        <f ca="1" t="shared" si="4"/>
      </c>
      <c r="J28" s="89">
        <f ca="1" t="shared" si="4"/>
      </c>
      <c r="K28" s="89">
        <f ca="1" t="shared" si="4"/>
      </c>
      <c r="L28" s="89">
        <f ca="1" t="shared" si="4"/>
        <v>170.857126</v>
      </c>
      <c r="M28" s="89">
        <f ca="1" t="shared" si="4"/>
        <v>-321.398179</v>
      </c>
      <c r="N28" s="89">
        <f ca="1" t="shared" si="4"/>
        <v>-21.12771</v>
      </c>
      <c r="O28" s="89">
        <f ca="1" t="shared" si="4"/>
      </c>
      <c r="P28" s="89">
        <f ca="1" t="shared" si="4"/>
      </c>
      <c r="Q28" s="89">
        <f ca="1" t="shared" si="4"/>
      </c>
      <c r="R28" s="89">
        <f ca="1" t="shared" si="4"/>
        <v>-34.14</v>
      </c>
      <c r="S28" s="89">
        <f ca="1" t="shared" si="4"/>
        <v>-627.618626</v>
      </c>
      <c r="T28" s="89">
        <f ca="1" t="shared" si="4"/>
        <v>69.153106</v>
      </c>
      <c r="U28" s="89">
        <f ca="1" t="shared" si="4"/>
        <v>-34.14</v>
      </c>
      <c r="V28" s="89">
        <f ca="1" t="shared" si="4"/>
        <v>-626.968333</v>
      </c>
      <c r="W28" s="89">
        <f ca="1" t="shared" si="4"/>
        <v>70.928749</v>
      </c>
      <c r="X28" s="19"/>
      <c r="Y28" s="19"/>
      <c r="Z28" s="19"/>
      <c r="AA28" s="19"/>
      <c r="AB28" s="19"/>
      <c r="AC28" s="19"/>
      <c r="AD28" s="19"/>
      <c r="AE28" s="19"/>
    </row>
    <row r="29" spans="3:31" ht="12.75">
      <c r="C29" s="18"/>
      <c r="D29" s="19" t="s">
        <v>509</v>
      </c>
      <c r="E29" s="19" t="s">
        <v>528</v>
      </c>
      <c r="F29" s="19"/>
      <c r="G29" s="20">
        <v>43</v>
      </c>
      <c r="H29" s="20">
        <f t="shared" si="5"/>
        <v>65</v>
      </c>
      <c r="I29" s="89">
        <f ca="1" t="shared" si="4"/>
      </c>
      <c r="J29" s="89">
        <f ca="1" t="shared" si="4"/>
      </c>
      <c r="K29" s="89">
        <f ca="1" t="shared" si="4"/>
      </c>
      <c r="L29" s="89">
        <f ca="1" t="shared" si="4"/>
        <v>170.854376</v>
      </c>
      <c r="M29" s="89">
        <f ca="1" t="shared" si="4"/>
        <v>-407.997437</v>
      </c>
      <c r="N29" s="89">
        <f ca="1" t="shared" si="4"/>
        <v>-171.123603</v>
      </c>
      <c r="O29" s="89">
        <f ca="1" t="shared" si="4"/>
      </c>
      <c r="P29" s="89">
        <f ca="1" t="shared" si="4"/>
      </c>
      <c r="Q29" s="89">
        <f ca="1" t="shared" si="4"/>
      </c>
      <c r="R29" s="89">
        <f ca="1" t="shared" si="4"/>
        <v>-10.019144</v>
      </c>
      <c r="S29" s="89">
        <f ca="1" t="shared" si="4"/>
        <v>-620.399652</v>
      </c>
      <c r="T29" s="89">
        <f ca="1" t="shared" si="4"/>
        <v>61.497935</v>
      </c>
      <c r="U29" s="89">
        <f ca="1" t="shared" si="4"/>
        <v>-10.829581</v>
      </c>
      <c r="V29" s="89">
        <f ca="1" t="shared" si="4"/>
        <v>-619.213249</v>
      </c>
      <c r="W29" s="89">
        <f ca="1" t="shared" si="4"/>
        <v>62.610429</v>
      </c>
      <c r="X29" s="19"/>
      <c r="Y29" s="19"/>
      <c r="Z29" s="19"/>
      <c r="AA29" s="19"/>
      <c r="AB29" s="19"/>
      <c r="AC29" s="19"/>
      <c r="AD29" s="19"/>
      <c r="AE29" s="19"/>
    </row>
    <row r="30" spans="3:31" ht="12.75">
      <c r="C30" s="18"/>
      <c r="D30" s="19" t="s">
        <v>510</v>
      </c>
      <c r="E30" s="19" t="s">
        <v>528</v>
      </c>
      <c r="F30" s="19"/>
      <c r="G30" s="20">
        <v>46</v>
      </c>
      <c r="H30" s="20">
        <f t="shared" si="5"/>
        <v>68</v>
      </c>
      <c r="I30" s="89">
        <f ca="1" t="shared" si="4"/>
      </c>
      <c r="J30" s="89">
        <f ca="1" t="shared" si="4"/>
      </c>
      <c r="K30" s="89">
        <f ca="1" t="shared" si="4"/>
      </c>
      <c r="L30" s="89">
        <f ca="1" t="shared" si="4"/>
        <v>170.854534</v>
      </c>
      <c r="M30" s="89">
        <f ca="1" t="shared" si="4"/>
        <v>-407.997961</v>
      </c>
      <c r="N30" s="89">
        <f ca="1" t="shared" si="4"/>
        <v>-46.123882</v>
      </c>
      <c r="O30" s="89">
        <f ca="1" t="shared" si="4"/>
      </c>
      <c r="P30" s="89">
        <f ca="1" t="shared" si="4"/>
      </c>
      <c r="Q30" s="89">
        <f ca="1" t="shared" si="4"/>
      </c>
      <c r="R30" s="89">
        <f ca="1" t="shared" si="4"/>
        <v>-9.569267</v>
      </c>
      <c r="S30" s="89">
        <f ca="1" t="shared" si="4"/>
        <v>-515.227885</v>
      </c>
      <c r="T30" s="89">
        <f ca="1" t="shared" si="4"/>
        <v>-140.166446</v>
      </c>
      <c r="U30" s="89">
        <f ca="1" t="shared" si="4"/>
        <v>-10.349698</v>
      </c>
      <c r="V30" s="89">
        <f ca="1" t="shared" si="4"/>
        <v>-513.62396</v>
      </c>
      <c r="W30" s="89">
        <f ca="1" t="shared" si="4"/>
        <v>-140.331781</v>
      </c>
      <c r="X30" s="19"/>
      <c r="Y30" s="19"/>
      <c r="Z30" s="19"/>
      <c r="AA30" s="19"/>
      <c r="AB30" s="19"/>
      <c r="AC30" s="19"/>
      <c r="AD30" s="19"/>
      <c r="AE30" s="19"/>
    </row>
    <row r="31" spans="3:31" ht="12.75">
      <c r="C31" s="18"/>
      <c r="D31" s="19" t="s">
        <v>511</v>
      </c>
      <c r="E31" s="19" t="s">
        <v>528</v>
      </c>
      <c r="F31" s="19"/>
      <c r="G31" s="20">
        <v>51</v>
      </c>
      <c r="H31" s="20">
        <f t="shared" si="5"/>
        <v>73</v>
      </c>
      <c r="I31" s="89">
        <f ca="1" t="shared" si="4"/>
      </c>
      <c r="J31" s="89">
        <f ca="1" t="shared" si="4"/>
      </c>
      <c r="K31" s="89">
        <f ca="1" t="shared" si="4"/>
      </c>
      <c r="L31" s="89">
        <f ca="1" t="shared" si="4"/>
        <v>170.858759</v>
      </c>
      <c r="M31" s="89">
        <f ca="1" t="shared" si="4"/>
        <v>-457.998896</v>
      </c>
      <c r="N31" s="89">
        <f ca="1" t="shared" si="4"/>
        <v>-46.126616</v>
      </c>
      <c r="O31" s="89">
        <f ca="1" t="shared" si="4"/>
      </c>
      <c r="P31" s="89">
        <f ca="1" t="shared" si="4"/>
      </c>
      <c r="Q31" s="89">
        <f ca="1" t="shared" si="4"/>
      </c>
      <c r="R31" s="89">
        <f ca="1" t="shared" si="4"/>
        <v>-72.027431</v>
      </c>
      <c r="S31" s="89">
        <f ca="1" t="shared" si="4"/>
        <v>-521.635326</v>
      </c>
      <c r="T31" s="89">
        <f ca="1" t="shared" si="4"/>
        <v>-89.711826</v>
      </c>
      <c r="U31" s="89">
        <f ca="1" t="shared" si="4"/>
        <v>-72.58604</v>
      </c>
      <c r="V31" s="89">
        <f ca="1" t="shared" si="4"/>
        <v>-519.847765</v>
      </c>
      <c r="W31" s="89">
        <f ca="1" t="shared" si="4"/>
        <v>-90.158272</v>
      </c>
      <c r="X31" s="19"/>
      <c r="Y31" s="19"/>
      <c r="Z31" s="19"/>
      <c r="AA31" s="19"/>
      <c r="AB31" s="19"/>
      <c r="AC31" s="19"/>
      <c r="AD31" s="19"/>
      <c r="AE31" s="19"/>
    </row>
    <row r="32" spans="3:31" ht="12.75">
      <c r="C32" s="18"/>
      <c r="D32" s="19" t="s">
        <v>512</v>
      </c>
      <c r="E32" s="19" t="s">
        <v>528</v>
      </c>
      <c r="F32" s="19"/>
      <c r="G32" s="20">
        <v>53</v>
      </c>
      <c r="H32" s="20">
        <f t="shared" si="5"/>
        <v>75</v>
      </c>
      <c r="I32" s="89">
        <f aca="true" ca="1" t="shared" si="6" ref="I32:W41">IF(OR(System="Common",System=Syst,Ray="Cent"),INDIRECT(Syst&amp;Ray&amp;"Ray!"&amp;INDIRECT(Axe&amp;"col")&amp;FIXED(Line,0)),"")</f>
      </c>
      <c r="J32" s="89">
        <f ca="1" t="shared" si="6"/>
      </c>
      <c r="K32" s="89">
        <f ca="1" t="shared" si="6"/>
      </c>
      <c r="L32" s="89">
        <f ca="1" t="shared" si="6"/>
        <v>170.854597</v>
      </c>
      <c r="M32" s="89">
        <f ca="1" t="shared" si="6"/>
        <v>-457.995952</v>
      </c>
      <c r="N32" s="89">
        <f ca="1" t="shared" si="6"/>
        <v>-46.123672</v>
      </c>
      <c r="O32" s="89">
        <f ca="1" t="shared" si="6"/>
      </c>
      <c r="P32" s="89">
        <f ca="1" t="shared" si="6"/>
      </c>
      <c r="Q32" s="89">
        <f ca="1" t="shared" si="6"/>
      </c>
      <c r="R32" s="89">
        <f ca="1" t="shared" si="6"/>
        <v>-61.557994</v>
      </c>
      <c r="S32" s="89">
        <f ca="1" t="shared" si="6"/>
        <v>-520.56129</v>
      </c>
      <c r="T32" s="89">
        <f ca="1" t="shared" si="6"/>
        <v>-98.169191</v>
      </c>
      <c r="U32" s="89">
        <f ca="1" t="shared" si="6"/>
        <v>-62.106432</v>
      </c>
      <c r="V32" s="89">
        <f ca="1" t="shared" si="6"/>
        <v>-518.799775</v>
      </c>
      <c r="W32" s="89">
        <f ca="1" t="shared" si="6"/>
        <v>-98.606691</v>
      </c>
      <c r="X32" s="19"/>
      <c r="Y32" s="19"/>
      <c r="Z32" s="19"/>
      <c r="AA32" s="19"/>
      <c r="AB32" s="19"/>
      <c r="AC32" s="19"/>
      <c r="AD32" s="19"/>
      <c r="AE32" s="19"/>
    </row>
    <row r="33" spans="3:31" ht="12.75">
      <c r="C33" s="18"/>
      <c r="D33" s="19" t="s">
        <v>513</v>
      </c>
      <c r="E33" s="19" t="s">
        <v>528</v>
      </c>
      <c r="F33" s="19"/>
      <c r="G33" s="20">
        <v>56</v>
      </c>
      <c r="H33" s="20">
        <f t="shared" si="5"/>
        <v>78</v>
      </c>
      <c r="I33" s="89">
        <f ca="1" t="shared" si="6"/>
      </c>
      <c r="J33" s="89">
        <f ca="1" t="shared" si="6"/>
      </c>
      <c r="K33" s="89">
        <f ca="1" t="shared" si="6"/>
      </c>
      <c r="L33" s="89">
        <f ca="1" t="shared" si="6"/>
        <v>170.858602</v>
      </c>
      <c r="M33" s="89">
        <f ca="1" t="shared" si="6"/>
        <v>-457.998372</v>
      </c>
      <c r="N33" s="89">
        <f ca="1" t="shared" si="6"/>
        <v>-171.123266</v>
      </c>
      <c r="O33" s="89">
        <f ca="1" t="shared" si="6"/>
      </c>
      <c r="P33" s="89">
        <f ca="1" t="shared" si="6"/>
      </c>
      <c r="Q33" s="89">
        <f ca="1" t="shared" si="6"/>
      </c>
      <c r="R33" s="89">
        <f ca="1" t="shared" si="6"/>
        <v>-9.503531</v>
      </c>
      <c r="S33" s="89">
        <f ca="1" t="shared" si="6"/>
        <v>-515.780101</v>
      </c>
      <c r="T33" s="89">
        <f ca="1" t="shared" si="6"/>
        <v>-135.738523</v>
      </c>
      <c r="U33" s="89">
        <f ca="1" t="shared" si="6"/>
        <v>-10.272944</v>
      </c>
      <c r="V33" s="89">
        <f ca="1" t="shared" si="6"/>
        <v>-514.229985</v>
      </c>
      <c r="W33" s="89">
        <f ca="1" t="shared" si="6"/>
        <v>-135.543836</v>
      </c>
      <c r="X33" s="19"/>
      <c r="Y33" s="19"/>
      <c r="Z33" s="19"/>
      <c r="AA33" s="19"/>
      <c r="AB33" s="19"/>
      <c r="AC33" s="19"/>
      <c r="AD33" s="19"/>
      <c r="AE33" s="19"/>
    </row>
    <row r="34" spans="3:31" ht="12.75">
      <c r="C34" s="18"/>
      <c r="D34" s="19" t="s">
        <v>514</v>
      </c>
      <c r="E34" s="19" t="s">
        <v>528</v>
      </c>
      <c r="F34" s="19"/>
      <c r="G34" s="20">
        <v>60</v>
      </c>
      <c r="H34" s="20">
        <f t="shared" si="5"/>
        <v>82</v>
      </c>
      <c r="I34" s="89">
        <f ca="1" t="shared" si="6"/>
      </c>
      <c r="J34" s="89">
        <f ca="1" t="shared" si="6"/>
      </c>
      <c r="K34" s="89">
        <f ca="1" t="shared" si="6"/>
      </c>
      <c r="L34" s="89">
        <f ca="1" t="shared" si="6"/>
        <v>170.855908</v>
      </c>
      <c r="M34" s="89">
        <f ca="1" t="shared" si="6"/>
        <v>-544.597766</v>
      </c>
      <c r="N34" s="89">
        <f ca="1" t="shared" si="6"/>
        <v>-21.12771</v>
      </c>
      <c r="O34" s="89">
        <f ca="1" t="shared" si="6"/>
      </c>
      <c r="P34" s="89">
        <f ca="1" t="shared" si="6"/>
      </c>
      <c r="Q34" s="89">
        <f ca="1" t="shared" si="6"/>
      </c>
      <c r="R34" s="89">
        <f ca="1" t="shared" si="6"/>
        <v>-10.623296</v>
      </c>
      <c r="S34" s="89">
        <f ca="1" t="shared" si="6"/>
        <v>-477.505228</v>
      </c>
      <c r="T34" s="89">
        <f ca="1" t="shared" si="6"/>
        <v>-178.44418</v>
      </c>
      <c r="U34" s="89">
        <f ca="1" t="shared" si="6"/>
        <v>-11.481801</v>
      </c>
      <c r="V34" s="89">
        <f ca="1" t="shared" si="6"/>
        <v>-477.50527</v>
      </c>
      <c r="W34" s="89">
        <f ca="1" t="shared" si="6"/>
        <v>-180.145705</v>
      </c>
      <c r="X34" s="19"/>
      <c r="Y34" s="19"/>
      <c r="Z34" s="19"/>
      <c r="AA34" s="19"/>
      <c r="AB34" s="19"/>
      <c r="AC34" s="19"/>
      <c r="AD34" s="19"/>
      <c r="AE34" s="19"/>
    </row>
    <row r="35" spans="3:31" ht="12.75">
      <c r="C35" s="18"/>
      <c r="D35" s="19" t="s">
        <v>515</v>
      </c>
      <c r="E35" s="19" t="s">
        <v>528</v>
      </c>
      <c r="F35" s="19"/>
      <c r="G35" s="20">
        <v>63</v>
      </c>
      <c r="H35" s="20">
        <f t="shared" si="5"/>
        <v>85</v>
      </c>
      <c r="I35" s="89">
        <f ca="1" t="shared" si="6"/>
      </c>
      <c r="J35" s="89">
        <f ca="1" t="shared" si="6"/>
      </c>
      <c r="K35" s="89">
        <f ca="1" t="shared" si="6"/>
      </c>
      <c r="L35" s="89">
        <f ca="1" t="shared" si="6"/>
        <v>170.853544</v>
      </c>
      <c r="M35" s="89">
        <f ca="1" t="shared" si="6"/>
        <v>-620.587374</v>
      </c>
      <c r="N35" s="89">
        <f ca="1" t="shared" si="6"/>
        <v>-152.746455</v>
      </c>
      <c r="O35" s="89">
        <f ca="1" t="shared" si="6"/>
      </c>
      <c r="P35" s="89">
        <f ca="1" t="shared" si="6"/>
      </c>
      <c r="Q35" s="89">
        <f ca="1" t="shared" si="6"/>
      </c>
      <c r="R35" s="89">
        <f ca="1" t="shared" si="6"/>
        <v>-10.755735</v>
      </c>
      <c r="S35" s="89">
        <f ca="1" t="shared" si="6"/>
        <v>-468.515228</v>
      </c>
      <c r="T35" s="89">
        <f ca="1" t="shared" si="6"/>
        <v>-178.436583</v>
      </c>
      <c r="U35" s="89">
        <f ca="1" t="shared" si="6"/>
        <v>-11.624777</v>
      </c>
      <c r="V35" s="89">
        <f ca="1" t="shared" si="6"/>
        <v>-468.51527</v>
      </c>
      <c r="W35" s="89">
        <f ca="1" t="shared" si="6"/>
        <v>-180.154575</v>
      </c>
      <c r="X35" s="19"/>
      <c r="Y35" s="19"/>
      <c r="Z35" s="19"/>
      <c r="AA35" s="19"/>
      <c r="AB35" s="19"/>
      <c r="AC35" s="19"/>
      <c r="AD35" s="19"/>
      <c r="AE35" s="19"/>
    </row>
    <row r="36" spans="3:31" ht="12.75">
      <c r="C36" s="18"/>
      <c r="D36" s="19" t="s">
        <v>516</v>
      </c>
      <c r="E36" s="19" t="s">
        <v>528</v>
      </c>
      <c r="F36" s="19"/>
      <c r="G36" s="20">
        <v>67</v>
      </c>
      <c r="H36" s="20">
        <f t="shared" si="5"/>
        <v>89</v>
      </c>
      <c r="I36" s="89">
        <f ca="1" t="shared" si="6"/>
      </c>
      <c r="J36" s="89">
        <f ca="1" t="shared" si="6"/>
      </c>
      <c r="K36" s="89">
        <f ca="1" t="shared" si="6"/>
      </c>
      <c r="L36" s="89">
        <f ca="1" t="shared" si="6"/>
        <v>170.855319</v>
      </c>
      <c r="M36" s="89">
        <f ca="1" t="shared" si="6"/>
        <v>-636.662659</v>
      </c>
      <c r="N36" s="89">
        <f ca="1" t="shared" si="6"/>
        <v>-61.583891</v>
      </c>
      <c r="O36" s="89">
        <f ca="1" t="shared" si="6"/>
      </c>
      <c r="P36" s="89">
        <f ca="1" t="shared" si="6"/>
      </c>
      <c r="Q36" s="89">
        <f ca="1" t="shared" si="6"/>
      </c>
      <c r="R36" s="89">
        <f ca="1" t="shared" si="6"/>
        <v>0</v>
      </c>
      <c r="S36" s="89">
        <f ca="1" t="shared" si="6"/>
        <v>0</v>
      </c>
      <c r="T36" s="89">
        <f ca="1" t="shared" si="6"/>
        <v>0</v>
      </c>
      <c r="U36" s="89">
        <f ca="1" t="shared" si="6"/>
        <v>0</v>
      </c>
      <c r="V36" s="89">
        <f ca="1" t="shared" si="6"/>
        <v>0</v>
      </c>
      <c r="W36" s="89">
        <f ca="1" t="shared" si="6"/>
        <v>0</v>
      </c>
      <c r="X36" s="19"/>
      <c r="Y36" s="19"/>
      <c r="Z36" s="19"/>
      <c r="AA36" s="19"/>
      <c r="AB36" s="19"/>
      <c r="AC36" s="19"/>
      <c r="AD36" s="19"/>
      <c r="AE36" s="19"/>
    </row>
    <row r="37" spans="3:31" ht="13.5" thickBot="1">
      <c r="C37" s="14"/>
      <c r="D37" s="15" t="s">
        <v>517</v>
      </c>
      <c r="E37" s="19" t="s">
        <v>528</v>
      </c>
      <c r="F37" s="15" t="s">
        <v>158</v>
      </c>
      <c r="G37" s="20">
        <v>70</v>
      </c>
      <c r="H37" s="20">
        <f t="shared" si="5"/>
        <v>92</v>
      </c>
      <c r="I37" s="89">
        <f ca="1" t="shared" si="6"/>
      </c>
      <c r="J37" s="89">
        <f ca="1" t="shared" si="6"/>
      </c>
      <c r="K37" s="89">
        <f ca="1" t="shared" si="6"/>
      </c>
      <c r="L37" s="89">
        <f ca="1" t="shared" si="6"/>
        <v>250.856678</v>
      </c>
      <c r="M37" s="89">
        <f ca="1" t="shared" si="6"/>
        <v>-636.663651</v>
      </c>
      <c r="N37" s="89">
        <f ca="1" t="shared" si="6"/>
        <v>-61.582508</v>
      </c>
      <c r="O37" s="89">
        <f ca="1" t="shared" si="6"/>
      </c>
      <c r="P37" s="89">
        <f ca="1" t="shared" si="6"/>
      </c>
      <c r="Q37" s="89">
        <f ca="1" t="shared" si="6"/>
      </c>
      <c r="R37" s="89">
        <f ca="1" t="shared" si="6"/>
        <v>0</v>
      </c>
      <c r="S37" s="89">
        <f ca="1" t="shared" si="6"/>
        <v>0</v>
      </c>
      <c r="T37" s="89">
        <f ca="1" t="shared" si="6"/>
        <v>0</v>
      </c>
      <c r="U37" s="89">
        <f ca="1" t="shared" si="6"/>
        <v>0</v>
      </c>
      <c r="V37" s="89">
        <f ca="1" t="shared" si="6"/>
        <v>0</v>
      </c>
      <c r="W37" s="89">
        <f ca="1" t="shared" si="6"/>
        <v>0</v>
      </c>
      <c r="X37" s="19"/>
      <c r="Y37" s="19"/>
      <c r="Z37" s="19"/>
      <c r="AA37" s="19"/>
      <c r="AB37" s="19"/>
      <c r="AC37" s="19"/>
      <c r="AD37" s="19"/>
      <c r="AE37" s="19"/>
    </row>
    <row r="38" spans="3:31" ht="13.5" thickBot="1">
      <c r="C38" s="19"/>
      <c r="D38" s="19" t="s">
        <v>506</v>
      </c>
      <c r="E38" s="19" t="s">
        <v>529</v>
      </c>
      <c r="F38" s="19" t="s">
        <v>126</v>
      </c>
      <c r="G38" s="20">
        <v>36</v>
      </c>
      <c r="H38" s="20">
        <f t="shared" si="5"/>
        <v>58</v>
      </c>
      <c r="I38" s="89">
        <f ca="1" t="shared" si="6"/>
      </c>
      <c r="J38" s="89">
        <f ca="1" t="shared" si="6"/>
      </c>
      <c r="K38" s="89">
        <f ca="1" t="shared" si="6"/>
      </c>
      <c r="L38" s="89">
        <f ca="1" t="shared" si="6"/>
      </c>
      <c r="M38" s="89">
        <f ca="1" t="shared" si="6"/>
      </c>
      <c r="N38" s="89">
        <f ca="1" t="shared" si="6"/>
      </c>
      <c r="O38" s="89">
        <f ca="1" t="shared" si="6"/>
        <v>170.859883</v>
      </c>
      <c r="P38" s="89">
        <f ca="1" t="shared" si="6"/>
        <v>-234.57904</v>
      </c>
      <c r="Q38" s="89">
        <f ca="1" t="shared" si="6"/>
        <v>-171.50445</v>
      </c>
      <c r="R38" s="89">
        <f ca="1" t="shared" si="6"/>
        <v>-10.168951</v>
      </c>
      <c r="S38" s="89">
        <f ca="1" t="shared" si="6"/>
        <v>-627.36187</v>
      </c>
      <c r="T38" s="89">
        <f ca="1" t="shared" si="6"/>
        <v>68.909762</v>
      </c>
      <c r="U38" s="89">
        <f ca="1" t="shared" si="6"/>
        <v>-11.004597</v>
      </c>
      <c r="V38" s="89">
        <f ca="1" t="shared" si="6"/>
        <v>-626.732892</v>
      </c>
      <c r="W38" s="89">
        <f ca="1" t="shared" si="6"/>
        <v>70.64512</v>
      </c>
      <c r="X38" s="19"/>
      <c r="Y38" s="19"/>
      <c r="Z38" s="19"/>
      <c r="AA38" s="19"/>
      <c r="AB38" s="19"/>
      <c r="AC38" s="19"/>
      <c r="AD38" s="19"/>
      <c r="AE38" s="19"/>
    </row>
    <row r="39" spans="3:31" ht="12.75">
      <c r="C39" s="10" t="s">
        <v>518</v>
      </c>
      <c r="D39" s="11" t="s">
        <v>508</v>
      </c>
      <c r="E39" s="11" t="s">
        <v>529</v>
      </c>
      <c r="F39" s="11" t="s">
        <v>157</v>
      </c>
      <c r="G39" s="20">
        <v>39</v>
      </c>
      <c r="H39" s="20">
        <f t="shared" si="5"/>
        <v>61</v>
      </c>
      <c r="I39" s="89">
        <f ca="1" t="shared" si="6"/>
      </c>
      <c r="J39" s="89">
        <f ca="1" t="shared" si="6"/>
      </c>
      <c r="K39" s="89">
        <f ca="1" t="shared" si="6"/>
      </c>
      <c r="L39" s="89">
        <f ca="1" t="shared" si="6"/>
      </c>
      <c r="M39" s="89">
        <f ca="1" t="shared" si="6"/>
      </c>
      <c r="N39" s="89">
        <f ca="1" t="shared" si="6"/>
      </c>
      <c r="O39" s="89">
        <f ca="1" t="shared" si="6"/>
        <v>170.857126</v>
      </c>
      <c r="P39" s="89">
        <f ca="1" t="shared" si="6"/>
        <v>-321.398179</v>
      </c>
      <c r="Q39" s="89">
        <f ca="1" t="shared" si="6"/>
        <v>-21.12771</v>
      </c>
      <c r="R39" s="89">
        <f ca="1" t="shared" si="6"/>
        <v>-34.14</v>
      </c>
      <c r="S39" s="89">
        <f ca="1" t="shared" si="6"/>
        <v>-627.618626</v>
      </c>
      <c r="T39" s="89">
        <f ca="1" t="shared" si="6"/>
        <v>69.153106</v>
      </c>
      <c r="U39" s="89">
        <f ca="1" t="shared" si="6"/>
        <v>-34.14</v>
      </c>
      <c r="V39" s="89">
        <f ca="1" t="shared" si="6"/>
        <v>-626.968333</v>
      </c>
      <c r="W39" s="89">
        <f ca="1" t="shared" si="6"/>
        <v>70.928749</v>
      </c>
      <c r="X39" s="19"/>
      <c r="Y39" s="19"/>
      <c r="Z39" s="19"/>
      <c r="AA39" s="19"/>
      <c r="AB39" s="19"/>
      <c r="AC39" s="19"/>
      <c r="AD39" s="19"/>
      <c r="AE39" s="19"/>
    </row>
    <row r="40" spans="3:31" ht="12.75">
      <c r="C40" s="18"/>
      <c r="D40" s="19" t="s">
        <v>519</v>
      </c>
      <c r="E40" s="19" t="s">
        <v>529</v>
      </c>
      <c r="F40" s="19"/>
      <c r="G40" s="20">
        <v>43</v>
      </c>
      <c r="H40" s="20">
        <f t="shared" si="5"/>
        <v>65</v>
      </c>
      <c r="I40" s="89">
        <f ca="1" t="shared" si="6"/>
      </c>
      <c r="J40" s="89">
        <f ca="1" t="shared" si="6"/>
      </c>
      <c r="K40" s="89">
        <f ca="1" t="shared" si="6"/>
      </c>
      <c r="L40" s="89">
        <f ca="1" t="shared" si="6"/>
      </c>
      <c r="M40" s="89">
        <f ca="1" t="shared" si="6"/>
      </c>
      <c r="N40" s="89">
        <f ca="1" t="shared" si="6"/>
      </c>
      <c r="O40" s="89">
        <f ca="1" t="shared" si="6"/>
        <v>170.854376</v>
      </c>
      <c r="P40" s="89">
        <f ca="1" t="shared" si="6"/>
        <v>-407.997437</v>
      </c>
      <c r="Q40" s="89">
        <f ca="1" t="shared" si="6"/>
        <v>128.868184</v>
      </c>
      <c r="R40" s="89">
        <f ca="1" t="shared" si="6"/>
        <v>-10.019144</v>
      </c>
      <c r="S40" s="89">
        <f ca="1" t="shared" si="6"/>
        <v>-620.399652</v>
      </c>
      <c r="T40" s="89">
        <f ca="1" t="shared" si="6"/>
        <v>61.497935</v>
      </c>
      <c r="U40" s="89">
        <f ca="1" t="shared" si="6"/>
        <v>-10.829581</v>
      </c>
      <c r="V40" s="89">
        <f ca="1" t="shared" si="6"/>
        <v>-619.213249</v>
      </c>
      <c r="W40" s="89">
        <f ca="1" t="shared" si="6"/>
        <v>62.610429</v>
      </c>
      <c r="X40" s="19"/>
      <c r="Y40" s="19"/>
      <c r="Z40" s="19"/>
      <c r="AA40" s="19"/>
      <c r="AB40" s="19"/>
      <c r="AC40" s="19"/>
      <c r="AD40" s="19"/>
      <c r="AE40" s="19"/>
    </row>
    <row r="41" spans="3:31" ht="12.75">
      <c r="C41" s="18"/>
      <c r="D41" s="19" t="s">
        <v>520</v>
      </c>
      <c r="E41" s="19" t="s">
        <v>529</v>
      </c>
      <c r="F41" s="19"/>
      <c r="G41" s="20">
        <v>46</v>
      </c>
      <c r="H41" s="20">
        <f t="shared" si="5"/>
        <v>68</v>
      </c>
      <c r="I41" s="89">
        <f ca="1" t="shared" si="6"/>
      </c>
      <c r="J41" s="89">
        <f ca="1" t="shared" si="6"/>
      </c>
      <c r="K41" s="89">
        <f ca="1" t="shared" si="6"/>
      </c>
      <c r="L41" s="89">
        <f ca="1" t="shared" si="6"/>
      </c>
      <c r="M41" s="89">
        <f ca="1" t="shared" si="6"/>
      </c>
      <c r="N41" s="89">
        <f ca="1" t="shared" si="6"/>
      </c>
      <c r="O41" s="89">
        <f ca="1" t="shared" si="6"/>
        <v>170.854534</v>
      </c>
      <c r="P41" s="89">
        <f ca="1" t="shared" si="6"/>
        <v>-407.997961</v>
      </c>
      <c r="Q41" s="89">
        <f ca="1" t="shared" si="6"/>
        <v>3.868462</v>
      </c>
      <c r="R41" s="89">
        <f ca="1" t="shared" si="6"/>
        <v>-9.569267</v>
      </c>
      <c r="S41" s="89">
        <f ca="1" t="shared" si="6"/>
        <v>-515.227885</v>
      </c>
      <c r="T41" s="89">
        <f ca="1" t="shared" si="6"/>
        <v>-140.166446</v>
      </c>
      <c r="U41" s="89">
        <f ca="1" t="shared" si="6"/>
        <v>-10.349698</v>
      </c>
      <c r="V41" s="89">
        <f ca="1" t="shared" si="6"/>
        <v>-513.62396</v>
      </c>
      <c r="W41" s="89">
        <f ca="1" t="shared" si="6"/>
        <v>-140.331781</v>
      </c>
      <c r="X41" s="19"/>
      <c r="Y41" s="19"/>
      <c r="Z41" s="19"/>
      <c r="AA41" s="19"/>
      <c r="AB41" s="19"/>
      <c r="AC41" s="19"/>
      <c r="AD41" s="19"/>
      <c r="AE41" s="19"/>
    </row>
    <row r="42" spans="3:31" ht="12.75">
      <c r="C42" s="18"/>
      <c r="D42" s="19" t="s">
        <v>521</v>
      </c>
      <c r="E42" s="19" t="s">
        <v>529</v>
      </c>
      <c r="F42" s="19"/>
      <c r="G42" s="20">
        <v>51</v>
      </c>
      <c r="H42" s="20">
        <f t="shared" si="5"/>
        <v>73</v>
      </c>
      <c r="I42" s="89">
        <f aca="true" ca="1" t="shared" si="7" ref="I42:W48">IF(OR(System="Common",System=Syst,Ray="Cent"),INDIRECT(Syst&amp;Ray&amp;"Ray!"&amp;INDIRECT(Axe&amp;"col")&amp;FIXED(Line,0)),"")</f>
      </c>
      <c r="J42" s="89">
        <f ca="1" t="shared" si="7"/>
      </c>
      <c r="K42" s="89">
        <f ca="1" t="shared" si="7"/>
      </c>
      <c r="L42" s="89">
        <f ca="1" t="shared" si="7"/>
      </c>
      <c r="M42" s="89">
        <f ca="1" t="shared" si="7"/>
      </c>
      <c r="N42" s="89">
        <f ca="1" t="shared" si="7"/>
      </c>
      <c r="O42" s="89">
        <f ca="1" t="shared" si="7"/>
        <v>170.858759</v>
      </c>
      <c r="P42" s="89">
        <f ca="1" t="shared" si="7"/>
        <v>-457.998896</v>
      </c>
      <c r="Q42" s="89">
        <f ca="1" t="shared" si="7"/>
        <v>3.871196</v>
      </c>
      <c r="R42" s="89">
        <f ca="1" t="shared" si="7"/>
        <v>-72.027431</v>
      </c>
      <c r="S42" s="89">
        <f ca="1" t="shared" si="7"/>
        <v>-521.635326</v>
      </c>
      <c r="T42" s="89">
        <f ca="1" t="shared" si="7"/>
        <v>-89.711826</v>
      </c>
      <c r="U42" s="89">
        <f ca="1" t="shared" si="7"/>
        <v>-72.58604</v>
      </c>
      <c r="V42" s="89">
        <f ca="1" t="shared" si="7"/>
        <v>-519.847765</v>
      </c>
      <c r="W42" s="89">
        <f ca="1" t="shared" si="7"/>
        <v>-90.158272</v>
      </c>
      <c r="X42" s="19"/>
      <c r="Y42" s="19"/>
      <c r="Z42" s="19"/>
      <c r="AA42" s="19"/>
      <c r="AB42" s="19"/>
      <c r="AC42" s="19"/>
      <c r="AD42" s="19"/>
      <c r="AE42" s="19"/>
    </row>
    <row r="43" spans="3:31" ht="12.75">
      <c r="C43" s="18"/>
      <c r="D43" s="19" t="s">
        <v>522</v>
      </c>
      <c r="E43" s="19" t="s">
        <v>529</v>
      </c>
      <c r="F43" s="19"/>
      <c r="G43" s="20">
        <v>53</v>
      </c>
      <c r="H43" s="20">
        <f t="shared" si="5"/>
        <v>75</v>
      </c>
      <c r="I43" s="89">
        <f ca="1" t="shared" si="7"/>
      </c>
      <c r="J43" s="89">
        <f ca="1" t="shared" si="7"/>
      </c>
      <c r="K43" s="89">
        <f ca="1" t="shared" si="7"/>
      </c>
      <c r="L43" s="89">
        <f ca="1" t="shared" si="7"/>
      </c>
      <c r="M43" s="89">
        <f ca="1" t="shared" si="7"/>
      </c>
      <c r="N43" s="89">
        <f ca="1" t="shared" si="7"/>
      </c>
      <c r="O43" s="89">
        <f ca="1" t="shared" si="7"/>
        <v>170.854597</v>
      </c>
      <c r="P43" s="89">
        <f ca="1" t="shared" si="7"/>
        <v>-457.995952</v>
      </c>
      <c r="Q43" s="89">
        <f ca="1" t="shared" si="7"/>
        <v>3.868253</v>
      </c>
      <c r="R43" s="89">
        <f ca="1" t="shared" si="7"/>
        <v>-61.557994</v>
      </c>
      <c r="S43" s="89">
        <f ca="1" t="shared" si="7"/>
        <v>-520.56129</v>
      </c>
      <c r="T43" s="89">
        <f ca="1" t="shared" si="7"/>
        <v>-98.169191</v>
      </c>
      <c r="U43" s="89">
        <f ca="1" t="shared" si="7"/>
        <v>-62.106432</v>
      </c>
      <c r="V43" s="89">
        <f ca="1" t="shared" si="7"/>
        <v>-518.799775</v>
      </c>
      <c r="W43" s="89">
        <f ca="1" t="shared" si="7"/>
        <v>-98.606691</v>
      </c>
      <c r="X43" s="19"/>
      <c r="Y43" s="19"/>
      <c r="Z43" s="19"/>
      <c r="AA43" s="19"/>
      <c r="AB43" s="19"/>
      <c r="AC43" s="19"/>
      <c r="AD43" s="19"/>
      <c r="AE43" s="19"/>
    </row>
    <row r="44" spans="3:31" ht="12.75">
      <c r="C44" s="18"/>
      <c r="D44" s="19" t="s">
        <v>523</v>
      </c>
      <c r="E44" s="19" t="s">
        <v>529</v>
      </c>
      <c r="F44" s="19"/>
      <c r="G44" s="20">
        <v>56</v>
      </c>
      <c r="H44" s="20">
        <f t="shared" si="5"/>
        <v>78</v>
      </c>
      <c r="I44" s="89">
        <f ca="1" t="shared" si="7"/>
      </c>
      <c r="J44" s="89">
        <f ca="1" t="shared" si="7"/>
      </c>
      <c r="K44" s="89">
        <f ca="1" t="shared" si="7"/>
      </c>
      <c r="L44" s="89">
        <f ca="1" t="shared" si="7"/>
      </c>
      <c r="M44" s="89">
        <f ca="1" t="shared" si="7"/>
      </c>
      <c r="N44" s="89">
        <f ca="1" t="shared" si="7"/>
      </c>
      <c r="O44" s="89">
        <f ca="1" t="shared" si="7"/>
        <v>170.858602</v>
      </c>
      <c r="P44" s="89">
        <f ca="1" t="shared" si="7"/>
        <v>-457.998372</v>
      </c>
      <c r="Q44" s="89">
        <f ca="1" t="shared" si="7"/>
        <v>128.867847</v>
      </c>
      <c r="R44" s="89">
        <f ca="1" t="shared" si="7"/>
        <v>-9.503531</v>
      </c>
      <c r="S44" s="89">
        <f ca="1" t="shared" si="7"/>
        <v>-515.780101</v>
      </c>
      <c r="T44" s="89">
        <f ca="1" t="shared" si="7"/>
        <v>-135.738523</v>
      </c>
      <c r="U44" s="89">
        <f ca="1" t="shared" si="7"/>
        <v>-10.272944</v>
      </c>
      <c r="V44" s="89">
        <f ca="1" t="shared" si="7"/>
        <v>-514.229985</v>
      </c>
      <c r="W44" s="89">
        <f ca="1" t="shared" si="7"/>
        <v>-135.543836</v>
      </c>
      <c r="X44" s="19"/>
      <c r="Y44" s="19"/>
      <c r="Z44" s="19"/>
      <c r="AA44" s="19"/>
      <c r="AB44" s="19"/>
      <c r="AC44" s="19"/>
      <c r="AD44" s="19"/>
      <c r="AE44" s="19"/>
    </row>
    <row r="45" spans="3:31" ht="12.75">
      <c r="C45" s="18"/>
      <c r="D45" s="19" t="s">
        <v>514</v>
      </c>
      <c r="E45" s="19" t="s">
        <v>529</v>
      </c>
      <c r="F45" s="19"/>
      <c r="G45" s="20">
        <v>60</v>
      </c>
      <c r="H45" s="20">
        <f t="shared" si="5"/>
        <v>82</v>
      </c>
      <c r="I45" s="89">
        <f ca="1" t="shared" si="7"/>
      </c>
      <c r="J45" s="89">
        <f ca="1" t="shared" si="7"/>
      </c>
      <c r="K45" s="89">
        <f ca="1" t="shared" si="7"/>
      </c>
      <c r="L45" s="89">
        <f ca="1" t="shared" si="7"/>
      </c>
      <c r="M45" s="89">
        <f ca="1" t="shared" si="7"/>
      </c>
      <c r="N45" s="89">
        <f ca="1" t="shared" si="7"/>
      </c>
      <c r="O45" s="89">
        <f ca="1" t="shared" si="7"/>
        <v>170.855908</v>
      </c>
      <c r="P45" s="89">
        <f ca="1" t="shared" si="7"/>
        <v>-544.597766</v>
      </c>
      <c r="Q45" s="89">
        <f ca="1" t="shared" si="7"/>
        <v>-21.12771</v>
      </c>
      <c r="R45" s="89">
        <f ca="1" t="shared" si="7"/>
        <v>-10.623296</v>
      </c>
      <c r="S45" s="89">
        <f ca="1" t="shared" si="7"/>
        <v>-477.505228</v>
      </c>
      <c r="T45" s="89">
        <f ca="1" t="shared" si="7"/>
        <v>-178.44418</v>
      </c>
      <c r="U45" s="89">
        <f ca="1" t="shared" si="7"/>
        <v>-11.481801</v>
      </c>
      <c r="V45" s="89">
        <f ca="1" t="shared" si="7"/>
        <v>-477.50527</v>
      </c>
      <c r="W45" s="89">
        <f ca="1" t="shared" si="7"/>
        <v>-180.145705</v>
      </c>
      <c r="X45" s="19"/>
      <c r="Y45" s="19"/>
      <c r="Z45" s="19"/>
      <c r="AA45" s="19"/>
      <c r="AB45" s="19"/>
      <c r="AC45" s="19"/>
      <c r="AD45" s="19"/>
      <c r="AE45" s="19"/>
    </row>
    <row r="46" spans="3:31" ht="12.75">
      <c r="C46" s="18"/>
      <c r="D46" s="19" t="s">
        <v>524</v>
      </c>
      <c r="E46" s="19" t="s">
        <v>529</v>
      </c>
      <c r="F46" s="19"/>
      <c r="G46" s="20">
        <v>63</v>
      </c>
      <c r="H46" s="20">
        <f t="shared" si="5"/>
        <v>85</v>
      </c>
      <c r="I46" s="89">
        <f ca="1" t="shared" si="7"/>
      </c>
      <c r="J46" s="89">
        <f ca="1" t="shared" si="7"/>
      </c>
      <c r="K46" s="89">
        <f ca="1" t="shared" si="7"/>
      </c>
      <c r="L46" s="89">
        <f ca="1" t="shared" si="7"/>
      </c>
      <c r="M46" s="89">
        <f ca="1" t="shared" si="7"/>
      </c>
      <c r="N46" s="89">
        <f ca="1" t="shared" si="7"/>
      </c>
      <c r="O46" s="89">
        <f ca="1" t="shared" si="7"/>
        <v>170.853544</v>
      </c>
      <c r="P46" s="89">
        <f ca="1" t="shared" si="7"/>
        <v>-620.587374</v>
      </c>
      <c r="Q46" s="89">
        <f ca="1" t="shared" si="7"/>
        <v>110.491035</v>
      </c>
      <c r="R46" s="89">
        <f ca="1" t="shared" si="7"/>
        <v>-10.755735</v>
      </c>
      <c r="S46" s="89">
        <f ca="1" t="shared" si="7"/>
        <v>-468.515228</v>
      </c>
      <c r="T46" s="89">
        <f ca="1" t="shared" si="7"/>
        <v>-178.436583</v>
      </c>
      <c r="U46" s="89">
        <f ca="1" t="shared" si="7"/>
        <v>-11.624777</v>
      </c>
      <c r="V46" s="89">
        <f ca="1" t="shared" si="7"/>
        <v>-468.51527</v>
      </c>
      <c r="W46" s="89">
        <f ca="1" t="shared" si="7"/>
        <v>-180.154575</v>
      </c>
      <c r="X46" s="19"/>
      <c r="Y46" s="19"/>
      <c r="Z46" s="19"/>
      <c r="AA46" s="19"/>
      <c r="AB46" s="19"/>
      <c r="AC46" s="19"/>
      <c r="AD46" s="19"/>
      <c r="AE46" s="19"/>
    </row>
    <row r="47" spans="3:31" ht="12.75">
      <c r="C47" s="18"/>
      <c r="D47" s="19" t="s">
        <v>525</v>
      </c>
      <c r="E47" s="19" t="s">
        <v>529</v>
      </c>
      <c r="F47" s="19"/>
      <c r="G47" s="20">
        <v>67</v>
      </c>
      <c r="H47" s="20">
        <f t="shared" si="5"/>
        <v>89</v>
      </c>
      <c r="I47" s="89">
        <f ca="1" t="shared" si="7"/>
      </c>
      <c r="J47" s="89">
        <f ca="1" t="shared" si="7"/>
      </c>
      <c r="K47" s="89">
        <f ca="1" t="shared" si="7"/>
      </c>
      <c r="L47" s="89">
        <f ca="1" t="shared" si="7"/>
      </c>
      <c r="M47" s="89">
        <f ca="1" t="shared" si="7"/>
      </c>
      <c r="N47" s="89">
        <f ca="1" t="shared" si="7"/>
      </c>
      <c r="O47" s="89">
        <f ca="1" t="shared" si="7"/>
        <v>170.855319</v>
      </c>
      <c r="P47" s="89">
        <f ca="1" t="shared" si="7"/>
        <v>-636.662659</v>
      </c>
      <c r="Q47" s="89">
        <f ca="1" t="shared" si="7"/>
        <v>19.328471</v>
      </c>
      <c r="R47" s="89">
        <f ca="1" t="shared" si="7"/>
        <v>0</v>
      </c>
      <c r="S47" s="89">
        <f ca="1" t="shared" si="7"/>
        <v>0</v>
      </c>
      <c r="T47" s="89">
        <f ca="1" t="shared" si="7"/>
        <v>0</v>
      </c>
      <c r="U47" s="89">
        <f ca="1" t="shared" si="7"/>
        <v>0</v>
      </c>
      <c r="V47" s="89">
        <f ca="1" t="shared" si="7"/>
        <v>0</v>
      </c>
      <c r="W47" s="89">
        <f ca="1" t="shared" si="7"/>
        <v>0</v>
      </c>
      <c r="X47" s="19"/>
      <c r="Y47" s="19"/>
      <c r="Z47" s="19"/>
      <c r="AA47" s="19"/>
      <c r="AB47" s="19"/>
      <c r="AC47" s="19"/>
      <c r="AD47" s="19"/>
      <c r="AE47" s="19"/>
    </row>
    <row r="48" spans="3:31" ht="13.5" thickBot="1">
      <c r="C48" s="14"/>
      <c r="D48" s="15" t="s">
        <v>526</v>
      </c>
      <c r="E48" s="15" t="s">
        <v>529</v>
      </c>
      <c r="F48" s="15" t="s">
        <v>158</v>
      </c>
      <c r="G48" s="20">
        <v>70</v>
      </c>
      <c r="H48" s="20">
        <f t="shared" si="5"/>
        <v>92</v>
      </c>
      <c r="I48" s="89">
        <f ca="1" t="shared" si="7"/>
      </c>
      <c r="J48" s="89">
        <f ca="1" t="shared" si="7"/>
      </c>
      <c r="K48" s="89">
        <f ca="1" t="shared" si="7"/>
      </c>
      <c r="L48" s="89">
        <f ca="1" t="shared" si="7"/>
      </c>
      <c r="M48" s="89">
        <f ca="1" t="shared" si="7"/>
      </c>
      <c r="N48" s="89">
        <f ca="1" t="shared" si="7"/>
      </c>
      <c r="O48" s="89">
        <f ca="1" t="shared" si="7"/>
        <v>250.856678</v>
      </c>
      <c r="P48" s="89">
        <f ca="1" t="shared" si="7"/>
        <v>-636.663651</v>
      </c>
      <c r="Q48" s="89">
        <f ca="1" t="shared" si="7"/>
        <v>19.327088</v>
      </c>
      <c r="R48" s="89">
        <f ca="1" t="shared" si="7"/>
        <v>0</v>
      </c>
      <c r="S48" s="89">
        <f ca="1" t="shared" si="7"/>
        <v>0</v>
      </c>
      <c r="T48" s="89">
        <f ca="1" t="shared" si="7"/>
        <v>0</v>
      </c>
      <c r="U48" s="89">
        <f ca="1" t="shared" si="7"/>
        <v>0</v>
      </c>
      <c r="V48" s="89">
        <f ca="1" t="shared" si="7"/>
        <v>0</v>
      </c>
      <c r="W48" s="89">
        <f ca="1" t="shared" si="7"/>
        <v>0</v>
      </c>
      <c r="X48" s="19"/>
      <c r="Y48" s="19"/>
      <c r="Z48" s="19"/>
      <c r="AA48" s="19"/>
      <c r="AB48" s="19"/>
      <c r="AC48" s="19"/>
      <c r="AD48" s="19"/>
      <c r="AE48" s="19"/>
    </row>
    <row r="49" spans="3:31" ht="12.75">
      <c r="C49" s="19"/>
      <c r="D49" s="19"/>
      <c r="E49" s="19"/>
      <c r="F49" s="19"/>
      <c r="G49" s="25" t="s">
        <v>553</v>
      </c>
      <c r="H49" s="20"/>
      <c r="I49" s="21" t="s">
        <v>17</v>
      </c>
      <c r="J49" s="21" t="s">
        <v>80</v>
      </c>
      <c r="K49" s="21" t="s">
        <v>81</v>
      </c>
      <c r="L49" s="21" t="s">
        <v>17</v>
      </c>
      <c r="M49" s="21" t="s">
        <v>80</v>
      </c>
      <c r="N49" s="21" t="s">
        <v>81</v>
      </c>
      <c r="O49" s="21" t="s">
        <v>17</v>
      </c>
      <c r="P49" s="21" t="s">
        <v>80</v>
      </c>
      <c r="Q49" s="21" t="s">
        <v>81</v>
      </c>
      <c r="R49" s="21" t="s">
        <v>17</v>
      </c>
      <c r="S49" s="21" t="s">
        <v>80</v>
      </c>
      <c r="T49" s="21" t="s">
        <v>81</v>
      </c>
      <c r="U49" s="21" t="s">
        <v>17</v>
      </c>
      <c r="V49" s="21" t="s">
        <v>80</v>
      </c>
      <c r="W49" s="21" t="s">
        <v>81</v>
      </c>
      <c r="X49" s="19"/>
      <c r="Y49" s="19"/>
      <c r="Z49" s="19"/>
      <c r="AA49" s="19"/>
      <c r="AB49" s="19"/>
      <c r="AC49" s="19"/>
      <c r="AD49" s="19"/>
      <c r="AE49" s="19"/>
    </row>
    <row r="50" spans="3:31" ht="12.75">
      <c r="C50" s="19"/>
      <c r="D50" s="19"/>
      <c r="E50" s="19"/>
      <c r="F50" s="19"/>
      <c r="G50" s="5" t="s">
        <v>555</v>
      </c>
      <c r="H50" s="20"/>
      <c r="I50" s="21" t="s">
        <v>527</v>
      </c>
      <c r="J50" s="21" t="s">
        <v>527</v>
      </c>
      <c r="K50" s="21" t="s">
        <v>527</v>
      </c>
      <c r="L50" s="21" t="s">
        <v>528</v>
      </c>
      <c r="M50" s="21" t="s">
        <v>528</v>
      </c>
      <c r="N50" s="21" t="s">
        <v>528</v>
      </c>
      <c r="O50" s="21" t="s">
        <v>529</v>
      </c>
      <c r="P50" s="21" t="s">
        <v>529</v>
      </c>
      <c r="Q50" s="21" t="s">
        <v>529</v>
      </c>
      <c r="R50" s="20" t="s">
        <v>556</v>
      </c>
      <c r="S50" s="20" t="s">
        <v>556</v>
      </c>
      <c r="T50" s="20" t="s">
        <v>556</v>
      </c>
      <c r="U50" s="20" t="s">
        <v>558</v>
      </c>
      <c r="V50" s="20" t="s">
        <v>558</v>
      </c>
      <c r="W50" s="20" t="s">
        <v>558</v>
      </c>
      <c r="X50" s="19"/>
      <c r="Y50" s="19"/>
      <c r="Z50" s="19"/>
      <c r="AA50" s="19"/>
      <c r="AB50" s="19"/>
      <c r="AC50" s="19"/>
      <c r="AD50" s="19"/>
      <c r="AE50" s="19"/>
    </row>
    <row r="51" spans="3:31" ht="12.75">
      <c r="C51" s="23" t="s">
        <v>135</v>
      </c>
      <c r="G51" s="25" t="s">
        <v>3</v>
      </c>
      <c r="H51" s="20"/>
      <c r="I51" s="21" t="s">
        <v>147</v>
      </c>
      <c r="J51" s="21" t="s">
        <v>147</v>
      </c>
      <c r="K51" s="21" t="s">
        <v>147</v>
      </c>
      <c r="L51" s="21" t="s">
        <v>147</v>
      </c>
      <c r="M51" s="21" t="s">
        <v>147</v>
      </c>
      <c r="N51" s="21" t="s">
        <v>147</v>
      </c>
      <c r="O51" s="21" t="s">
        <v>147</v>
      </c>
      <c r="P51" s="21" t="s">
        <v>147</v>
      </c>
      <c r="Q51" s="21" t="s">
        <v>147</v>
      </c>
      <c r="R51" s="20" t="s">
        <v>557</v>
      </c>
      <c r="S51" s="20" t="s">
        <v>557</v>
      </c>
      <c r="T51" s="20" t="s">
        <v>557</v>
      </c>
      <c r="U51" s="20" t="s">
        <v>557</v>
      </c>
      <c r="V51" s="20" t="s">
        <v>557</v>
      </c>
      <c r="W51" s="20" t="s">
        <v>557</v>
      </c>
      <c r="X51" s="19"/>
      <c r="Y51" s="19"/>
      <c r="Z51" s="19"/>
      <c r="AA51" s="19"/>
      <c r="AB51" s="19"/>
      <c r="AC51" s="19"/>
      <c r="AD51" s="19"/>
      <c r="AE51" s="19"/>
    </row>
    <row r="52" spans="3:31" ht="12.75">
      <c r="C52" s="1" t="s">
        <v>17</v>
      </c>
      <c r="D52" s="1" t="str">
        <f>"-Zsyno"</f>
        <v>-Zsyno</v>
      </c>
      <c r="E52" s="1" t="s">
        <v>128</v>
      </c>
      <c r="G52" s="20"/>
      <c r="H52" s="20"/>
      <c r="I52" s="21"/>
      <c r="J52" s="21"/>
      <c r="K52" s="21"/>
      <c r="L52" s="21"/>
      <c r="M52" s="21"/>
      <c r="N52" s="21"/>
      <c r="O52" s="21"/>
      <c r="P52" s="21"/>
      <c r="Q52" s="21"/>
      <c r="R52" s="19"/>
      <c r="S52" s="19"/>
      <c r="T52" s="19"/>
      <c r="U52" s="19"/>
      <c r="V52" s="19"/>
      <c r="W52" s="19"/>
      <c r="X52" s="19"/>
      <c r="Y52" s="19"/>
      <c r="Z52" s="19"/>
      <c r="AA52" s="19"/>
      <c r="AB52" s="19"/>
      <c r="AC52" s="19"/>
      <c r="AD52" s="19"/>
      <c r="AE52" s="19"/>
    </row>
    <row r="53" spans="3:31" ht="12.75">
      <c r="C53" s="1" t="s">
        <v>80</v>
      </c>
      <c r="D53" s="1" t="s">
        <v>131</v>
      </c>
      <c r="E53" s="1" t="s">
        <v>129</v>
      </c>
      <c r="G53" s="20"/>
      <c r="H53" s="20"/>
      <c r="I53" s="21"/>
      <c r="J53" s="21"/>
      <c r="K53" s="21"/>
      <c r="L53" s="21"/>
      <c r="M53" s="21"/>
      <c r="N53" s="21"/>
      <c r="O53" s="21"/>
      <c r="P53" s="21"/>
      <c r="Q53" s="21"/>
      <c r="R53" s="19"/>
      <c r="S53" s="19"/>
      <c r="T53" s="19"/>
      <c r="U53" s="19"/>
      <c r="V53" s="19"/>
      <c r="W53" s="19"/>
      <c r="X53" s="19"/>
      <c r="Y53" s="19"/>
      <c r="Z53" s="19"/>
      <c r="AA53" s="19"/>
      <c r="AB53" s="19"/>
      <c r="AC53" s="19"/>
      <c r="AD53" s="19"/>
      <c r="AE53" s="19"/>
    </row>
    <row r="54" spans="3:31" ht="12.75">
      <c r="C54" s="1" t="s">
        <v>81</v>
      </c>
      <c r="D54" s="1" t="s">
        <v>132</v>
      </c>
      <c r="E54" s="1" t="s">
        <v>130</v>
      </c>
      <c r="G54" s="20"/>
      <c r="H54" s="20"/>
      <c r="I54" s="21"/>
      <c r="J54" s="21"/>
      <c r="K54" s="21"/>
      <c r="L54" s="21"/>
      <c r="M54" s="21"/>
      <c r="N54" s="21"/>
      <c r="O54" s="21"/>
      <c r="P54" s="21"/>
      <c r="Q54" s="21"/>
      <c r="R54" s="19"/>
      <c r="S54" s="19"/>
      <c r="T54" s="19"/>
      <c r="U54" s="19"/>
      <c r="V54" s="19"/>
      <c r="W54" s="19"/>
      <c r="X54" s="19"/>
      <c r="Y54" s="19"/>
      <c r="Z54" s="19"/>
      <c r="AA54" s="19"/>
      <c r="AB54" s="19"/>
      <c r="AC54" s="19"/>
      <c r="AD54" s="19"/>
      <c r="AE54" s="19"/>
    </row>
    <row r="55" spans="3:31" ht="12.75">
      <c r="C55" s="19"/>
      <c r="D55" s="19"/>
      <c r="E55" s="19"/>
      <c r="F55" s="19"/>
      <c r="G55" s="20"/>
      <c r="H55" s="20"/>
      <c r="I55" s="21"/>
      <c r="J55" s="21"/>
      <c r="K55" s="21"/>
      <c r="L55" s="21"/>
      <c r="M55" s="21"/>
      <c r="N55" s="21"/>
      <c r="O55" s="21"/>
      <c r="P55" s="21"/>
      <c r="Q55" s="21"/>
      <c r="R55" s="19"/>
      <c r="S55" s="19"/>
      <c r="T55" s="19"/>
      <c r="U55" s="19"/>
      <c r="V55" s="19"/>
      <c r="W55" s="19"/>
      <c r="X55" s="19"/>
      <c r="Y55" s="19"/>
      <c r="Z55" s="19"/>
      <c r="AA55" s="19"/>
      <c r="AB55" s="19"/>
      <c r="AC55" s="19"/>
      <c r="AD55" s="19"/>
      <c r="AE55"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B1:M309"/>
  <sheetViews>
    <sheetView workbookViewId="0" topLeftCell="A41">
      <selection activeCell="E53" sqref="E53"/>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468</v>
      </c>
    </row>
    <row r="6" spans="2:3" ht="12.75">
      <c r="B6" s="1" t="s">
        <v>39</v>
      </c>
      <c r="C6" s="1" t="s">
        <v>48</v>
      </c>
    </row>
    <row r="7" spans="2:3" ht="12.75">
      <c r="B7" s="2" t="s">
        <v>469</v>
      </c>
      <c r="C7" s="3">
        <v>0.6104166666666667</v>
      </c>
    </row>
    <row r="8" ht="12.75">
      <c r="B8" s="1" t="s">
        <v>39</v>
      </c>
    </row>
    <row r="9" spans="2:10" ht="12.75">
      <c r="B9" s="1" t="s">
        <v>39</v>
      </c>
      <c r="C9" s="1" t="s">
        <v>161</v>
      </c>
      <c r="D9" s="1">
        <v>2</v>
      </c>
      <c r="E9" s="1">
        <v>0</v>
      </c>
      <c r="F9" s="1">
        <v>0</v>
      </c>
      <c r="G9" s="1">
        <v>0</v>
      </c>
      <c r="H9" s="1" t="s">
        <v>50</v>
      </c>
      <c r="I9" s="1">
        <v>0</v>
      </c>
      <c r="J9" s="1" t="s">
        <v>51</v>
      </c>
    </row>
    <row r="10" spans="2:9" ht="12.75">
      <c r="B10" s="1" t="s">
        <v>161</v>
      </c>
      <c r="C10" s="1">
        <v>2</v>
      </c>
      <c r="D10" s="1">
        <v>0</v>
      </c>
      <c r="E10" s="1">
        <v>0</v>
      </c>
      <c r="F10" s="1">
        <v>0</v>
      </c>
      <c r="G10" s="1" t="s">
        <v>50</v>
      </c>
      <c r="H10" s="1">
        <v>0</v>
      </c>
      <c r="I10" s="1" t="s">
        <v>51</v>
      </c>
    </row>
    <row r="11" spans="2:5" ht="12.75">
      <c r="B11" s="1" t="s">
        <v>39</v>
      </c>
      <c r="C11" s="1" t="s">
        <v>162</v>
      </c>
      <c r="D11" s="1" t="s">
        <v>163</v>
      </c>
      <c r="E11" s="1" t="s">
        <v>51</v>
      </c>
    </row>
    <row r="13" spans="2:8" ht="12.75">
      <c r="B13" s="1" t="s">
        <v>44</v>
      </c>
      <c r="C13" s="1" t="s">
        <v>46</v>
      </c>
      <c r="D13" s="1" t="s">
        <v>47</v>
      </c>
      <c r="E13" s="1" t="s">
        <v>468</v>
      </c>
      <c r="F13" s="1">
        <v>247</v>
      </c>
      <c r="G13" s="2" t="s">
        <v>469</v>
      </c>
      <c r="H13" s="3">
        <v>0.6104166666666667</v>
      </c>
    </row>
    <row r="14" spans="2:3" ht="12.75">
      <c r="B14" s="1" t="s">
        <v>164</v>
      </c>
      <c r="C14" s="1" t="s">
        <v>165</v>
      </c>
    </row>
    <row r="16" spans="2:3" ht="12.75">
      <c r="B16" s="1" t="s">
        <v>59</v>
      </c>
      <c r="C16" s="1" t="s">
        <v>166</v>
      </c>
    </row>
    <row r="17" ht="12.75">
      <c r="B17" s="1" t="s">
        <v>167</v>
      </c>
    </row>
    <row r="18" spans="2:9" ht="12.75">
      <c r="B18" s="1" t="s">
        <v>64</v>
      </c>
      <c r="C18" s="1" t="s">
        <v>168</v>
      </c>
      <c r="D18" s="1" t="s">
        <v>169</v>
      </c>
      <c r="E18" s="1" t="s">
        <v>170</v>
      </c>
      <c r="F18" s="1" t="s">
        <v>171</v>
      </c>
      <c r="G18" s="1" t="s">
        <v>172</v>
      </c>
      <c r="H18" s="1" t="s">
        <v>173</v>
      </c>
      <c r="I18" s="1">
        <v>18375.2607</v>
      </c>
    </row>
    <row r="19" spans="2:9" ht="12.75">
      <c r="B19" s="1" t="s">
        <v>64</v>
      </c>
      <c r="C19" s="1" t="s">
        <v>65</v>
      </c>
      <c r="D19" s="1" t="s">
        <v>174</v>
      </c>
      <c r="E19" s="1" t="s">
        <v>170</v>
      </c>
      <c r="F19" s="1" t="s">
        <v>175</v>
      </c>
      <c r="G19" s="1" t="s">
        <v>171</v>
      </c>
      <c r="H19" s="1" t="s">
        <v>172</v>
      </c>
      <c r="I19" s="1">
        <v>16.8202</v>
      </c>
    </row>
    <row r="20" spans="2:10" ht="12.75">
      <c r="B20" s="1" t="s">
        <v>176</v>
      </c>
      <c r="C20" s="1" t="s">
        <v>55</v>
      </c>
      <c r="D20" s="1" t="s">
        <v>65</v>
      </c>
      <c r="E20" s="1" t="s">
        <v>177</v>
      </c>
      <c r="F20" s="1">
        <v>1641.705</v>
      </c>
      <c r="G20" s="1" t="s">
        <v>178</v>
      </c>
      <c r="H20" s="1" t="s">
        <v>168</v>
      </c>
      <c r="I20" s="1" t="s">
        <v>179</v>
      </c>
      <c r="J20" s="1">
        <v>0</v>
      </c>
    </row>
    <row r="21" spans="2:10" ht="12.75">
      <c r="B21" s="1" t="s">
        <v>176</v>
      </c>
      <c r="C21" s="1" t="s">
        <v>55</v>
      </c>
      <c r="D21" s="1" t="s">
        <v>180</v>
      </c>
      <c r="E21" s="1" t="s">
        <v>181</v>
      </c>
      <c r="F21" s="1">
        <v>0</v>
      </c>
      <c r="G21" s="1" t="s">
        <v>182</v>
      </c>
      <c r="H21" s="1" t="s">
        <v>172</v>
      </c>
      <c r="I21" s="1" t="s">
        <v>183</v>
      </c>
      <c r="J21" s="1">
        <v>888.1</v>
      </c>
    </row>
    <row r="22" spans="2:9" ht="12.75">
      <c r="B22" s="1" t="s">
        <v>184</v>
      </c>
      <c r="C22" s="1" t="s">
        <v>55</v>
      </c>
      <c r="D22" s="1" t="s">
        <v>65</v>
      </c>
      <c r="E22" s="1" t="s">
        <v>185</v>
      </c>
      <c r="F22" s="1">
        <v>-4.99</v>
      </c>
      <c r="G22" s="1" t="s">
        <v>186</v>
      </c>
      <c r="H22" s="1" t="s">
        <v>187</v>
      </c>
      <c r="I22" s="1">
        <v>5.5964</v>
      </c>
    </row>
    <row r="23" spans="2:10" ht="12.75">
      <c r="B23" s="1" t="s">
        <v>184</v>
      </c>
      <c r="C23" s="1" t="s">
        <v>55</v>
      </c>
      <c r="D23" s="1" t="s">
        <v>180</v>
      </c>
      <c r="E23" s="1" t="s">
        <v>188</v>
      </c>
      <c r="F23" s="1">
        <v>0.0167</v>
      </c>
      <c r="G23" s="1" t="s">
        <v>189</v>
      </c>
      <c r="H23" s="1" t="s">
        <v>178</v>
      </c>
      <c r="I23" s="1" t="s">
        <v>190</v>
      </c>
      <c r="J23" s="1">
        <v>5.2322</v>
      </c>
    </row>
    <row r="24" spans="2:9" ht="12.75">
      <c r="B24" s="1" t="s">
        <v>191</v>
      </c>
      <c r="C24" s="1" t="s">
        <v>69</v>
      </c>
      <c r="D24" s="1" t="s">
        <v>192</v>
      </c>
      <c r="E24" s="1">
        <v>1641.705</v>
      </c>
      <c r="F24" s="1" t="s">
        <v>193</v>
      </c>
      <c r="G24" s="1" t="s">
        <v>69</v>
      </c>
      <c r="H24" s="1" t="s">
        <v>192</v>
      </c>
      <c r="I24" s="1">
        <v>71.0326</v>
      </c>
    </row>
    <row r="25" spans="2:9" ht="12.75">
      <c r="B25" s="1" t="s">
        <v>191</v>
      </c>
      <c r="C25" s="1" t="s">
        <v>69</v>
      </c>
      <c r="D25" s="1" t="s">
        <v>194</v>
      </c>
      <c r="E25" s="1">
        <v>17154.0876</v>
      </c>
      <c r="F25" s="1" t="s">
        <v>193</v>
      </c>
      <c r="G25" s="1" t="s">
        <v>69</v>
      </c>
      <c r="H25" s="1" t="s">
        <v>194</v>
      </c>
      <c r="I25" s="1">
        <v>-778.2332</v>
      </c>
    </row>
    <row r="27" spans="2:5" ht="12.75">
      <c r="B27" s="1" t="s">
        <v>195</v>
      </c>
      <c r="C27" s="1" t="s">
        <v>65</v>
      </c>
      <c r="D27" s="1" t="s">
        <v>196</v>
      </c>
      <c r="E27" s="1" t="s">
        <v>170</v>
      </c>
    </row>
    <row r="28" spans="2:11" ht="12.75">
      <c r="B28" s="1" t="s">
        <v>197</v>
      </c>
      <c r="C28" s="1" t="s">
        <v>55</v>
      </c>
      <c r="D28" s="1" t="s">
        <v>65</v>
      </c>
      <c r="E28" s="1" t="s">
        <v>198</v>
      </c>
      <c r="F28" s="1">
        <v>1641.705</v>
      </c>
      <c r="G28" s="1" t="s">
        <v>199</v>
      </c>
      <c r="H28" s="1" t="s">
        <v>55</v>
      </c>
      <c r="I28" s="1" t="s">
        <v>200</v>
      </c>
      <c r="J28" s="1" t="s">
        <v>201</v>
      </c>
      <c r="K28" s="1">
        <v>-4.99</v>
      </c>
    </row>
    <row r="29" spans="2:10" ht="12.75">
      <c r="B29" s="1" t="s">
        <v>197</v>
      </c>
      <c r="C29" s="1" t="s">
        <v>55</v>
      </c>
      <c r="D29" s="1" t="s">
        <v>180</v>
      </c>
      <c r="E29" s="1" t="s">
        <v>202</v>
      </c>
      <c r="F29" s="1">
        <v>0</v>
      </c>
      <c r="G29" s="1" t="s">
        <v>199</v>
      </c>
      <c r="H29" s="1" t="s">
        <v>55</v>
      </c>
      <c r="I29" s="1" t="s">
        <v>203</v>
      </c>
      <c r="J29" s="1">
        <v>0.0167</v>
      </c>
    </row>
    <row r="31" spans="2:8" ht="12.75">
      <c r="B31" s="1" t="s">
        <v>204</v>
      </c>
      <c r="C31" s="1" t="s">
        <v>205</v>
      </c>
      <c r="D31" s="1">
        <v>200</v>
      </c>
      <c r="E31" s="1">
        <v>400</v>
      </c>
      <c r="F31" s="1">
        <v>600</v>
      </c>
      <c r="G31" s="1">
        <v>250</v>
      </c>
      <c r="H31" s="1">
        <v>0.6328</v>
      </c>
    </row>
    <row r="32" spans="2:7" ht="12.75">
      <c r="B32" s="1" t="s">
        <v>206</v>
      </c>
      <c r="C32" s="1">
        <v>1</v>
      </c>
      <c r="D32" s="1">
        <v>1</v>
      </c>
      <c r="E32" s="1">
        <v>1</v>
      </c>
      <c r="F32" s="1">
        <v>1</v>
      </c>
      <c r="G32" s="1">
        <v>1</v>
      </c>
    </row>
    <row r="33" spans="2:8" ht="12.75">
      <c r="B33" s="1" t="s">
        <v>73</v>
      </c>
      <c r="C33" s="1" t="s">
        <v>207</v>
      </c>
      <c r="D33" s="1">
        <v>2</v>
      </c>
      <c r="E33" s="1">
        <v>1</v>
      </c>
      <c r="F33" s="1">
        <v>3</v>
      </c>
      <c r="G33" s="1">
        <v>4</v>
      </c>
      <c r="H33" s="1">
        <v>5</v>
      </c>
    </row>
    <row r="34" spans="2:3" ht="12.75">
      <c r="B34" s="1" t="s">
        <v>208</v>
      </c>
      <c r="C34" s="1" t="s">
        <v>209</v>
      </c>
    </row>
    <row r="35" spans="2:8" ht="12.75">
      <c r="B35" s="1" t="s">
        <v>210</v>
      </c>
      <c r="C35" s="1" t="s">
        <v>211</v>
      </c>
      <c r="D35" s="1" t="s">
        <v>61</v>
      </c>
      <c r="E35" s="1" t="s">
        <v>212</v>
      </c>
      <c r="F35" s="1">
        <v>7</v>
      </c>
      <c r="G35" s="1" t="s">
        <v>192</v>
      </c>
      <c r="H35" s="1">
        <v>154.97064</v>
      </c>
    </row>
    <row r="36" spans="2:5" ht="12.75">
      <c r="B36" s="1" t="s">
        <v>213</v>
      </c>
      <c r="C36" s="1" t="s">
        <v>69</v>
      </c>
      <c r="D36" s="1" t="s">
        <v>214</v>
      </c>
      <c r="E36" s="1" t="s">
        <v>215</v>
      </c>
    </row>
    <row r="37" spans="2:4" ht="12.75">
      <c r="B37" s="1" t="s">
        <v>171</v>
      </c>
      <c r="C37" s="1" t="s">
        <v>216</v>
      </c>
      <c r="D37" s="1" t="s">
        <v>215</v>
      </c>
    </row>
    <row r="38" spans="2:3" ht="12.75">
      <c r="B38" s="1" t="s">
        <v>217</v>
      </c>
      <c r="C38" s="4">
        <v>-1.8E-08</v>
      </c>
    </row>
    <row r="39" spans="2:4" ht="12.75">
      <c r="B39" s="1" t="s">
        <v>52</v>
      </c>
      <c r="C39" s="1" t="s">
        <v>214</v>
      </c>
      <c r="D39" s="1" t="s">
        <v>215</v>
      </c>
    </row>
    <row r="40" spans="2:5" ht="12.75">
      <c r="B40" s="1" t="s">
        <v>218</v>
      </c>
      <c r="C40" s="1" t="s">
        <v>214</v>
      </c>
      <c r="D40" s="1" t="s">
        <v>219</v>
      </c>
      <c r="E40" s="1" t="s">
        <v>220</v>
      </c>
    </row>
    <row r="41" spans="2:6" ht="12.75">
      <c r="B41" s="1" t="s">
        <v>221</v>
      </c>
      <c r="C41" s="1" t="s">
        <v>222</v>
      </c>
      <c r="D41" s="1" t="s">
        <v>223</v>
      </c>
      <c r="E41" s="1" t="s">
        <v>224</v>
      </c>
      <c r="F41" s="1" t="s">
        <v>225</v>
      </c>
    </row>
    <row r="43" spans="2:3" ht="12.75">
      <c r="B43" s="1" t="s">
        <v>61</v>
      </c>
      <c r="C43" s="1" t="s">
        <v>56</v>
      </c>
    </row>
    <row r="44" ht="12.75">
      <c r="B44" s="1" t="s">
        <v>167</v>
      </c>
    </row>
    <row r="45" spans="2:7" ht="12.75">
      <c r="B45" s="1" t="s">
        <v>50</v>
      </c>
      <c r="C45" s="1" t="s">
        <v>226</v>
      </c>
      <c r="D45" s="1" t="s">
        <v>227</v>
      </c>
      <c r="E45" s="1" t="s">
        <v>228</v>
      </c>
      <c r="F45" s="1" t="s">
        <v>229</v>
      </c>
      <c r="G45" s="1" t="s">
        <v>230</v>
      </c>
    </row>
    <row r="46" ht="12.75">
      <c r="B46" s="1" t="s">
        <v>167</v>
      </c>
    </row>
    <row r="47" spans="2:5" ht="12.75">
      <c r="B47" s="1">
        <v>0</v>
      </c>
      <c r="C47" s="1" t="s">
        <v>170</v>
      </c>
      <c r="D47" s="1" t="s">
        <v>170</v>
      </c>
      <c r="E47" s="1" t="s">
        <v>231</v>
      </c>
    </row>
    <row r="48" spans="2:5" ht="12.75">
      <c r="B48" s="1">
        <v>1</v>
      </c>
      <c r="C48" s="1" t="s">
        <v>170</v>
      </c>
      <c r="D48" s="1">
        <v>17771.1</v>
      </c>
      <c r="E48" s="1" t="s">
        <v>231</v>
      </c>
    </row>
    <row r="49" spans="2:5" ht="12.75">
      <c r="B49" s="1" t="s">
        <v>232</v>
      </c>
      <c r="C49" s="1" t="s">
        <v>170</v>
      </c>
      <c r="D49" s="1">
        <v>0</v>
      </c>
      <c r="E49" s="1" t="s">
        <v>231</v>
      </c>
    </row>
    <row r="50" spans="2:5" ht="12.75">
      <c r="B50" s="1">
        <v>3</v>
      </c>
      <c r="C50" s="1" t="s">
        <v>170</v>
      </c>
      <c r="D50" s="1">
        <v>-17771.1</v>
      </c>
      <c r="E50" s="1" t="s">
        <v>231</v>
      </c>
    </row>
    <row r="51" spans="2:5" ht="12.75">
      <c r="B51" s="1">
        <v>4</v>
      </c>
      <c r="C51" s="1" t="s">
        <v>170</v>
      </c>
      <c r="D51" s="1">
        <v>-2000</v>
      </c>
      <c r="E51" s="1" t="s">
        <v>231</v>
      </c>
    </row>
    <row r="52" spans="2:5" ht="12.75">
      <c r="B52" s="1">
        <v>5</v>
      </c>
      <c r="C52" s="1" t="s">
        <v>170</v>
      </c>
      <c r="D52" s="1" t="s">
        <v>233</v>
      </c>
      <c r="E52" s="1" t="s">
        <v>231</v>
      </c>
    </row>
    <row r="53" spans="2:6" ht="12.75">
      <c r="B53" s="1">
        <v>6</v>
      </c>
      <c r="C53" s="1">
        <v>-3500</v>
      </c>
      <c r="D53" s="1" t="s">
        <v>234</v>
      </c>
      <c r="E53" s="1">
        <v>-1587.998</v>
      </c>
      <c r="F53" s="1" t="e">
        <v>#NAME?</v>
      </c>
    </row>
    <row r="54" spans="2:6" ht="12.75">
      <c r="B54" s="1" t="s">
        <v>235</v>
      </c>
      <c r="C54" s="1">
        <v>-345.2</v>
      </c>
      <c r="D54" s="1" t="s">
        <v>234</v>
      </c>
      <c r="E54" s="1" t="s">
        <v>470</v>
      </c>
      <c r="F54" s="1" t="s">
        <v>231</v>
      </c>
    </row>
    <row r="55" spans="2:5" ht="12.75">
      <c r="B55" s="1">
        <v>8</v>
      </c>
      <c r="C55" s="1" t="s">
        <v>170</v>
      </c>
      <c r="D55" s="1">
        <v>1050</v>
      </c>
      <c r="E55" s="1" t="s">
        <v>231</v>
      </c>
    </row>
    <row r="56" spans="2:5" ht="12.75">
      <c r="B56" s="1">
        <v>9</v>
      </c>
      <c r="C56" s="1">
        <v>-167.171</v>
      </c>
      <c r="D56" s="1">
        <v>0</v>
      </c>
      <c r="E56" s="1" t="s">
        <v>231</v>
      </c>
    </row>
    <row r="57" spans="2:5" ht="12.75">
      <c r="B57" s="1" t="s">
        <v>236</v>
      </c>
      <c r="C57" s="1" t="s">
        <v>170</v>
      </c>
      <c r="D57" s="1">
        <v>70.9</v>
      </c>
      <c r="E57" s="1" t="s">
        <v>231</v>
      </c>
    </row>
    <row r="58" spans="2:6" ht="12.75">
      <c r="B58" s="1" t="s">
        <v>237</v>
      </c>
      <c r="C58" s="1">
        <v>-365.963</v>
      </c>
      <c r="D58" s="1" t="s">
        <v>234</v>
      </c>
      <c r="E58" s="1">
        <v>0</v>
      </c>
      <c r="F58" s="1" t="e">
        <v>#NAME?</v>
      </c>
    </row>
    <row r="59" spans="2:5" ht="12.75">
      <c r="B59" s="1" t="s">
        <v>238</v>
      </c>
      <c r="C59" s="1" t="s">
        <v>170</v>
      </c>
      <c r="D59" s="1">
        <v>-213.5</v>
      </c>
      <c r="E59" s="1" t="e">
        <v>#NAME?</v>
      </c>
    </row>
    <row r="60" spans="2:5" ht="12.75">
      <c r="B60" s="1" t="s">
        <v>239</v>
      </c>
      <c r="C60" s="1" t="s">
        <v>170</v>
      </c>
      <c r="D60" s="1">
        <v>0</v>
      </c>
      <c r="E60" s="1" t="e">
        <v>#NAME?</v>
      </c>
    </row>
    <row r="61" spans="2:5" ht="12.75">
      <c r="B61" s="1">
        <v>14</v>
      </c>
      <c r="C61" s="1" t="s">
        <v>170</v>
      </c>
      <c r="D61" s="1" t="s">
        <v>240</v>
      </c>
      <c r="E61" s="1" t="s">
        <v>231</v>
      </c>
    </row>
    <row r="62" spans="2:5" ht="12.75">
      <c r="B62" s="1">
        <v>15</v>
      </c>
      <c r="C62" s="1" t="s">
        <v>170</v>
      </c>
      <c r="D62" s="1">
        <v>0</v>
      </c>
      <c r="E62" s="1" t="s">
        <v>231</v>
      </c>
    </row>
    <row r="63" spans="2:5" ht="12.75">
      <c r="B63" s="1" t="s">
        <v>241</v>
      </c>
      <c r="C63" s="1" t="s">
        <v>170</v>
      </c>
      <c r="D63" s="1">
        <v>197.4</v>
      </c>
      <c r="E63" s="1" t="s">
        <v>231</v>
      </c>
    </row>
    <row r="64" spans="2:6" ht="12.75">
      <c r="B64" s="1" t="s">
        <v>242</v>
      </c>
      <c r="C64" s="1">
        <v>-294.638</v>
      </c>
      <c r="D64" s="1" t="s">
        <v>234</v>
      </c>
      <c r="E64" s="1">
        <v>0</v>
      </c>
      <c r="F64" s="1" t="e">
        <v>#NAME?</v>
      </c>
    </row>
    <row r="65" spans="2:5" ht="12.75">
      <c r="B65" s="1" t="s">
        <v>243</v>
      </c>
      <c r="C65" s="1" t="s">
        <v>170</v>
      </c>
      <c r="D65" s="1">
        <v>-193.6</v>
      </c>
      <c r="E65" s="1" t="e">
        <v>#NAME?</v>
      </c>
    </row>
    <row r="66" spans="2:5" ht="12.75">
      <c r="B66" s="1" t="s">
        <v>244</v>
      </c>
      <c r="C66" s="1" t="s">
        <v>170</v>
      </c>
      <c r="D66" s="1">
        <v>0</v>
      </c>
      <c r="E66" s="1" t="e">
        <v>#NAME?</v>
      </c>
    </row>
    <row r="67" spans="2:6" ht="12.75">
      <c r="B67" s="1" t="s">
        <v>245</v>
      </c>
      <c r="C67" s="1">
        <v>-307.49</v>
      </c>
      <c r="D67" s="1" t="s">
        <v>234</v>
      </c>
      <c r="E67" s="1">
        <v>0</v>
      </c>
      <c r="F67" s="1" t="s">
        <v>231</v>
      </c>
    </row>
    <row r="68" spans="2:5" ht="12.75">
      <c r="B68" s="1" t="s">
        <v>246</v>
      </c>
      <c r="C68" s="1" t="s">
        <v>170</v>
      </c>
      <c r="D68" s="1">
        <v>202.9</v>
      </c>
      <c r="E68" s="1" t="s">
        <v>231</v>
      </c>
    </row>
    <row r="69" spans="2:5" ht="12.75">
      <c r="B69" s="1" t="s">
        <v>247</v>
      </c>
      <c r="C69" s="1">
        <v>-330.7</v>
      </c>
      <c r="D69" s="1">
        <v>0</v>
      </c>
      <c r="E69" s="1" t="e">
        <v>#NAME?</v>
      </c>
    </row>
    <row r="70" spans="2:5" ht="12.75">
      <c r="B70" s="1" t="s">
        <v>248</v>
      </c>
      <c r="C70" s="1" t="s">
        <v>170</v>
      </c>
      <c r="D70" s="1">
        <v>-188</v>
      </c>
      <c r="E70" s="1" t="e">
        <v>#NAME?</v>
      </c>
    </row>
    <row r="71" spans="2:5" ht="12.75">
      <c r="B71" s="1" t="s">
        <v>249</v>
      </c>
      <c r="C71" s="1">
        <v>-286.651</v>
      </c>
      <c r="D71" s="1">
        <v>0</v>
      </c>
      <c r="E71" s="1" t="s">
        <v>231</v>
      </c>
    </row>
    <row r="72" spans="2:5" ht="12.75">
      <c r="B72" s="1" t="s">
        <v>250</v>
      </c>
      <c r="C72" s="1" t="s">
        <v>170</v>
      </c>
      <c r="D72" s="1">
        <v>70</v>
      </c>
      <c r="E72" s="1" t="s">
        <v>231</v>
      </c>
    </row>
    <row r="73" spans="2:5" ht="12.75">
      <c r="B73" s="1" t="s">
        <v>251</v>
      </c>
      <c r="C73" s="1" t="s">
        <v>170</v>
      </c>
      <c r="D73" s="1">
        <v>130</v>
      </c>
      <c r="E73" s="1" t="s">
        <v>231</v>
      </c>
    </row>
    <row r="74" spans="2:5" ht="12.75">
      <c r="B74" s="1" t="s">
        <v>252</v>
      </c>
      <c r="C74" s="1">
        <v>-350.851</v>
      </c>
      <c r="D74" s="1">
        <v>0</v>
      </c>
      <c r="E74" s="1" t="e">
        <v>#NAME?</v>
      </c>
    </row>
    <row r="75" spans="2:5" ht="12.75">
      <c r="B75" s="1" t="s">
        <v>253</v>
      </c>
      <c r="C75" s="1" t="s">
        <v>170</v>
      </c>
      <c r="D75" s="1">
        <v>-320</v>
      </c>
      <c r="E75" s="1" t="e">
        <v>#NAME?</v>
      </c>
    </row>
    <row r="76" spans="2:5" ht="12.75">
      <c r="B76" s="1" t="s">
        <v>254</v>
      </c>
      <c r="C76" s="1" t="s">
        <v>170</v>
      </c>
      <c r="D76" s="1">
        <v>0</v>
      </c>
      <c r="E76" s="1" t="e">
        <v>#NAME?</v>
      </c>
    </row>
    <row r="77" spans="2:5" ht="12.75">
      <c r="B77" s="1" t="s">
        <v>255</v>
      </c>
      <c r="C77" s="1" t="s">
        <v>170</v>
      </c>
      <c r="D77" s="1">
        <v>185</v>
      </c>
      <c r="E77" s="1" t="e">
        <v>#NAME?</v>
      </c>
    </row>
    <row r="78" spans="2:5" ht="12.75">
      <c r="B78" s="1" t="s">
        <v>256</v>
      </c>
      <c r="C78" s="1" t="s">
        <v>170</v>
      </c>
      <c r="D78" s="1">
        <v>0</v>
      </c>
      <c r="E78" s="1" t="s">
        <v>231</v>
      </c>
    </row>
    <row r="79" spans="2:5" ht="12.75">
      <c r="B79" s="1" t="s">
        <v>257</v>
      </c>
      <c r="C79" s="1" t="s">
        <v>170</v>
      </c>
      <c r="D79" s="1">
        <v>0</v>
      </c>
      <c r="E79" s="1" t="s">
        <v>231</v>
      </c>
    </row>
    <row r="80" spans="2:5" ht="12.75">
      <c r="B80" s="1" t="s">
        <v>258</v>
      </c>
      <c r="C80" s="1" t="s">
        <v>170</v>
      </c>
      <c r="D80" s="1">
        <v>0</v>
      </c>
      <c r="E80" s="1" t="s">
        <v>231</v>
      </c>
    </row>
    <row r="81" spans="2:5" ht="12.75">
      <c r="B81" s="1">
        <v>34</v>
      </c>
      <c r="C81" s="1" t="s">
        <v>170</v>
      </c>
      <c r="D81" s="1">
        <v>0</v>
      </c>
      <c r="E81" s="1" t="s">
        <v>231</v>
      </c>
    </row>
    <row r="82" spans="2:5" ht="12.75">
      <c r="B82" s="1" t="s">
        <v>259</v>
      </c>
      <c r="C82" s="1" t="s">
        <v>170</v>
      </c>
      <c r="D82" s="1">
        <v>135</v>
      </c>
      <c r="E82" s="1" t="s">
        <v>231</v>
      </c>
    </row>
    <row r="83" spans="2:5" ht="12.75">
      <c r="B83" s="1" t="s">
        <v>260</v>
      </c>
      <c r="C83" s="1" t="s">
        <v>170</v>
      </c>
      <c r="D83" s="1">
        <v>0</v>
      </c>
      <c r="E83" s="1" t="e">
        <v>#NAME?</v>
      </c>
    </row>
    <row r="84" spans="2:5" ht="12.75">
      <c r="B84" s="1" t="s">
        <v>261</v>
      </c>
      <c r="C84" s="1" t="s">
        <v>170</v>
      </c>
      <c r="D84" s="1" t="s">
        <v>262</v>
      </c>
      <c r="E84" s="1" t="e">
        <v>#NAME?</v>
      </c>
    </row>
    <row r="85" spans="2:5" ht="12.75">
      <c r="B85" s="1">
        <v>38</v>
      </c>
      <c r="C85" s="1" t="s">
        <v>170</v>
      </c>
      <c r="D85" s="1">
        <v>0</v>
      </c>
      <c r="E85" s="1" t="e">
        <v>#NAME?</v>
      </c>
    </row>
    <row r="86" spans="2:5" ht="12.75">
      <c r="B86" s="1" t="s">
        <v>263</v>
      </c>
      <c r="C86" s="1" t="s">
        <v>170</v>
      </c>
      <c r="D86" s="1">
        <v>0</v>
      </c>
      <c r="E86" s="1" t="e">
        <v>#NAME?</v>
      </c>
    </row>
    <row r="87" spans="2:5" ht="12.75">
      <c r="B87" s="1" t="s">
        <v>264</v>
      </c>
      <c r="C87" s="1" t="s">
        <v>170</v>
      </c>
      <c r="D87" s="1">
        <v>0</v>
      </c>
      <c r="E87" s="1" t="e">
        <v>#NAME?</v>
      </c>
    </row>
    <row r="88" spans="2:5" ht="12.75">
      <c r="B88" s="1">
        <v>41</v>
      </c>
      <c r="C88" s="1" t="s">
        <v>170</v>
      </c>
      <c r="D88" s="1" t="s">
        <v>265</v>
      </c>
      <c r="E88" s="1" t="e">
        <v>#NAME?</v>
      </c>
    </row>
    <row r="89" spans="2:5" ht="12.75">
      <c r="B89" s="1" t="s">
        <v>266</v>
      </c>
      <c r="C89" s="1" t="s">
        <v>170</v>
      </c>
      <c r="D89" s="1">
        <v>0</v>
      </c>
      <c r="E89" s="1" t="s">
        <v>231</v>
      </c>
    </row>
    <row r="90" spans="2:5" ht="12.75">
      <c r="B90" s="1" t="s">
        <v>267</v>
      </c>
      <c r="C90" s="1" t="s">
        <v>170</v>
      </c>
      <c r="D90" s="1" t="s">
        <v>268</v>
      </c>
      <c r="E90" s="1" t="s">
        <v>231</v>
      </c>
    </row>
    <row r="91" spans="2:5" ht="12.75">
      <c r="B91" s="1" t="s">
        <v>269</v>
      </c>
      <c r="C91" s="1" t="s">
        <v>170</v>
      </c>
      <c r="D91" s="1">
        <v>0</v>
      </c>
      <c r="E91" s="1" t="e">
        <v>#NAME?</v>
      </c>
    </row>
    <row r="92" spans="2:5" ht="12.75">
      <c r="B92" s="1" t="s">
        <v>270</v>
      </c>
      <c r="C92" s="1" t="s">
        <v>170</v>
      </c>
      <c r="D92" s="1">
        <v>-100</v>
      </c>
      <c r="E92" s="1" t="e">
        <v>#NAME?</v>
      </c>
    </row>
    <row r="93" spans="2:5" ht="12.75">
      <c r="B93" s="1" t="s">
        <v>271</v>
      </c>
      <c r="C93" s="1" t="s">
        <v>170</v>
      </c>
      <c r="D93" s="1">
        <v>0</v>
      </c>
      <c r="E93" s="1" t="s">
        <v>231</v>
      </c>
    </row>
    <row r="94" spans="2:5" ht="12.75">
      <c r="B94" s="1" t="s">
        <v>272</v>
      </c>
      <c r="C94" s="1" t="s">
        <v>170</v>
      </c>
      <c r="D94" s="1">
        <v>0</v>
      </c>
      <c r="E94" s="1" t="s">
        <v>231</v>
      </c>
    </row>
    <row r="95" spans="2:5" ht="12.75">
      <c r="B95" s="1" t="s">
        <v>273</v>
      </c>
      <c r="C95" s="1" t="s">
        <v>170</v>
      </c>
      <c r="D95" s="1">
        <v>0</v>
      </c>
      <c r="E95" s="1" t="s">
        <v>231</v>
      </c>
    </row>
    <row r="96" spans="2:5" ht="12.75">
      <c r="B96" s="1">
        <v>49</v>
      </c>
      <c r="C96" s="1" t="s">
        <v>170</v>
      </c>
      <c r="D96" s="1">
        <v>0</v>
      </c>
      <c r="E96" s="1" t="s">
        <v>231</v>
      </c>
    </row>
    <row r="97" spans="2:5" ht="12.75">
      <c r="B97" s="1" t="s">
        <v>274</v>
      </c>
      <c r="C97" s="1" t="s">
        <v>170</v>
      </c>
      <c r="D97" s="1" t="s">
        <v>275</v>
      </c>
      <c r="E97" s="1" t="s">
        <v>231</v>
      </c>
    </row>
    <row r="98" spans="2:5" ht="12.75">
      <c r="B98" s="1">
        <v>51</v>
      </c>
      <c r="C98" s="1" t="s">
        <v>170</v>
      </c>
      <c r="D98" s="1">
        <v>0</v>
      </c>
      <c r="E98" s="1" t="s">
        <v>231</v>
      </c>
    </row>
    <row r="99" spans="2:5" ht="12.75">
      <c r="B99" s="1" t="s">
        <v>276</v>
      </c>
      <c r="C99" s="1" t="s">
        <v>170</v>
      </c>
      <c r="D99" s="1">
        <v>0</v>
      </c>
      <c r="E99" s="1" t="s">
        <v>231</v>
      </c>
    </row>
    <row r="100" spans="2:5" ht="12.75">
      <c r="B100" s="1" t="s">
        <v>277</v>
      </c>
      <c r="C100" s="1" t="s">
        <v>170</v>
      </c>
      <c r="D100" s="1">
        <v>0</v>
      </c>
      <c r="E100" s="1" t="s">
        <v>231</v>
      </c>
    </row>
    <row r="101" spans="2:5" ht="12.75">
      <c r="B101" s="1">
        <v>54</v>
      </c>
      <c r="C101" s="1" t="s">
        <v>170</v>
      </c>
      <c r="D101" s="1" t="s">
        <v>278</v>
      </c>
      <c r="E101" s="1" t="s">
        <v>231</v>
      </c>
    </row>
    <row r="102" spans="2:5" ht="12.75">
      <c r="B102" s="1" t="s">
        <v>279</v>
      </c>
      <c r="C102" s="1" t="s">
        <v>170</v>
      </c>
      <c r="D102" s="1">
        <v>0</v>
      </c>
      <c r="E102" s="1" t="e">
        <v>#NAME?</v>
      </c>
    </row>
    <row r="103" spans="2:5" ht="12.75">
      <c r="B103" s="1" t="s">
        <v>280</v>
      </c>
      <c r="C103" s="1" t="s">
        <v>170</v>
      </c>
      <c r="D103" s="1">
        <v>-44</v>
      </c>
      <c r="E103" s="1" t="e">
        <v>#NAME?</v>
      </c>
    </row>
    <row r="104" spans="2:5" ht="12.75">
      <c r="B104" s="1" t="s">
        <v>281</v>
      </c>
      <c r="C104" s="1" t="s">
        <v>170</v>
      </c>
      <c r="D104" s="1">
        <v>0</v>
      </c>
      <c r="E104" s="1" t="s">
        <v>231</v>
      </c>
    </row>
    <row r="105" spans="2:5" ht="12.75">
      <c r="B105" s="1" t="s">
        <v>282</v>
      </c>
      <c r="C105" s="1" t="s">
        <v>170</v>
      </c>
      <c r="D105" s="1" t="s">
        <v>283</v>
      </c>
      <c r="E105" s="1" t="s">
        <v>231</v>
      </c>
    </row>
    <row r="106" spans="2:5" ht="12.75">
      <c r="B106" s="1">
        <v>59</v>
      </c>
      <c r="C106" s="1" t="s">
        <v>170</v>
      </c>
      <c r="D106" s="1">
        <v>0</v>
      </c>
      <c r="E106" s="1" t="s">
        <v>231</v>
      </c>
    </row>
    <row r="107" spans="2:5" ht="12.75">
      <c r="B107" s="1" t="s">
        <v>284</v>
      </c>
      <c r="C107" s="1" t="s">
        <v>170</v>
      </c>
      <c r="D107" s="1">
        <v>0</v>
      </c>
      <c r="E107" s="1" t="s">
        <v>231</v>
      </c>
    </row>
    <row r="108" spans="2:5" ht="12.75">
      <c r="B108" s="1" t="s">
        <v>285</v>
      </c>
      <c r="C108" s="1" t="s">
        <v>170</v>
      </c>
      <c r="D108" s="1">
        <v>0</v>
      </c>
      <c r="E108" s="1" t="s">
        <v>231</v>
      </c>
    </row>
    <row r="109" spans="2:5" ht="12.75">
      <c r="B109" s="1">
        <v>62</v>
      </c>
      <c r="C109" s="1" t="s">
        <v>170</v>
      </c>
      <c r="D109" s="1">
        <v>0</v>
      </c>
      <c r="E109" s="1" t="s">
        <v>231</v>
      </c>
    </row>
    <row r="110" spans="2:3" ht="12.75">
      <c r="B110" s="1" t="s">
        <v>286</v>
      </c>
      <c r="C110" s="1" t="s">
        <v>170</v>
      </c>
    </row>
    <row r="112" spans="2:4" ht="12.75">
      <c r="B112" s="1" t="s">
        <v>287</v>
      </c>
      <c r="C112" s="1" t="s">
        <v>288</v>
      </c>
      <c r="D112" s="1" t="s">
        <v>289</v>
      </c>
    </row>
    <row r="113" ht="12.75">
      <c r="B113" s="1" t="s">
        <v>290</v>
      </c>
    </row>
    <row r="114" spans="2:11" ht="12.75">
      <c r="B114" s="1" t="s">
        <v>291</v>
      </c>
      <c r="C114" s="1" t="s">
        <v>61</v>
      </c>
      <c r="D114" s="1" t="s">
        <v>292</v>
      </c>
      <c r="E114" s="1" t="s">
        <v>293</v>
      </c>
      <c r="F114" s="1" t="s">
        <v>222</v>
      </c>
      <c r="G114" s="1" t="s">
        <v>294</v>
      </c>
      <c r="H114" s="1" t="s">
        <v>295</v>
      </c>
      <c r="I114" s="1" t="s">
        <v>296</v>
      </c>
      <c r="J114" s="1" t="s">
        <v>215</v>
      </c>
      <c r="K114" s="1" t="s">
        <v>61</v>
      </c>
    </row>
    <row r="115" spans="2:13" ht="12.75">
      <c r="B115" s="1" t="s">
        <v>297</v>
      </c>
      <c r="C115" s="1" t="s">
        <v>61</v>
      </c>
      <c r="D115" s="1" t="s">
        <v>298</v>
      </c>
      <c r="E115" s="1" t="s">
        <v>57</v>
      </c>
      <c r="F115" s="1" t="s">
        <v>52</v>
      </c>
      <c r="G115" s="1" t="s">
        <v>299</v>
      </c>
      <c r="H115" s="1" t="s">
        <v>300</v>
      </c>
      <c r="I115" s="1" t="s">
        <v>61</v>
      </c>
      <c r="J115" s="1" t="s">
        <v>298</v>
      </c>
      <c r="K115" s="1" t="s">
        <v>57</v>
      </c>
      <c r="L115" s="1" t="s">
        <v>301</v>
      </c>
      <c r="M115" s="1" t="s">
        <v>299</v>
      </c>
    </row>
    <row r="116" spans="2:11" ht="12.75">
      <c r="B116" s="1" t="s">
        <v>234</v>
      </c>
      <c r="C116" s="1" t="s">
        <v>302</v>
      </c>
      <c r="D116" s="1" t="s">
        <v>61</v>
      </c>
      <c r="E116" s="1" t="s">
        <v>303</v>
      </c>
      <c r="F116" s="1" t="s">
        <v>304</v>
      </c>
      <c r="G116" s="1" t="s">
        <v>305</v>
      </c>
      <c r="H116" s="1" t="s">
        <v>298</v>
      </c>
      <c r="I116" s="1" t="s">
        <v>306</v>
      </c>
      <c r="J116" s="1" t="s">
        <v>288</v>
      </c>
      <c r="K116" s="1" t="s">
        <v>307</v>
      </c>
    </row>
    <row r="117" spans="2:7" ht="12.75">
      <c r="B117" s="1" t="s">
        <v>308</v>
      </c>
      <c r="C117" s="1" t="s">
        <v>305</v>
      </c>
      <c r="D117" s="1" t="s">
        <v>298</v>
      </c>
      <c r="E117" s="1" t="s">
        <v>306</v>
      </c>
      <c r="F117" s="1" t="s">
        <v>288</v>
      </c>
      <c r="G117" s="1" t="s">
        <v>309</v>
      </c>
    </row>
    <row r="119" spans="2:4" ht="12.75">
      <c r="B119" s="1" t="s">
        <v>302</v>
      </c>
      <c r="C119" s="1" t="s">
        <v>61</v>
      </c>
      <c r="D119" s="1" t="s">
        <v>56</v>
      </c>
    </row>
    <row r="120" ht="12.75">
      <c r="B120" s="1" t="s">
        <v>167</v>
      </c>
    </row>
    <row r="121" spans="2:7" ht="12.75">
      <c r="B121" s="1" t="s">
        <v>61</v>
      </c>
      <c r="C121" s="1" t="s">
        <v>62</v>
      </c>
      <c r="D121" s="1">
        <v>6</v>
      </c>
      <c r="E121" s="1" t="s">
        <v>310</v>
      </c>
      <c r="F121" s="1" t="s">
        <v>311</v>
      </c>
      <c r="G121" s="1" t="s">
        <v>61</v>
      </c>
    </row>
    <row r="122" spans="2:5" ht="12.75">
      <c r="B122" s="1" t="s">
        <v>311</v>
      </c>
      <c r="C122" s="1" t="s">
        <v>312</v>
      </c>
      <c r="D122" s="1" t="s">
        <v>313</v>
      </c>
      <c r="E122" s="1">
        <v>-1</v>
      </c>
    </row>
    <row r="123" spans="2:9" ht="12.75">
      <c r="B123" s="1" t="s">
        <v>314</v>
      </c>
      <c r="C123" s="1" t="s">
        <v>315</v>
      </c>
      <c r="D123" s="1" t="s">
        <v>316</v>
      </c>
      <c r="E123" s="4">
        <v>-35000000000000</v>
      </c>
      <c r="F123" s="1" t="s">
        <v>317</v>
      </c>
      <c r="G123" s="1" t="s">
        <v>315</v>
      </c>
      <c r="H123" s="1" t="s">
        <v>318</v>
      </c>
      <c r="I123" s="4">
        <v>350000000</v>
      </c>
    </row>
    <row r="125" ht="12.75">
      <c r="B125" s="1" t="s">
        <v>319</v>
      </c>
    </row>
    <row r="126" spans="2:7" ht="12.75">
      <c r="B126" s="1" t="s">
        <v>61</v>
      </c>
      <c r="C126" s="1" t="s">
        <v>62</v>
      </c>
      <c r="D126" s="1">
        <v>7</v>
      </c>
      <c r="E126" s="1" t="s">
        <v>310</v>
      </c>
      <c r="F126" s="1" t="s">
        <v>311</v>
      </c>
      <c r="G126" s="1" t="s">
        <v>61</v>
      </c>
    </row>
    <row r="127" spans="2:5" ht="12.75">
      <c r="B127" s="1" t="s">
        <v>311</v>
      </c>
      <c r="C127" s="1" t="s">
        <v>312</v>
      </c>
      <c r="D127" s="1" t="s">
        <v>313</v>
      </c>
      <c r="E127" s="1">
        <v>-1.279</v>
      </c>
    </row>
    <row r="128" spans="2:9" ht="12.75">
      <c r="B128" s="1" t="s">
        <v>314</v>
      </c>
      <c r="C128" s="1" t="s">
        <v>315</v>
      </c>
      <c r="D128" s="1" t="s">
        <v>316</v>
      </c>
      <c r="E128" s="1">
        <v>1237.275986</v>
      </c>
      <c r="F128" s="1" t="s">
        <v>317</v>
      </c>
      <c r="G128" s="1" t="s">
        <v>315</v>
      </c>
      <c r="H128" s="1" t="s">
        <v>318</v>
      </c>
      <c r="I128" s="1">
        <v>-653.534751</v>
      </c>
    </row>
    <row r="130" ht="12.75">
      <c r="B130" s="1" t="s">
        <v>319</v>
      </c>
    </row>
    <row r="131" spans="2:7" ht="12.75">
      <c r="B131" s="1" t="s">
        <v>61</v>
      </c>
      <c r="C131" s="1" t="s">
        <v>62</v>
      </c>
      <c r="D131" s="1">
        <v>11</v>
      </c>
      <c r="E131" s="1" t="s">
        <v>310</v>
      </c>
      <c r="F131" s="1" t="s">
        <v>311</v>
      </c>
      <c r="G131" s="1" t="s">
        <v>61</v>
      </c>
    </row>
    <row r="132" spans="2:5" ht="12.75">
      <c r="B132" s="1" t="s">
        <v>311</v>
      </c>
      <c r="C132" s="1" t="s">
        <v>312</v>
      </c>
      <c r="D132" s="1" t="s">
        <v>313</v>
      </c>
      <c r="E132" s="1">
        <v>-0.5095</v>
      </c>
    </row>
    <row r="133" spans="2:9" ht="12.75">
      <c r="B133" s="1" t="s">
        <v>314</v>
      </c>
      <c r="C133" s="1" t="s">
        <v>315</v>
      </c>
      <c r="D133" s="1" t="s">
        <v>316</v>
      </c>
      <c r="E133" s="1">
        <v>-746.101937</v>
      </c>
      <c r="F133" s="1" t="s">
        <v>317</v>
      </c>
      <c r="G133" s="1" t="s">
        <v>315</v>
      </c>
      <c r="H133" s="1" t="s">
        <v>318</v>
      </c>
      <c r="I133" s="1">
        <v>522.537753</v>
      </c>
    </row>
    <row r="135" ht="12.75">
      <c r="B135" s="1" t="s">
        <v>319</v>
      </c>
    </row>
    <row r="136" spans="2:7" ht="12.75">
      <c r="B136" s="1" t="s">
        <v>61</v>
      </c>
      <c r="C136" s="1" t="s">
        <v>62</v>
      </c>
      <c r="D136" s="1">
        <v>17</v>
      </c>
      <c r="E136" s="1" t="s">
        <v>310</v>
      </c>
      <c r="F136" s="1" t="s">
        <v>320</v>
      </c>
      <c r="G136" s="1" t="s">
        <v>61</v>
      </c>
    </row>
    <row r="137" spans="2:3" ht="12.75">
      <c r="B137" s="1" t="s">
        <v>321</v>
      </c>
      <c r="C137" s="1">
        <v>-278.418</v>
      </c>
    </row>
    <row r="139" ht="12.75">
      <c r="B139" s="1" t="s">
        <v>319</v>
      </c>
    </row>
    <row r="140" spans="2:7" ht="12.75">
      <c r="B140" s="1" t="s">
        <v>61</v>
      </c>
      <c r="C140" s="1" t="s">
        <v>62</v>
      </c>
      <c r="D140" s="1">
        <v>20</v>
      </c>
      <c r="E140" s="1" t="s">
        <v>310</v>
      </c>
      <c r="F140" s="1" t="s">
        <v>320</v>
      </c>
      <c r="G140" s="1" t="s">
        <v>61</v>
      </c>
    </row>
    <row r="141" spans="2:3" ht="12.75">
      <c r="B141" s="1" t="s">
        <v>321</v>
      </c>
      <c r="C141" s="1">
        <v>-359.42</v>
      </c>
    </row>
    <row r="144" spans="2:5" ht="12.75">
      <c r="B144" s="1" t="s">
        <v>322</v>
      </c>
      <c r="C144" s="1" t="s">
        <v>222</v>
      </c>
      <c r="D144" s="1" t="s">
        <v>323</v>
      </c>
      <c r="E144" s="1" t="s">
        <v>56</v>
      </c>
    </row>
    <row r="145" spans="2:3" ht="12.75">
      <c r="B145" s="1" t="s">
        <v>324</v>
      </c>
      <c r="C145" s="1" t="s">
        <v>299</v>
      </c>
    </row>
    <row r="146" ht="12.75">
      <c r="B146" s="1" t="s">
        <v>325</v>
      </c>
    </row>
    <row r="147" spans="2:9" ht="12.75">
      <c r="B147" s="1" t="s">
        <v>50</v>
      </c>
      <c r="C147" s="1" t="s">
        <v>303</v>
      </c>
      <c r="D147" s="1" t="s">
        <v>17</v>
      </c>
      <c r="E147" s="1" t="s">
        <v>80</v>
      </c>
      <c r="F147" s="1" t="s">
        <v>81</v>
      </c>
      <c r="G147" s="1" t="s">
        <v>326</v>
      </c>
      <c r="H147" s="1" t="s">
        <v>327</v>
      </c>
      <c r="I147" s="1" t="s">
        <v>328</v>
      </c>
    </row>
    <row r="148" ht="12.75">
      <c r="B148" s="1" t="s">
        <v>325</v>
      </c>
    </row>
    <row r="149" spans="2:9" ht="12.75">
      <c r="B149" s="1">
        <v>2</v>
      </c>
      <c r="C149" s="1" t="s">
        <v>329</v>
      </c>
      <c r="D149" s="1">
        <v>0</v>
      </c>
      <c r="E149" s="1">
        <v>0</v>
      </c>
      <c r="F149" s="1">
        <v>0</v>
      </c>
      <c r="G149" s="1">
        <v>0.1829</v>
      </c>
      <c r="H149" s="1">
        <v>0</v>
      </c>
      <c r="I149" s="1">
        <v>0</v>
      </c>
    </row>
    <row r="150" spans="2:9" ht="12.75">
      <c r="B150" s="1">
        <v>10</v>
      </c>
      <c r="C150" s="1" t="s">
        <v>329</v>
      </c>
      <c r="D150" s="1">
        <v>0</v>
      </c>
      <c r="E150" s="1">
        <v>-91.048</v>
      </c>
      <c r="F150" s="1">
        <v>0</v>
      </c>
      <c r="G150" s="1">
        <v>-1.9766</v>
      </c>
      <c r="H150" s="1">
        <v>0</v>
      </c>
      <c r="I150" s="1">
        <v>0</v>
      </c>
    </row>
    <row r="151" spans="2:9" ht="12.75">
      <c r="B151" s="1">
        <v>11</v>
      </c>
      <c r="C151" s="1" t="s">
        <v>329</v>
      </c>
      <c r="D151" s="1">
        <v>0</v>
      </c>
      <c r="E151" s="1">
        <v>-149.224</v>
      </c>
      <c r="F151" s="1">
        <v>12.676</v>
      </c>
      <c r="G151" s="1">
        <v>-6.7066</v>
      </c>
      <c r="H151" s="1">
        <v>0</v>
      </c>
      <c r="I151" s="1">
        <v>0</v>
      </c>
    </row>
    <row r="152" spans="2:9" ht="12.75">
      <c r="B152" s="1">
        <v>12</v>
      </c>
      <c r="C152" s="1" t="s">
        <v>329</v>
      </c>
      <c r="D152" s="1">
        <v>0</v>
      </c>
      <c r="E152" s="1">
        <v>0</v>
      </c>
      <c r="F152" s="1">
        <v>0</v>
      </c>
      <c r="G152" s="1">
        <v>31.93</v>
      </c>
      <c r="H152" s="1">
        <v>0</v>
      </c>
      <c r="I152" s="1">
        <v>0</v>
      </c>
    </row>
    <row r="153" spans="2:9" ht="12.75">
      <c r="B153" s="1">
        <v>13</v>
      </c>
      <c r="C153" s="1" t="s">
        <v>329</v>
      </c>
      <c r="D153" s="1">
        <v>0</v>
      </c>
      <c r="E153" s="1">
        <v>0</v>
      </c>
      <c r="F153" s="1">
        <v>0</v>
      </c>
      <c r="G153" s="1">
        <v>-12.01</v>
      </c>
      <c r="H153" s="1">
        <v>0</v>
      </c>
      <c r="I153" s="1">
        <v>0</v>
      </c>
    </row>
    <row r="154" spans="2:9" ht="12.75">
      <c r="B154" s="1">
        <v>16</v>
      </c>
      <c r="C154" s="1" t="s">
        <v>329</v>
      </c>
      <c r="D154" s="1">
        <v>0</v>
      </c>
      <c r="E154" s="1">
        <v>0</v>
      </c>
      <c r="F154" s="1">
        <v>0</v>
      </c>
      <c r="G154" s="1">
        <v>-24.02</v>
      </c>
      <c r="H154" s="1">
        <v>0</v>
      </c>
      <c r="I154" s="1">
        <v>0</v>
      </c>
    </row>
    <row r="155" spans="2:9" ht="12.75">
      <c r="B155" s="1">
        <v>17</v>
      </c>
      <c r="C155" s="1" t="s">
        <v>329</v>
      </c>
      <c r="D155" s="1">
        <v>0</v>
      </c>
      <c r="E155" s="1">
        <v>0</v>
      </c>
      <c r="F155" s="1">
        <v>0</v>
      </c>
      <c r="G155" s="1">
        <v>9.212</v>
      </c>
      <c r="H155" s="1">
        <v>0</v>
      </c>
      <c r="I155" s="1">
        <v>0</v>
      </c>
    </row>
    <row r="156" spans="2:9" ht="12.75">
      <c r="B156" s="1">
        <v>18</v>
      </c>
      <c r="C156" s="1" t="s">
        <v>329</v>
      </c>
      <c r="D156" s="1">
        <v>0</v>
      </c>
      <c r="E156" s="1">
        <v>0</v>
      </c>
      <c r="F156" s="1">
        <v>0</v>
      </c>
      <c r="G156" s="1">
        <v>18.424</v>
      </c>
      <c r="H156" s="1">
        <v>0</v>
      </c>
      <c r="I156" s="1">
        <v>0</v>
      </c>
    </row>
    <row r="157" spans="2:9" ht="12.75">
      <c r="B157" s="1">
        <v>19</v>
      </c>
      <c r="C157" s="1" t="s">
        <v>329</v>
      </c>
      <c r="D157" s="1">
        <v>0</v>
      </c>
      <c r="E157" s="1">
        <v>0</v>
      </c>
      <c r="F157" s="1">
        <v>0</v>
      </c>
      <c r="G157" s="1">
        <v>-32.897</v>
      </c>
      <c r="H157" s="1">
        <v>0</v>
      </c>
      <c r="I157" s="1">
        <v>0</v>
      </c>
    </row>
    <row r="158" spans="2:9" ht="12.75">
      <c r="B158" s="1">
        <v>20</v>
      </c>
      <c r="C158" s="1" t="s">
        <v>329</v>
      </c>
      <c r="D158" s="1">
        <v>0</v>
      </c>
      <c r="E158" s="1">
        <v>0</v>
      </c>
      <c r="F158" s="1">
        <v>0</v>
      </c>
      <c r="G158" s="1">
        <v>-15</v>
      </c>
      <c r="H158" s="1">
        <v>0</v>
      </c>
      <c r="I158" s="1">
        <v>0</v>
      </c>
    </row>
    <row r="159" spans="2:9" ht="12.75">
      <c r="B159" s="1">
        <v>21</v>
      </c>
      <c r="C159" s="1" t="s">
        <v>329</v>
      </c>
      <c r="D159" s="1">
        <v>0</v>
      </c>
      <c r="E159" s="1">
        <v>0</v>
      </c>
      <c r="F159" s="1">
        <v>0</v>
      </c>
      <c r="G159" s="1">
        <v>-30</v>
      </c>
      <c r="H159" s="1">
        <v>0</v>
      </c>
      <c r="I159" s="1">
        <v>0</v>
      </c>
    </row>
    <row r="160" spans="2:9" ht="12.75">
      <c r="B160" s="1">
        <v>22</v>
      </c>
      <c r="C160" s="1" t="s">
        <v>329</v>
      </c>
      <c r="D160" s="1">
        <v>0</v>
      </c>
      <c r="E160" s="1">
        <v>0</v>
      </c>
      <c r="F160" s="1">
        <v>0</v>
      </c>
      <c r="G160" s="1">
        <v>22.29</v>
      </c>
      <c r="H160" s="1">
        <v>0</v>
      </c>
      <c r="I160" s="1">
        <v>0</v>
      </c>
    </row>
    <row r="161" spans="2:9" ht="12.75">
      <c r="B161" s="1">
        <v>23</v>
      </c>
      <c r="C161" s="1" t="s">
        <v>329</v>
      </c>
      <c r="D161" s="1">
        <v>0</v>
      </c>
      <c r="E161" s="1">
        <v>0</v>
      </c>
      <c r="F161" s="1">
        <v>0</v>
      </c>
      <c r="G161" s="1">
        <v>44.58</v>
      </c>
      <c r="H161" s="1">
        <v>0</v>
      </c>
      <c r="I161" s="1">
        <v>0</v>
      </c>
    </row>
    <row r="162" spans="2:9" ht="12.75">
      <c r="B162" s="1">
        <v>24</v>
      </c>
      <c r="C162" s="1" t="s">
        <v>329</v>
      </c>
      <c r="D162" s="1">
        <v>0</v>
      </c>
      <c r="E162" s="1">
        <v>0</v>
      </c>
      <c r="F162" s="1">
        <v>0</v>
      </c>
      <c r="G162" s="1">
        <v>-43.048</v>
      </c>
      <c r="H162" s="1">
        <v>0</v>
      </c>
      <c r="I162" s="1">
        <v>0</v>
      </c>
    </row>
    <row r="163" spans="2:9" ht="12.75">
      <c r="B163" s="1">
        <v>25</v>
      </c>
      <c r="C163" s="1" t="s">
        <v>329</v>
      </c>
      <c r="D163" s="1">
        <v>0</v>
      </c>
      <c r="E163" s="1">
        <v>0</v>
      </c>
      <c r="F163" s="1">
        <v>0</v>
      </c>
      <c r="G163" s="1">
        <v>-86.096</v>
      </c>
      <c r="H163" s="1">
        <v>0</v>
      </c>
      <c r="I163" s="1">
        <v>0</v>
      </c>
    </row>
    <row r="164" spans="2:9" ht="12.75">
      <c r="B164" s="1">
        <v>26</v>
      </c>
      <c r="C164" s="1" t="s">
        <v>329</v>
      </c>
      <c r="D164" s="1">
        <v>0</v>
      </c>
      <c r="E164" s="1">
        <v>0</v>
      </c>
      <c r="F164" s="1">
        <v>0</v>
      </c>
      <c r="G164" s="1">
        <v>0</v>
      </c>
      <c r="H164" s="1">
        <v>0</v>
      </c>
      <c r="I164" s="1">
        <v>0</v>
      </c>
    </row>
    <row r="165" spans="2:9" ht="12.75">
      <c r="B165" s="1">
        <v>27</v>
      </c>
      <c r="C165" s="1" t="s">
        <v>329</v>
      </c>
      <c r="D165" s="1">
        <v>0</v>
      </c>
      <c r="E165" s="1">
        <v>0</v>
      </c>
      <c r="F165" s="1">
        <v>0</v>
      </c>
      <c r="G165" s="1">
        <v>20</v>
      </c>
      <c r="H165" s="1">
        <v>0</v>
      </c>
      <c r="I165" s="1">
        <v>0</v>
      </c>
    </row>
    <row r="166" spans="2:9" ht="12.75">
      <c r="B166" s="1">
        <v>28</v>
      </c>
      <c r="C166" s="1" t="s">
        <v>329</v>
      </c>
      <c r="D166" s="1">
        <v>0</v>
      </c>
      <c r="E166" s="1">
        <v>0</v>
      </c>
      <c r="F166" s="1">
        <v>0</v>
      </c>
      <c r="G166" s="1">
        <v>40</v>
      </c>
      <c r="H166" s="1">
        <v>0</v>
      </c>
      <c r="I166" s="1">
        <v>0</v>
      </c>
    </row>
    <row r="167" spans="2:9" ht="12.75">
      <c r="B167" s="1">
        <v>29</v>
      </c>
      <c r="C167" s="1" t="s">
        <v>329</v>
      </c>
      <c r="D167" s="1">
        <v>0</v>
      </c>
      <c r="E167" s="1">
        <v>0</v>
      </c>
      <c r="F167" s="1">
        <v>0</v>
      </c>
      <c r="G167" s="1">
        <v>0</v>
      </c>
      <c r="H167" s="1">
        <v>0</v>
      </c>
      <c r="I167" s="1">
        <v>0</v>
      </c>
    </row>
    <row r="168" spans="2:9" ht="12.75">
      <c r="B168" s="1">
        <v>30</v>
      </c>
      <c r="C168" s="1" t="s">
        <v>329</v>
      </c>
      <c r="D168" s="1">
        <v>0</v>
      </c>
      <c r="E168" s="1">
        <v>0</v>
      </c>
      <c r="F168" s="1">
        <v>0</v>
      </c>
      <c r="G168" s="1">
        <v>0</v>
      </c>
      <c r="H168" s="1">
        <v>0</v>
      </c>
      <c r="I168" s="1">
        <v>0</v>
      </c>
    </row>
    <row r="169" spans="2:9" ht="12.75">
      <c r="B169" s="1">
        <v>31</v>
      </c>
      <c r="C169" s="1" t="s">
        <v>329</v>
      </c>
      <c r="D169" s="1">
        <v>0</v>
      </c>
      <c r="E169" s="1">
        <v>0</v>
      </c>
      <c r="F169" s="1">
        <v>0</v>
      </c>
      <c r="G169" s="1">
        <v>-18</v>
      </c>
      <c r="H169" s="1">
        <v>0</v>
      </c>
      <c r="I169" s="1">
        <v>0</v>
      </c>
    </row>
    <row r="170" spans="2:9" ht="12.75">
      <c r="B170" s="1">
        <v>32</v>
      </c>
      <c r="C170" s="1" t="s">
        <v>329</v>
      </c>
      <c r="D170" s="1">
        <v>0</v>
      </c>
      <c r="E170" s="1">
        <v>0</v>
      </c>
      <c r="F170" s="1">
        <v>-5</v>
      </c>
      <c r="G170" s="1">
        <v>0</v>
      </c>
      <c r="H170" s="1">
        <v>0</v>
      </c>
      <c r="I170" s="1">
        <v>0</v>
      </c>
    </row>
    <row r="171" spans="2:9" ht="12.75">
      <c r="B171" s="1">
        <v>33</v>
      </c>
      <c r="C171" s="1" t="s">
        <v>329</v>
      </c>
      <c r="D171" s="1">
        <v>0</v>
      </c>
      <c r="E171" s="1">
        <v>0</v>
      </c>
      <c r="F171" s="1">
        <v>5</v>
      </c>
      <c r="G171" s="1">
        <v>0</v>
      </c>
      <c r="H171" s="1">
        <v>0</v>
      </c>
      <c r="I171" s="1">
        <v>0</v>
      </c>
    </row>
    <row r="172" spans="2:9" ht="12.75">
      <c r="B172" s="1">
        <v>35</v>
      </c>
      <c r="C172" s="1" t="s">
        <v>329</v>
      </c>
      <c r="D172" s="1">
        <v>0</v>
      </c>
      <c r="E172" s="1">
        <v>0</v>
      </c>
      <c r="F172" s="1">
        <v>0</v>
      </c>
      <c r="G172" s="1">
        <v>-36</v>
      </c>
      <c r="H172" s="1">
        <v>0</v>
      </c>
      <c r="I172" s="1">
        <v>0</v>
      </c>
    </row>
    <row r="173" spans="2:9" ht="12.75">
      <c r="B173" s="1">
        <v>36</v>
      </c>
      <c r="C173" s="1" t="s">
        <v>329</v>
      </c>
      <c r="D173" s="1">
        <v>0</v>
      </c>
      <c r="E173" s="1">
        <v>0</v>
      </c>
      <c r="F173" s="1">
        <v>0</v>
      </c>
      <c r="G173" s="1">
        <v>0</v>
      </c>
      <c r="H173" s="1">
        <v>-45</v>
      </c>
      <c r="I173" s="1">
        <v>0</v>
      </c>
    </row>
    <row r="174" spans="2:9" ht="12.75">
      <c r="B174" s="1">
        <v>37</v>
      </c>
      <c r="C174" s="1" t="s">
        <v>329</v>
      </c>
      <c r="D174" s="1">
        <v>0</v>
      </c>
      <c r="E174" s="1">
        <v>0</v>
      </c>
      <c r="F174" s="1">
        <v>0</v>
      </c>
      <c r="G174" s="1">
        <v>0</v>
      </c>
      <c r="H174" s="1">
        <v>-90</v>
      </c>
      <c r="I174" s="1">
        <v>0</v>
      </c>
    </row>
    <row r="175" spans="2:9" ht="12.75">
      <c r="B175" s="1">
        <v>39</v>
      </c>
      <c r="C175" s="1" t="s">
        <v>329</v>
      </c>
      <c r="D175" s="1">
        <v>0</v>
      </c>
      <c r="E175" s="1">
        <v>0</v>
      </c>
      <c r="F175" s="1">
        <v>15.86</v>
      </c>
      <c r="G175" s="1">
        <v>0</v>
      </c>
      <c r="H175" s="1">
        <v>0</v>
      </c>
      <c r="I175" s="1">
        <v>0</v>
      </c>
    </row>
    <row r="176" spans="2:9" ht="12.75">
      <c r="B176" s="1">
        <v>40</v>
      </c>
      <c r="C176" s="1" t="s">
        <v>329</v>
      </c>
      <c r="D176" s="1">
        <v>0</v>
      </c>
      <c r="E176" s="1">
        <v>0</v>
      </c>
      <c r="F176" s="1">
        <v>5</v>
      </c>
      <c r="G176" s="1">
        <v>0</v>
      </c>
      <c r="H176" s="1">
        <v>0</v>
      </c>
      <c r="I176" s="1">
        <v>0</v>
      </c>
    </row>
    <row r="177" spans="2:9" ht="12.75">
      <c r="B177" s="1">
        <v>42</v>
      </c>
      <c r="C177" s="1" t="s">
        <v>329</v>
      </c>
      <c r="D177" s="1">
        <v>0</v>
      </c>
      <c r="E177" s="1">
        <v>0</v>
      </c>
      <c r="F177" s="1">
        <v>0</v>
      </c>
      <c r="G177" s="1">
        <v>0</v>
      </c>
      <c r="H177" s="1">
        <v>45</v>
      </c>
      <c r="I177" s="1">
        <v>0</v>
      </c>
    </row>
    <row r="178" spans="2:9" ht="12.75">
      <c r="B178" s="1">
        <v>43</v>
      </c>
      <c r="C178" s="1" t="s">
        <v>329</v>
      </c>
      <c r="D178" s="1">
        <v>0</v>
      </c>
      <c r="E178" s="1">
        <v>0</v>
      </c>
      <c r="F178" s="1">
        <v>0</v>
      </c>
      <c r="G178" s="1">
        <v>0</v>
      </c>
      <c r="H178" s="1">
        <v>90</v>
      </c>
      <c r="I178" s="1">
        <v>0</v>
      </c>
    </row>
    <row r="179" spans="2:9" ht="12.75">
      <c r="B179" s="1">
        <v>44</v>
      </c>
      <c r="C179" s="1" t="s">
        <v>329</v>
      </c>
      <c r="D179" s="1">
        <v>0</v>
      </c>
      <c r="E179" s="1">
        <v>0</v>
      </c>
      <c r="F179" s="1">
        <v>0</v>
      </c>
      <c r="G179" s="1">
        <v>18</v>
      </c>
      <c r="H179" s="1">
        <v>0</v>
      </c>
      <c r="I179" s="1">
        <v>0</v>
      </c>
    </row>
    <row r="180" spans="2:9" ht="12.75">
      <c r="B180" s="1">
        <v>45</v>
      </c>
      <c r="C180" s="1" t="s">
        <v>329</v>
      </c>
      <c r="D180" s="1">
        <v>0</v>
      </c>
      <c r="E180" s="1">
        <v>0</v>
      </c>
      <c r="F180" s="1">
        <v>0</v>
      </c>
      <c r="G180" s="1">
        <v>36</v>
      </c>
      <c r="H180" s="1">
        <v>0</v>
      </c>
      <c r="I180" s="1">
        <v>0</v>
      </c>
    </row>
    <row r="181" spans="2:9" ht="12.75">
      <c r="B181" s="1">
        <v>46</v>
      </c>
      <c r="C181" s="1" t="s">
        <v>329</v>
      </c>
      <c r="D181" s="1">
        <v>0</v>
      </c>
      <c r="E181" s="1">
        <v>0</v>
      </c>
      <c r="F181" s="1">
        <v>0</v>
      </c>
      <c r="G181" s="1">
        <v>0</v>
      </c>
      <c r="H181" s="1">
        <v>25</v>
      </c>
      <c r="I181" s="1">
        <v>0</v>
      </c>
    </row>
    <row r="182" spans="2:9" ht="12.75">
      <c r="B182" s="1">
        <v>47</v>
      </c>
      <c r="C182" s="1" t="s">
        <v>329</v>
      </c>
      <c r="D182" s="1">
        <v>0</v>
      </c>
      <c r="E182" s="1">
        <v>0</v>
      </c>
      <c r="F182" s="1">
        <v>-5</v>
      </c>
      <c r="G182" s="1">
        <v>0</v>
      </c>
      <c r="H182" s="1">
        <v>0</v>
      </c>
      <c r="I182" s="1">
        <v>0</v>
      </c>
    </row>
    <row r="183" spans="2:9" ht="12.75">
      <c r="B183" s="1">
        <v>48</v>
      </c>
      <c r="C183" s="1" t="s">
        <v>329</v>
      </c>
      <c r="D183" s="1">
        <v>0</v>
      </c>
      <c r="E183" s="1">
        <v>0</v>
      </c>
      <c r="F183" s="1">
        <v>5</v>
      </c>
      <c r="G183" s="1">
        <v>0</v>
      </c>
      <c r="H183" s="1">
        <v>0</v>
      </c>
      <c r="I183" s="1">
        <v>0</v>
      </c>
    </row>
    <row r="184" spans="2:9" ht="12.75">
      <c r="B184" s="1">
        <v>50</v>
      </c>
      <c r="C184" s="1" t="s">
        <v>329</v>
      </c>
      <c r="D184" s="1">
        <v>0</v>
      </c>
      <c r="E184" s="1">
        <v>0</v>
      </c>
      <c r="F184" s="1">
        <v>0</v>
      </c>
      <c r="G184" s="1">
        <v>0</v>
      </c>
      <c r="H184" s="1">
        <v>50</v>
      </c>
      <c r="I184" s="1">
        <v>0</v>
      </c>
    </row>
    <row r="185" spans="2:9" ht="12.75">
      <c r="B185" s="1">
        <v>52</v>
      </c>
      <c r="C185" s="1" t="s">
        <v>329</v>
      </c>
      <c r="D185" s="1">
        <v>0</v>
      </c>
      <c r="E185" s="1">
        <v>0</v>
      </c>
      <c r="F185" s="1">
        <v>-8.5</v>
      </c>
      <c r="G185" s="1">
        <v>0</v>
      </c>
      <c r="H185" s="1">
        <v>0</v>
      </c>
      <c r="I185" s="1">
        <v>0</v>
      </c>
    </row>
    <row r="186" spans="2:9" ht="12.75">
      <c r="B186" s="1">
        <v>53</v>
      </c>
      <c r="C186" s="1" t="s">
        <v>329</v>
      </c>
      <c r="D186" s="1">
        <v>0</v>
      </c>
      <c r="E186" s="1">
        <v>0</v>
      </c>
      <c r="F186" s="1">
        <v>-5</v>
      </c>
      <c r="G186" s="1">
        <v>0</v>
      </c>
      <c r="H186" s="1">
        <v>0</v>
      </c>
      <c r="I186" s="1">
        <v>0</v>
      </c>
    </row>
    <row r="187" spans="2:9" ht="12.75">
      <c r="B187" s="1">
        <v>55</v>
      </c>
      <c r="C187" s="1" t="s">
        <v>329</v>
      </c>
      <c r="D187" s="1">
        <v>0</v>
      </c>
      <c r="E187" s="1">
        <v>0</v>
      </c>
      <c r="F187" s="1">
        <v>0</v>
      </c>
      <c r="G187" s="1">
        <v>0</v>
      </c>
      <c r="H187" s="1">
        <v>-25</v>
      </c>
      <c r="I187" s="1">
        <v>0</v>
      </c>
    </row>
    <row r="188" spans="2:9" ht="12.75">
      <c r="B188" s="1">
        <v>56</v>
      </c>
      <c r="C188" s="1" t="s">
        <v>329</v>
      </c>
      <c r="D188" s="1">
        <v>0</v>
      </c>
      <c r="E188" s="1">
        <v>0</v>
      </c>
      <c r="F188" s="1">
        <v>0</v>
      </c>
      <c r="G188" s="1">
        <v>0</v>
      </c>
      <c r="H188" s="1">
        <v>-50</v>
      </c>
      <c r="I188" s="1">
        <v>0</v>
      </c>
    </row>
    <row r="189" spans="2:9" ht="12.75">
      <c r="B189" s="1">
        <v>57</v>
      </c>
      <c r="C189" s="1" t="s">
        <v>329</v>
      </c>
      <c r="D189" s="1">
        <v>0</v>
      </c>
      <c r="E189" s="1">
        <v>0</v>
      </c>
      <c r="F189" s="1">
        <v>0</v>
      </c>
      <c r="G189" s="1">
        <v>48.58</v>
      </c>
      <c r="H189" s="1">
        <v>0</v>
      </c>
      <c r="I189" s="1">
        <v>0</v>
      </c>
    </row>
    <row r="190" spans="2:9" ht="12.75">
      <c r="B190" s="1">
        <v>58</v>
      </c>
      <c r="C190" s="1" t="s">
        <v>329</v>
      </c>
      <c r="D190" s="1">
        <v>0</v>
      </c>
      <c r="E190" s="1">
        <v>0</v>
      </c>
      <c r="F190" s="1">
        <v>0</v>
      </c>
      <c r="G190" s="1">
        <v>97.16</v>
      </c>
      <c r="H190" s="1">
        <v>0</v>
      </c>
      <c r="I190" s="1">
        <v>0</v>
      </c>
    </row>
    <row r="191" spans="2:9" ht="12.75">
      <c r="B191" s="1">
        <v>60</v>
      </c>
      <c r="C191" s="1" t="s">
        <v>329</v>
      </c>
      <c r="D191" s="1">
        <v>0</v>
      </c>
      <c r="E191" s="1">
        <v>0</v>
      </c>
      <c r="F191" s="1">
        <v>-8.99</v>
      </c>
      <c r="G191" s="1">
        <v>0</v>
      </c>
      <c r="H191" s="1">
        <v>0</v>
      </c>
      <c r="I191" s="1">
        <v>0</v>
      </c>
    </row>
    <row r="192" spans="2:9" ht="12.75">
      <c r="B192" s="1">
        <v>61</v>
      </c>
      <c r="C192" s="1" t="s">
        <v>329</v>
      </c>
      <c r="D192" s="1">
        <v>0</v>
      </c>
      <c r="E192" s="1">
        <v>0</v>
      </c>
      <c r="F192" s="1">
        <v>-5</v>
      </c>
      <c r="G192" s="1">
        <v>0</v>
      </c>
      <c r="H192" s="1">
        <v>0</v>
      </c>
      <c r="I192" s="1">
        <v>0</v>
      </c>
    </row>
    <row r="194" spans="2:5" ht="12.75">
      <c r="B194" s="1" t="s">
        <v>287</v>
      </c>
      <c r="C194" s="1" t="s">
        <v>288</v>
      </c>
      <c r="D194" s="1" t="s">
        <v>61</v>
      </c>
      <c r="E194" s="1" t="s">
        <v>330</v>
      </c>
    </row>
    <row r="195" ht="12.75">
      <c r="B195" s="1" t="s">
        <v>331</v>
      </c>
    </row>
    <row r="196" spans="2:7" ht="12.75">
      <c r="B196" s="1" t="s">
        <v>332</v>
      </c>
      <c r="C196" s="1" t="s">
        <v>52</v>
      </c>
      <c r="D196" s="1" t="s">
        <v>299</v>
      </c>
      <c r="E196" s="1" t="s">
        <v>333</v>
      </c>
      <c r="F196" s="1" t="s">
        <v>301</v>
      </c>
      <c r="G196" s="1" t="s">
        <v>299</v>
      </c>
    </row>
    <row r="197" spans="2:10" ht="12.75">
      <c r="B197" s="1" t="s">
        <v>329</v>
      </c>
      <c r="C197" s="1" t="s">
        <v>334</v>
      </c>
      <c r="D197" s="1" t="s">
        <v>299</v>
      </c>
      <c r="E197" s="1" t="s">
        <v>335</v>
      </c>
      <c r="F197" s="1" t="s">
        <v>336</v>
      </c>
      <c r="G197" s="1" t="s">
        <v>293</v>
      </c>
      <c r="H197" s="1" t="s">
        <v>57</v>
      </c>
      <c r="I197" s="1" t="s">
        <v>334</v>
      </c>
      <c r="J197" s="1" t="s">
        <v>70</v>
      </c>
    </row>
    <row r="199" spans="2:3" ht="12.75">
      <c r="B199" s="1" t="s">
        <v>50</v>
      </c>
      <c r="C199" s="1" t="s">
        <v>337</v>
      </c>
    </row>
    <row r="200" ht="12.75">
      <c r="B200" s="1" t="s">
        <v>325</v>
      </c>
    </row>
    <row r="201" spans="2:8" ht="12.75">
      <c r="B201" s="1">
        <v>12</v>
      </c>
      <c r="C201" s="1" t="s">
        <v>338</v>
      </c>
      <c r="D201" s="1" t="s">
        <v>339</v>
      </c>
      <c r="E201" s="1" t="s">
        <v>60</v>
      </c>
      <c r="F201" s="1" t="s">
        <v>61</v>
      </c>
      <c r="G201" s="1" t="s">
        <v>62</v>
      </c>
      <c r="H201" s="1">
        <v>11</v>
      </c>
    </row>
    <row r="202" spans="2:8" ht="12.75">
      <c r="B202" s="1">
        <v>16</v>
      </c>
      <c r="C202" s="1" t="s">
        <v>338</v>
      </c>
      <c r="D202" s="1" t="s">
        <v>339</v>
      </c>
      <c r="E202" s="1" t="s">
        <v>60</v>
      </c>
      <c r="F202" s="1" t="s">
        <v>61</v>
      </c>
      <c r="G202" s="1" t="s">
        <v>62</v>
      </c>
      <c r="H202" s="1">
        <v>13</v>
      </c>
    </row>
    <row r="203" spans="2:8" ht="12.75">
      <c r="B203" s="1">
        <v>18</v>
      </c>
      <c r="C203" s="1" t="s">
        <v>338</v>
      </c>
      <c r="D203" s="1" t="s">
        <v>339</v>
      </c>
      <c r="E203" s="1" t="s">
        <v>60</v>
      </c>
      <c r="F203" s="1" t="s">
        <v>61</v>
      </c>
      <c r="G203" s="1" t="s">
        <v>62</v>
      </c>
      <c r="H203" s="1">
        <v>17</v>
      </c>
    </row>
    <row r="204" spans="2:8" ht="12.75">
      <c r="B204" s="1">
        <v>20</v>
      </c>
      <c r="C204" s="1" t="s">
        <v>338</v>
      </c>
      <c r="D204" s="1" t="s">
        <v>339</v>
      </c>
      <c r="E204" s="1" t="s">
        <v>60</v>
      </c>
      <c r="F204" s="1" t="s">
        <v>61</v>
      </c>
      <c r="G204" s="1" t="s">
        <v>62</v>
      </c>
      <c r="H204" s="1">
        <v>19</v>
      </c>
    </row>
    <row r="205" spans="2:8" ht="12.75">
      <c r="B205" s="1">
        <v>21</v>
      </c>
      <c r="C205" s="1" t="s">
        <v>338</v>
      </c>
      <c r="D205" s="1" t="s">
        <v>339</v>
      </c>
      <c r="E205" s="1" t="s">
        <v>60</v>
      </c>
      <c r="F205" s="1" t="s">
        <v>61</v>
      </c>
      <c r="G205" s="1" t="s">
        <v>62</v>
      </c>
      <c r="H205" s="1">
        <v>20</v>
      </c>
    </row>
    <row r="206" spans="2:8" ht="12.75">
      <c r="B206" s="1">
        <v>23</v>
      </c>
      <c r="C206" s="1" t="s">
        <v>338</v>
      </c>
      <c r="D206" s="1" t="s">
        <v>339</v>
      </c>
      <c r="E206" s="1" t="s">
        <v>60</v>
      </c>
      <c r="F206" s="1" t="s">
        <v>61</v>
      </c>
      <c r="G206" s="1" t="s">
        <v>62</v>
      </c>
      <c r="H206" s="1">
        <v>22</v>
      </c>
    </row>
    <row r="207" spans="2:8" ht="12.75">
      <c r="B207" s="1">
        <v>25</v>
      </c>
      <c r="C207" s="1" t="s">
        <v>338</v>
      </c>
      <c r="D207" s="1" t="s">
        <v>339</v>
      </c>
      <c r="E207" s="1" t="s">
        <v>60</v>
      </c>
      <c r="F207" s="1" t="s">
        <v>61</v>
      </c>
      <c r="G207" s="1" t="s">
        <v>62</v>
      </c>
      <c r="H207" s="1">
        <v>24</v>
      </c>
    </row>
    <row r="208" spans="2:8" ht="12.75">
      <c r="B208" s="1">
        <v>27</v>
      </c>
      <c r="C208" s="1" t="s">
        <v>338</v>
      </c>
      <c r="D208" s="1" t="s">
        <v>339</v>
      </c>
      <c r="E208" s="1" t="s">
        <v>60</v>
      </c>
      <c r="F208" s="1" t="s">
        <v>61</v>
      </c>
      <c r="G208" s="1" t="s">
        <v>62</v>
      </c>
      <c r="H208" s="1">
        <v>26</v>
      </c>
    </row>
    <row r="209" spans="2:8" ht="12.75">
      <c r="B209" s="1">
        <v>28</v>
      </c>
      <c r="C209" s="1" t="s">
        <v>338</v>
      </c>
      <c r="D209" s="1" t="s">
        <v>339</v>
      </c>
      <c r="E209" s="1" t="s">
        <v>60</v>
      </c>
      <c r="F209" s="1" t="s">
        <v>61</v>
      </c>
      <c r="G209" s="1" t="s">
        <v>62</v>
      </c>
      <c r="H209" s="1">
        <v>27</v>
      </c>
    </row>
    <row r="210" spans="2:8" ht="12.75">
      <c r="B210" s="1">
        <v>30</v>
      </c>
      <c r="C210" s="1" t="s">
        <v>338</v>
      </c>
      <c r="D210" s="1" t="s">
        <v>339</v>
      </c>
      <c r="E210" s="1" t="s">
        <v>60</v>
      </c>
      <c r="F210" s="1" t="s">
        <v>61</v>
      </c>
      <c r="G210" s="1" t="s">
        <v>62</v>
      </c>
      <c r="H210" s="1">
        <v>29</v>
      </c>
    </row>
    <row r="211" spans="2:8" ht="12.75">
      <c r="B211" s="1">
        <v>31</v>
      </c>
      <c r="C211" s="1" t="s">
        <v>338</v>
      </c>
      <c r="D211" s="1" t="s">
        <v>339</v>
      </c>
      <c r="E211" s="1" t="s">
        <v>60</v>
      </c>
      <c r="F211" s="1" t="s">
        <v>61</v>
      </c>
      <c r="G211" s="1" t="s">
        <v>62</v>
      </c>
      <c r="H211" s="1">
        <v>30</v>
      </c>
    </row>
    <row r="212" spans="2:8" ht="12.75">
      <c r="B212" s="1">
        <v>33</v>
      </c>
      <c r="C212" s="1" t="s">
        <v>338</v>
      </c>
      <c r="D212" s="1" t="s">
        <v>339</v>
      </c>
      <c r="E212" s="1" t="s">
        <v>60</v>
      </c>
      <c r="F212" s="1" t="s">
        <v>61</v>
      </c>
      <c r="G212" s="1" t="s">
        <v>62</v>
      </c>
      <c r="H212" s="1">
        <v>32</v>
      </c>
    </row>
    <row r="213" spans="2:8" ht="12.75">
      <c r="B213" s="1">
        <v>34</v>
      </c>
      <c r="C213" s="1" t="s">
        <v>338</v>
      </c>
      <c r="D213" s="1" t="s">
        <v>339</v>
      </c>
      <c r="E213" s="1" t="s">
        <v>60</v>
      </c>
      <c r="F213" s="1" t="s">
        <v>61</v>
      </c>
      <c r="G213" s="1" t="s">
        <v>62</v>
      </c>
      <c r="H213" s="1">
        <v>33</v>
      </c>
    </row>
    <row r="214" spans="2:8" ht="12.75">
      <c r="B214" s="1">
        <v>35</v>
      </c>
      <c r="C214" s="1" t="s">
        <v>338</v>
      </c>
      <c r="D214" s="1" t="s">
        <v>339</v>
      </c>
      <c r="E214" s="1" t="s">
        <v>60</v>
      </c>
      <c r="F214" s="1" t="s">
        <v>61</v>
      </c>
      <c r="G214" s="1" t="s">
        <v>62</v>
      </c>
      <c r="H214" s="1">
        <v>31</v>
      </c>
    </row>
    <row r="215" spans="2:8" ht="12.75">
      <c r="B215" s="1">
        <v>37</v>
      </c>
      <c r="C215" s="1" t="s">
        <v>338</v>
      </c>
      <c r="D215" s="1" t="s">
        <v>339</v>
      </c>
      <c r="E215" s="1" t="s">
        <v>60</v>
      </c>
      <c r="F215" s="1" t="s">
        <v>61</v>
      </c>
      <c r="G215" s="1" t="s">
        <v>62</v>
      </c>
      <c r="H215" s="1">
        <v>36</v>
      </c>
    </row>
    <row r="216" spans="2:8" ht="12.75">
      <c r="B216" s="1">
        <v>41</v>
      </c>
      <c r="C216" s="1" t="s">
        <v>338</v>
      </c>
      <c r="D216" s="1" t="s">
        <v>339</v>
      </c>
      <c r="E216" s="1" t="s">
        <v>60</v>
      </c>
      <c r="F216" s="1" t="s">
        <v>61</v>
      </c>
      <c r="G216" s="1" t="s">
        <v>62</v>
      </c>
      <c r="H216" s="1">
        <v>40</v>
      </c>
    </row>
    <row r="217" spans="2:8" ht="12.75">
      <c r="B217" s="1">
        <v>42</v>
      </c>
      <c r="C217" s="1" t="s">
        <v>338</v>
      </c>
      <c r="D217" s="1" t="s">
        <v>339</v>
      </c>
      <c r="E217" s="1" t="s">
        <v>60</v>
      </c>
      <c r="F217" s="1" t="s">
        <v>61</v>
      </c>
      <c r="G217" s="1" t="s">
        <v>62</v>
      </c>
      <c r="H217" s="1">
        <v>39</v>
      </c>
    </row>
    <row r="218" spans="2:8" ht="12.75">
      <c r="B218" s="1">
        <v>42</v>
      </c>
      <c r="C218" s="1" t="s">
        <v>339</v>
      </c>
      <c r="D218" s="1" t="s">
        <v>307</v>
      </c>
      <c r="E218" s="1" t="s">
        <v>340</v>
      </c>
      <c r="F218" s="1" t="s">
        <v>61</v>
      </c>
      <c r="G218" s="1" t="s">
        <v>62</v>
      </c>
      <c r="H218" s="1">
        <v>-36</v>
      </c>
    </row>
    <row r="219" spans="2:8" ht="12.75">
      <c r="B219" s="1">
        <v>43</v>
      </c>
      <c r="C219" s="1" t="s">
        <v>338</v>
      </c>
      <c r="D219" s="1" t="s">
        <v>339</v>
      </c>
      <c r="E219" s="1" t="s">
        <v>60</v>
      </c>
      <c r="F219" s="1" t="s">
        <v>61</v>
      </c>
      <c r="G219" s="1" t="s">
        <v>62</v>
      </c>
      <c r="H219" s="1">
        <v>42</v>
      </c>
    </row>
    <row r="220" spans="2:8" ht="12.75">
      <c r="B220" s="1">
        <v>43</v>
      </c>
      <c r="C220" s="1" t="s">
        <v>339</v>
      </c>
      <c r="D220" s="1" t="s">
        <v>307</v>
      </c>
      <c r="E220" s="1" t="s">
        <v>340</v>
      </c>
      <c r="F220" s="1" t="s">
        <v>61</v>
      </c>
      <c r="G220" s="1" t="s">
        <v>62</v>
      </c>
      <c r="H220" s="1">
        <v>-37</v>
      </c>
    </row>
    <row r="221" spans="2:8" ht="12.75">
      <c r="B221" s="1">
        <v>44</v>
      </c>
      <c r="C221" s="1" t="s">
        <v>339</v>
      </c>
      <c r="D221" s="1" t="s">
        <v>307</v>
      </c>
      <c r="E221" s="1" t="s">
        <v>340</v>
      </c>
      <c r="F221" s="1" t="s">
        <v>61</v>
      </c>
      <c r="G221" s="1" t="s">
        <v>62</v>
      </c>
      <c r="H221" s="1">
        <v>-31</v>
      </c>
    </row>
    <row r="222" spans="2:8" ht="12.75">
      <c r="B222" s="1">
        <v>45</v>
      </c>
      <c r="C222" s="1" t="s">
        <v>338</v>
      </c>
      <c r="D222" s="1" t="s">
        <v>339</v>
      </c>
      <c r="E222" s="1" t="s">
        <v>60</v>
      </c>
      <c r="F222" s="1" t="s">
        <v>61</v>
      </c>
      <c r="G222" s="1" t="s">
        <v>62</v>
      </c>
      <c r="H222" s="1">
        <v>44</v>
      </c>
    </row>
    <row r="223" spans="2:8" ht="12.75">
      <c r="B223" s="1">
        <v>45</v>
      </c>
      <c r="C223" s="1" t="s">
        <v>339</v>
      </c>
      <c r="D223" s="1" t="s">
        <v>307</v>
      </c>
      <c r="E223" s="1" t="s">
        <v>340</v>
      </c>
      <c r="F223" s="1" t="s">
        <v>61</v>
      </c>
      <c r="G223" s="1" t="s">
        <v>62</v>
      </c>
      <c r="H223" s="1">
        <v>-35</v>
      </c>
    </row>
    <row r="224" spans="2:8" ht="12.75">
      <c r="B224" s="1">
        <v>48</v>
      </c>
      <c r="C224" s="1" t="s">
        <v>338</v>
      </c>
      <c r="D224" s="1" t="s">
        <v>339</v>
      </c>
      <c r="E224" s="1" t="s">
        <v>60</v>
      </c>
      <c r="F224" s="1" t="s">
        <v>61</v>
      </c>
      <c r="G224" s="1" t="s">
        <v>62</v>
      </c>
      <c r="H224" s="1">
        <v>47</v>
      </c>
    </row>
    <row r="225" spans="2:8" ht="12.75">
      <c r="B225" s="1">
        <v>49</v>
      </c>
      <c r="C225" s="1" t="s">
        <v>338</v>
      </c>
      <c r="D225" s="1" t="s">
        <v>339</v>
      </c>
      <c r="E225" s="1" t="s">
        <v>60</v>
      </c>
      <c r="F225" s="1" t="s">
        <v>61</v>
      </c>
      <c r="G225" s="1" t="s">
        <v>62</v>
      </c>
      <c r="H225" s="1">
        <v>48</v>
      </c>
    </row>
    <row r="226" spans="2:8" ht="12.75">
      <c r="B226" s="1">
        <v>50</v>
      </c>
      <c r="C226" s="1" t="s">
        <v>338</v>
      </c>
      <c r="D226" s="1" t="s">
        <v>339</v>
      </c>
      <c r="E226" s="1" t="s">
        <v>60</v>
      </c>
      <c r="F226" s="1" t="s">
        <v>61</v>
      </c>
      <c r="G226" s="1" t="s">
        <v>62</v>
      </c>
      <c r="H226" s="1">
        <v>46</v>
      </c>
    </row>
    <row r="227" spans="2:8" ht="12.75">
      <c r="B227" s="1">
        <v>54</v>
      </c>
      <c r="C227" s="1" t="s">
        <v>338</v>
      </c>
      <c r="D227" s="1" t="s">
        <v>339</v>
      </c>
      <c r="E227" s="1" t="s">
        <v>60</v>
      </c>
      <c r="F227" s="1" t="s">
        <v>61</v>
      </c>
      <c r="G227" s="1" t="s">
        <v>62</v>
      </c>
      <c r="H227" s="1">
        <v>53</v>
      </c>
    </row>
    <row r="228" spans="2:8" ht="12.75">
      <c r="B228" s="1">
        <v>55</v>
      </c>
      <c r="C228" s="1" t="s">
        <v>338</v>
      </c>
      <c r="D228" s="1" t="s">
        <v>339</v>
      </c>
      <c r="E228" s="1" t="s">
        <v>60</v>
      </c>
      <c r="F228" s="1" t="s">
        <v>61</v>
      </c>
      <c r="G228" s="1" t="s">
        <v>62</v>
      </c>
      <c r="H228" s="1">
        <v>52</v>
      </c>
    </row>
    <row r="229" spans="2:8" ht="12.75">
      <c r="B229" s="1">
        <v>55</v>
      </c>
      <c r="C229" s="1" t="s">
        <v>339</v>
      </c>
      <c r="D229" s="1" t="s">
        <v>307</v>
      </c>
      <c r="E229" s="1" t="s">
        <v>340</v>
      </c>
      <c r="F229" s="1" t="s">
        <v>61</v>
      </c>
      <c r="G229" s="1" t="s">
        <v>62</v>
      </c>
      <c r="H229" s="1">
        <v>-46</v>
      </c>
    </row>
    <row r="230" spans="2:8" ht="12.75">
      <c r="B230" s="1">
        <v>56</v>
      </c>
      <c r="C230" s="1" t="s">
        <v>338</v>
      </c>
      <c r="D230" s="1" t="s">
        <v>339</v>
      </c>
      <c r="E230" s="1" t="s">
        <v>60</v>
      </c>
      <c r="F230" s="1" t="s">
        <v>61</v>
      </c>
      <c r="G230" s="1" t="s">
        <v>62</v>
      </c>
      <c r="H230" s="1">
        <v>55</v>
      </c>
    </row>
    <row r="231" spans="2:8" ht="12.75">
      <c r="B231" s="1">
        <v>56</v>
      </c>
      <c r="C231" s="1" t="s">
        <v>339</v>
      </c>
      <c r="D231" s="1" t="s">
        <v>307</v>
      </c>
      <c r="E231" s="1" t="s">
        <v>340</v>
      </c>
      <c r="F231" s="1" t="s">
        <v>61</v>
      </c>
      <c r="G231" s="1" t="s">
        <v>62</v>
      </c>
      <c r="H231" s="1">
        <v>-50</v>
      </c>
    </row>
    <row r="232" spans="2:8" ht="12.75">
      <c r="B232" s="1">
        <v>58</v>
      </c>
      <c r="C232" s="1" t="s">
        <v>338</v>
      </c>
      <c r="D232" s="1" t="s">
        <v>339</v>
      </c>
      <c r="E232" s="1" t="s">
        <v>60</v>
      </c>
      <c r="F232" s="1" t="s">
        <v>61</v>
      </c>
      <c r="G232" s="1" t="s">
        <v>62</v>
      </c>
      <c r="H232" s="1">
        <v>57</v>
      </c>
    </row>
    <row r="233" spans="2:8" ht="12.75">
      <c r="B233" s="1">
        <v>62</v>
      </c>
      <c r="C233" s="1" t="s">
        <v>338</v>
      </c>
      <c r="D233" s="1" t="s">
        <v>339</v>
      </c>
      <c r="E233" s="1" t="s">
        <v>60</v>
      </c>
      <c r="F233" s="1" t="s">
        <v>61</v>
      </c>
      <c r="G233" s="1" t="s">
        <v>62</v>
      </c>
      <c r="H233" s="1">
        <v>61</v>
      </c>
    </row>
    <row r="234" spans="2:8" ht="12.75">
      <c r="B234" s="1">
        <v>63</v>
      </c>
      <c r="C234" s="1" t="s">
        <v>338</v>
      </c>
      <c r="D234" s="1" t="s">
        <v>339</v>
      </c>
      <c r="E234" s="1" t="s">
        <v>60</v>
      </c>
      <c r="F234" s="1" t="s">
        <v>61</v>
      </c>
      <c r="G234" s="1" t="s">
        <v>62</v>
      </c>
      <c r="H234" s="1">
        <v>60</v>
      </c>
    </row>
    <row r="236" spans="2:4" ht="12.75">
      <c r="B236" s="1" t="s">
        <v>52</v>
      </c>
      <c r="C236" s="1" t="s">
        <v>58</v>
      </c>
      <c r="D236" s="1" t="s">
        <v>56</v>
      </c>
    </row>
    <row r="238" spans="2:11" ht="12.75">
      <c r="B238" s="1" t="s">
        <v>52</v>
      </c>
      <c r="C238" s="1" t="s">
        <v>58</v>
      </c>
      <c r="D238" s="1" t="s">
        <v>61</v>
      </c>
      <c r="E238" s="1" t="s">
        <v>194</v>
      </c>
      <c r="F238" s="1" t="s">
        <v>57</v>
      </c>
      <c r="G238" s="1" t="s">
        <v>58</v>
      </c>
      <c r="H238" s="1" t="s">
        <v>59</v>
      </c>
      <c r="I238" s="1" t="s">
        <v>60</v>
      </c>
      <c r="J238" s="1" t="s">
        <v>61</v>
      </c>
      <c r="K238" s="1">
        <v>9</v>
      </c>
    </row>
    <row r="239" ht="12.75">
      <c r="B239" s="1" t="s">
        <v>325</v>
      </c>
    </row>
    <row r="240" spans="2:9" ht="12.75">
      <c r="B240" s="1" t="s">
        <v>50</v>
      </c>
      <c r="C240" s="1" t="s">
        <v>17</v>
      </c>
      <c r="D240" s="1" t="s">
        <v>80</v>
      </c>
      <c r="E240" s="1" t="s">
        <v>81</v>
      </c>
      <c r="F240" s="1" t="s">
        <v>341</v>
      </c>
      <c r="G240" s="1" t="s">
        <v>326</v>
      </c>
      <c r="H240" s="1" t="s">
        <v>327</v>
      </c>
      <c r="I240" s="1" t="s">
        <v>328</v>
      </c>
    </row>
    <row r="241" ht="12.75">
      <c r="B241" s="1" t="s">
        <v>325</v>
      </c>
    </row>
    <row r="242" spans="2:8" ht="12.75">
      <c r="B242" s="1">
        <v>1</v>
      </c>
      <c r="C242" s="1">
        <v>0</v>
      </c>
      <c r="D242" s="1">
        <v>56.739172</v>
      </c>
      <c r="E242" s="1">
        <v>-1049.909422</v>
      </c>
      <c r="F242" s="1">
        <v>-0.18293</v>
      </c>
      <c r="G242" s="1">
        <v>0</v>
      </c>
      <c r="H242" s="1">
        <v>0</v>
      </c>
    </row>
    <row r="243" spans="2:8" ht="12.75">
      <c r="B243" s="1">
        <v>2</v>
      </c>
      <c r="C243" s="1">
        <v>0</v>
      </c>
      <c r="D243" s="1">
        <v>0</v>
      </c>
      <c r="E243" s="4">
        <v>16700</v>
      </c>
      <c r="F243" s="1">
        <v>0</v>
      </c>
      <c r="G243" s="1">
        <v>0</v>
      </c>
      <c r="H243" s="1">
        <v>0</v>
      </c>
    </row>
    <row r="244" spans="2:8" ht="12.75">
      <c r="B244" s="1">
        <v>3</v>
      </c>
      <c r="C244" s="1">
        <v>0</v>
      </c>
      <c r="D244" s="1">
        <v>0</v>
      </c>
      <c r="E244" s="4">
        <v>16700</v>
      </c>
      <c r="F244" s="1">
        <v>0</v>
      </c>
      <c r="G244" s="1">
        <v>0</v>
      </c>
      <c r="H244" s="1">
        <v>0</v>
      </c>
    </row>
    <row r="245" spans="2:8" ht="12.75">
      <c r="B245" s="1">
        <v>4</v>
      </c>
      <c r="C245" s="1">
        <v>0</v>
      </c>
      <c r="D245" s="1">
        <v>0</v>
      </c>
      <c r="E245" s="1">
        <v>-1050</v>
      </c>
      <c r="F245" s="1">
        <v>0</v>
      </c>
      <c r="G245" s="1">
        <v>0</v>
      </c>
      <c r="H245" s="1">
        <v>0</v>
      </c>
    </row>
    <row r="246" spans="2:8" ht="12.75">
      <c r="B246" s="1">
        <v>5</v>
      </c>
      <c r="C246" s="1">
        <v>0</v>
      </c>
      <c r="D246" s="1">
        <v>0</v>
      </c>
      <c r="E246" s="1">
        <v>-3050</v>
      </c>
      <c r="F246" s="1">
        <v>0</v>
      </c>
      <c r="G246" s="1">
        <v>0</v>
      </c>
      <c r="H246" s="1">
        <v>0</v>
      </c>
    </row>
    <row r="247" spans="2:8" ht="12.75">
      <c r="B247" s="1">
        <v>6</v>
      </c>
      <c r="C247" s="1">
        <v>0</v>
      </c>
      <c r="D247" s="1">
        <v>0</v>
      </c>
      <c r="E247" s="1">
        <v>-1050</v>
      </c>
      <c r="F247" s="1">
        <v>0</v>
      </c>
      <c r="G247" s="1">
        <v>0</v>
      </c>
      <c r="H247" s="1">
        <v>0</v>
      </c>
    </row>
    <row r="248" spans="2:8" ht="12.75">
      <c r="B248" s="1" t="s">
        <v>235</v>
      </c>
      <c r="C248" s="1">
        <v>0</v>
      </c>
      <c r="D248" s="1">
        <v>0</v>
      </c>
      <c r="E248" s="1">
        <v>-2637.998</v>
      </c>
      <c r="F248" s="1">
        <v>0</v>
      </c>
      <c r="G248" s="1">
        <v>0</v>
      </c>
      <c r="H248" s="1">
        <v>0</v>
      </c>
    </row>
    <row r="249" spans="2:8" ht="12.75">
      <c r="B249" s="1">
        <v>8</v>
      </c>
      <c r="C249" s="1">
        <v>0</v>
      </c>
      <c r="D249" s="1">
        <v>0</v>
      </c>
      <c r="E249" s="1">
        <v>-1050</v>
      </c>
      <c r="F249" s="1">
        <v>0</v>
      </c>
      <c r="G249" s="1">
        <v>0</v>
      </c>
      <c r="H249" s="1">
        <v>0</v>
      </c>
    </row>
    <row r="250" spans="2:8" ht="12.75">
      <c r="B250" s="1">
        <v>9</v>
      </c>
      <c r="C250" s="1">
        <v>0</v>
      </c>
      <c r="D250" s="1">
        <v>0</v>
      </c>
      <c r="E250" s="1">
        <v>0</v>
      </c>
      <c r="F250" s="1">
        <v>0</v>
      </c>
      <c r="G250" s="1">
        <v>0</v>
      </c>
      <c r="H250" s="1">
        <v>0</v>
      </c>
    </row>
    <row r="251" spans="2:8" ht="12.75">
      <c r="B251" s="1">
        <v>10</v>
      </c>
      <c r="C251" s="1">
        <v>0</v>
      </c>
      <c r="D251" s="1">
        <v>-91.048</v>
      </c>
      <c r="E251" s="1">
        <v>0</v>
      </c>
      <c r="F251" s="1">
        <v>-1.9766</v>
      </c>
      <c r="G251" s="1">
        <v>0</v>
      </c>
      <c r="H251" s="1">
        <v>0</v>
      </c>
    </row>
    <row r="252" spans="2:8" ht="12.75">
      <c r="B252" s="1">
        <v>11</v>
      </c>
      <c r="C252" s="1">
        <v>0</v>
      </c>
      <c r="D252" s="1">
        <v>-243.065859</v>
      </c>
      <c r="E252" s="1">
        <v>78.379337</v>
      </c>
      <c r="F252" s="1">
        <v>-8.6832</v>
      </c>
      <c r="G252" s="1">
        <v>0</v>
      </c>
      <c r="H252" s="1">
        <v>0</v>
      </c>
    </row>
    <row r="253" spans="2:8" ht="12.75">
      <c r="B253" s="1">
        <v>12</v>
      </c>
      <c r="C253" s="1">
        <v>0</v>
      </c>
      <c r="D253" s="1">
        <v>-93.493436</v>
      </c>
      <c r="E253" s="1">
        <v>70.857814</v>
      </c>
      <c r="F253" s="1">
        <v>29.9534</v>
      </c>
      <c r="G253" s="1">
        <v>0</v>
      </c>
      <c r="H253" s="1">
        <v>0</v>
      </c>
    </row>
    <row r="254" spans="2:8" ht="12.75">
      <c r="B254" s="1">
        <v>13</v>
      </c>
      <c r="C254" s="1">
        <v>0</v>
      </c>
      <c r="D254" s="1">
        <v>-200.09302</v>
      </c>
      <c r="E254" s="1">
        <v>-114.125371</v>
      </c>
      <c r="F254" s="1">
        <v>17.9434</v>
      </c>
      <c r="G254" s="1">
        <v>0</v>
      </c>
      <c r="H254" s="1">
        <v>0</v>
      </c>
    </row>
    <row r="255" spans="2:8" ht="12.75">
      <c r="B255" s="1">
        <v>14</v>
      </c>
      <c r="C255" s="1">
        <v>0</v>
      </c>
      <c r="D255" s="1">
        <v>-200.09302</v>
      </c>
      <c r="E255" s="1">
        <v>-114.125371</v>
      </c>
      <c r="F255" s="1">
        <v>17.9434</v>
      </c>
      <c r="G255" s="1">
        <v>0</v>
      </c>
      <c r="H255" s="1">
        <v>0</v>
      </c>
    </row>
    <row r="256" spans="2:8" ht="12.75">
      <c r="B256" s="1">
        <v>15</v>
      </c>
      <c r="C256" s="1">
        <v>0</v>
      </c>
      <c r="D256" s="1">
        <v>-200.09302</v>
      </c>
      <c r="E256" s="1">
        <v>-114.125371</v>
      </c>
      <c r="F256" s="1">
        <v>17.9434</v>
      </c>
      <c r="G256" s="1">
        <v>0</v>
      </c>
      <c r="H256" s="1">
        <v>0</v>
      </c>
    </row>
    <row r="257" spans="2:8" ht="12.75">
      <c r="B257" s="1">
        <v>16</v>
      </c>
      <c r="C257" s="1">
        <v>0</v>
      </c>
      <c r="D257" s="1">
        <v>-200.09302</v>
      </c>
      <c r="E257" s="1">
        <v>-114.125371</v>
      </c>
      <c r="F257" s="1">
        <v>5.9334</v>
      </c>
      <c r="G257" s="1">
        <v>0</v>
      </c>
      <c r="H257" s="1">
        <v>0</v>
      </c>
    </row>
    <row r="258" spans="2:8" ht="12.75">
      <c r="B258" s="1">
        <v>17</v>
      </c>
      <c r="C258" s="1">
        <v>0</v>
      </c>
      <c r="D258" s="1">
        <v>-179.687314</v>
      </c>
      <c r="E258" s="1">
        <v>82.217104</v>
      </c>
      <c r="F258" s="1">
        <v>15.1454</v>
      </c>
      <c r="G258" s="1">
        <v>0</v>
      </c>
      <c r="H258" s="1">
        <v>0</v>
      </c>
    </row>
    <row r="259" spans="2:8" ht="12.75">
      <c r="B259" s="1">
        <v>18</v>
      </c>
      <c r="C259" s="1">
        <v>0</v>
      </c>
      <c r="D259" s="1">
        <v>-179.687314</v>
      </c>
      <c r="E259" s="1">
        <v>82.217104</v>
      </c>
      <c r="F259" s="1">
        <v>24.3574</v>
      </c>
      <c r="G259" s="1">
        <v>0</v>
      </c>
      <c r="H259" s="1">
        <v>0</v>
      </c>
    </row>
    <row r="260" spans="2:8" ht="12.75">
      <c r="B260" s="1">
        <v>19</v>
      </c>
      <c r="C260" s="1">
        <v>0</v>
      </c>
      <c r="D260" s="1">
        <v>-259.533222</v>
      </c>
      <c r="E260" s="1">
        <v>-94.150668</v>
      </c>
      <c r="F260" s="1">
        <v>-8.5396</v>
      </c>
      <c r="G260" s="1">
        <v>0</v>
      </c>
      <c r="H260" s="1">
        <v>0</v>
      </c>
    </row>
    <row r="261" spans="2:8" ht="12.75">
      <c r="B261" s="1">
        <v>20</v>
      </c>
      <c r="C261" s="1">
        <v>0</v>
      </c>
      <c r="D261" s="1">
        <v>-259.533222</v>
      </c>
      <c r="E261" s="1">
        <v>-94.150668</v>
      </c>
      <c r="F261" s="1">
        <v>9.3574</v>
      </c>
      <c r="G261" s="1">
        <v>0</v>
      </c>
      <c r="H261" s="1">
        <v>0</v>
      </c>
    </row>
    <row r="262" spans="2:8" ht="12.75">
      <c r="B262" s="1">
        <v>21</v>
      </c>
      <c r="C262" s="1">
        <v>0</v>
      </c>
      <c r="D262" s="1">
        <v>-259.533222</v>
      </c>
      <c r="E262" s="1">
        <v>-94.150668</v>
      </c>
      <c r="F262" s="1">
        <v>-5.6426</v>
      </c>
      <c r="G262" s="1">
        <v>0</v>
      </c>
      <c r="H262" s="1">
        <v>0</v>
      </c>
    </row>
    <row r="263" spans="2:8" ht="12.75">
      <c r="B263" s="1">
        <v>22</v>
      </c>
      <c r="C263" s="1">
        <v>0</v>
      </c>
      <c r="D263" s="1">
        <v>-279.482925</v>
      </c>
      <c r="E263" s="1">
        <v>107.766194</v>
      </c>
      <c r="F263" s="1">
        <v>16.6474</v>
      </c>
      <c r="G263" s="1">
        <v>0</v>
      </c>
      <c r="H263" s="1">
        <v>0</v>
      </c>
    </row>
    <row r="264" spans="2:8" ht="12.75">
      <c r="B264" s="1">
        <v>23</v>
      </c>
      <c r="C264" s="1">
        <v>0</v>
      </c>
      <c r="D264" s="1">
        <v>-279.482925</v>
      </c>
      <c r="E264" s="1">
        <v>107.766194</v>
      </c>
      <c r="F264" s="1">
        <v>38.9374</v>
      </c>
      <c r="G264" s="1">
        <v>0</v>
      </c>
      <c r="H264" s="1">
        <v>0</v>
      </c>
    </row>
    <row r="265" spans="2:8" ht="12.75">
      <c r="B265" s="1">
        <v>24</v>
      </c>
      <c r="C265" s="1">
        <v>0</v>
      </c>
      <c r="D265" s="1">
        <v>-397.635459</v>
      </c>
      <c r="E265" s="1">
        <v>-38.466424</v>
      </c>
      <c r="F265" s="1">
        <v>-4.1106</v>
      </c>
      <c r="G265" s="1">
        <v>0</v>
      </c>
      <c r="H265" s="1">
        <v>0</v>
      </c>
    </row>
    <row r="266" spans="2:8" ht="12.75">
      <c r="B266" s="1">
        <v>25</v>
      </c>
      <c r="C266" s="1">
        <v>0</v>
      </c>
      <c r="D266" s="1">
        <v>-397.635459</v>
      </c>
      <c r="E266" s="1">
        <v>-38.466424</v>
      </c>
      <c r="F266" s="1">
        <v>-47.1586</v>
      </c>
      <c r="G266" s="1">
        <v>0</v>
      </c>
      <c r="H266" s="1">
        <v>0</v>
      </c>
    </row>
    <row r="267" spans="2:8" ht="12.75">
      <c r="B267" s="1">
        <v>26</v>
      </c>
      <c r="C267" s="1">
        <v>0</v>
      </c>
      <c r="D267" s="1">
        <v>-448.96217</v>
      </c>
      <c r="E267" s="1">
        <v>9.131566</v>
      </c>
      <c r="F267" s="1">
        <v>-47.1586</v>
      </c>
      <c r="G267" s="1">
        <v>0</v>
      </c>
      <c r="H267" s="1">
        <v>0</v>
      </c>
    </row>
    <row r="268" spans="2:8" ht="12.75">
      <c r="B268" s="1">
        <v>27</v>
      </c>
      <c r="C268" s="1">
        <v>0</v>
      </c>
      <c r="D268" s="1">
        <v>-544.283205</v>
      </c>
      <c r="E268" s="1">
        <v>97.527835</v>
      </c>
      <c r="F268" s="1">
        <v>-27.1586</v>
      </c>
      <c r="G268" s="1">
        <v>0</v>
      </c>
      <c r="H268" s="1">
        <v>0</v>
      </c>
    </row>
    <row r="269" spans="2:8" ht="12.75">
      <c r="B269" s="1">
        <v>28</v>
      </c>
      <c r="C269" s="1">
        <v>0</v>
      </c>
      <c r="D269" s="1">
        <v>-544.283205</v>
      </c>
      <c r="E269" s="1">
        <v>97.527835</v>
      </c>
      <c r="F269" s="1">
        <v>-7.1586</v>
      </c>
      <c r="G269" s="1">
        <v>0</v>
      </c>
      <c r="H269" s="1">
        <v>0</v>
      </c>
    </row>
    <row r="270" spans="2:8" ht="12.75">
      <c r="B270" s="1">
        <v>29</v>
      </c>
      <c r="C270" s="1">
        <v>0</v>
      </c>
      <c r="D270" s="1">
        <v>-504.405979</v>
      </c>
      <c r="E270" s="1">
        <v>-219.977766</v>
      </c>
      <c r="F270" s="1">
        <v>-7.1586</v>
      </c>
      <c r="G270" s="1">
        <v>0</v>
      </c>
      <c r="H270" s="1">
        <v>0</v>
      </c>
    </row>
    <row r="271" spans="2:8" ht="12.75">
      <c r="B271" s="1">
        <v>30</v>
      </c>
      <c r="C271" s="1">
        <v>0</v>
      </c>
      <c r="D271" s="1">
        <v>-504.405979</v>
      </c>
      <c r="E271" s="1">
        <v>-219.977766</v>
      </c>
      <c r="F271" s="1">
        <v>-7.1586</v>
      </c>
      <c r="G271" s="1">
        <v>0</v>
      </c>
      <c r="H271" s="1">
        <v>0</v>
      </c>
    </row>
    <row r="272" spans="2:8" ht="12.75">
      <c r="B272" s="1">
        <v>31</v>
      </c>
      <c r="C272" s="1">
        <v>0</v>
      </c>
      <c r="D272" s="1">
        <v>-527.460001</v>
      </c>
      <c r="E272" s="1">
        <v>-36.419841</v>
      </c>
      <c r="F272" s="1">
        <v>-25.1586</v>
      </c>
      <c r="G272" s="1">
        <v>0</v>
      </c>
      <c r="H272" s="1">
        <v>0</v>
      </c>
    </row>
    <row r="273" spans="2:8" ht="12.75">
      <c r="B273" s="1">
        <v>32</v>
      </c>
      <c r="C273" s="1">
        <v>0</v>
      </c>
      <c r="D273" s="1">
        <v>-525.334374</v>
      </c>
      <c r="E273" s="1">
        <v>-40.945513</v>
      </c>
      <c r="F273" s="1">
        <v>-25.1586</v>
      </c>
      <c r="G273" s="1">
        <v>0</v>
      </c>
      <c r="H273" s="1">
        <v>0</v>
      </c>
    </row>
    <row r="274" spans="2:8" ht="12.75">
      <c r="B274" s="1">
        <v>33</v>
      </c>
      <c r="C274" s="1">
        <v>0</v>
      </c>
      <c r="D274" s="1">
        <v>-529.585628</v>
      </c>
      <c r="E274" s="1">
        <v>-31.894168</v>
      </c>
      <c r="F274" s="1">
        <v>-25.1586</v>
      </c>
      <c r="G274" s="1">
        <v>0</v>
      </c>
      <c r="H274" s="1">
        <v>0</v>
      </c>
    </row>
    <row r="275" spans="2:8" ht="12.75">
      <c r="B275" s="1">
        <v>34</v>
      </c>
      <c r="C275" s="1">
        <v>0</v>
      </c>
      <c r="D275" s="1">
        <v>-527.460001</v>
      </c>
      <c r="E275" s="1">
        <v>-36.419841</v>
      </c>
      <c r="F275" s="1">
        <v>-25.1586</v>
      </c>
      <c r="G275" s="1">
        <v>0</v>
      </c>
      <c r="H275" s="1">
        <v>0</v>
      </c>
    </row>
    <row r="276" spans="2:8" ht="12.75">
      <c r="B276" s="1">
        <v>35</v>
      </c>
      <c r="C276" s="1">
        <v>0</v>
      </c>
      <c r="D276" s="1">
        <v>-527.460001</v>
      </c>
      <c r="E276" s="1">
        <v>-36.419841</v>
      </c>
      <c r="F276" s="1">
        <v>-43.1586</v>
      </c>
      <c r="G276" s="1">
        <v>0</v>
      </c>
      <c r="H276" s="1">
        <v>0</v>
      </c>
    </row>
    <row r="277" spans="2:8" ht="12.75">
      <c r="B277" s="1">
        <v>36</v>
      </c>
      <c r="C277" s="4">
        <v>1.82E-14</v>
      </c>
      <c r="D277" s="1">
        <v>-619.802728</v>
      </c>
      <c r="E277" s="1">
        <v>62.057673</v>
      </c>
      <c r="F277" s="1">
        <v>-43.1586</v>
      </c>
      <c r="G277" s="1">
        <v>-45</v>
      </c>
      <c r="H277" s="1">
        <v>0</v>
      </c>
    </row>
    <row r="278" spans="2:8" ht="12.75">
      <c r="B278" s="1">
        <v>37</v>
      </c>
      <c r="C278" s="4">
        <v>-3.85E-15</v>
      </c>
      <c r="D278" s="1">
        <v>-619.802728</v>
      </c>
      <c r="E278" s="1">
        <v>62.057673</v>
      </c>
      <c r="F278" s="1">
        <v>0</v>
      </c>
      <c r="G278" s="1">
        <v>-90</v>
      </c>
      <c r="H278" s="1">
        <v>0</v>
      </c>
    </row>
    <row r="279" spans="2:8" ht="12.75">
      <c r="B279" s="1">
        <v>38</v>
      </c>
      <c r="C279" s="1">
        <v>-50</v>
      </c>
      <c r="D279" s="1">
        <v>-619.802728</v>
      </c>
      <c r="E279" s="1">
        <v>62.057673</v>
      </c>
      <c r="F279" s="1">
        <v>0</v>
      </c>
      <c r="G279" s="1">
        <v>-90</v>
      </c>
      <c r="H279" s="1">
        <v>0</v>
      </c>
    </row>
    <row r="280" spans="2:8" ht="12.75">
      <c r="B280" s="1">
        <v>39</v>
      </c>
      <c r="C280" s="1">
        <v>-34.14</v>
      </c>
      <c r="D280" s="1">
        <v>-619.802728</v>
      </c>
      <c r="E280" s="1">
        <v>62.057673</v>
      </c>
      <c r="F280" s="1">
        <v>0</v>
      </c>
      <c r="G280" s="1">
        <v>-90</v>
      </c>
      <c r="H280" s="1">
        <v>0</v>
      </c>
    </row>
    <row r="281" spans="2:8" ht="12.75">
      <c r="B281" s="1">
        <v>40</v>
      </c>
      <c r="C281" s="1">
        <v>-29.14</v>
      </c>
      <c r="D281" s="1">
        <v>-619.802728</v>
      </c>
      <c r="E281" s="1">
        <v>62.057673</v>
      </c>
      <c r="F281" s="1">
        <v>0</v>
      </c>
      <c r="G281" s="1">
        <v>-90</v>
      </c>
      <c r="H281" s="1">
        <v>0</v>
      </c>
    </row>
    <row r="282" spans="2:8" ht="12.75">
      <c r="B282" s="1">
        <v>41</v>
      </c>
      <c r="C282" s="1">
        <v>-34.14</v>
      </c>
      <c r="D282" s="1">
        <v>-619.802728</v>
      </c>
      <c r="E282" s="1">
        <v>62.057673</v>
      </c>
      <c r="F282" s="1">
        <v>0</v>
      </c>
      <c r="G282" s="1">
        <v>-90</v>
      </c>
      <c r="H282" s="1">
        <v>0</v>
      </c>
    </row>
    <row r="283" spans="2:8" ht="12.75">
      <c r="B283" s="1">
        <v>42</v>
      </c>
      <c r="C283" s="4">
        <v>1.82E-14</v>
      </c>
      <c r="D283" s="1">
        <v>-619.802728</v>
      </c>
      <c r="E283" s="1">
        <v>62.057673</v>
      </c>
      <c r="F283" s="1">
        <v>-43.1586</v>
      </c>
      <c r="G283" s="1">
        <v>-45</v>
      </c>
      <c r="H283" s="1">
        <v>0</v>
      </c>
    </row>
    <row r="284" spans="2:8" ht="12.75">
      <c r="B284" s="1">
        <v>43</v>
      </c>
      <c r="C284" s="4">
        <v>-3.44E-15</v>
      </c>
      <c r="D284" s="1">
        <v>-619.802728</v>
      </c>
      <c r="E284" s="1">
        <v>62.057673</v>
      </c>
      <c r="F284" s="1">
        <v>-43.1586</v>
      </c>
      <c r="G284" s="1">
        <v>0</v>
      </c>
      <c r="H284" s="1">
        <v>0</v>
      </c>
    </row>
    <row r="285" spans="2:8" ht="12.75">
      <c r="B285" s="1">
        <v>44</v>
      </c>
      <c r="C285" s="4">
        <v>2.02E-15</v>
      </c>
      <c r="D285" s="1">
        <v>-527.460001</v>
      </c>
      <c r="E285" s="1">
        <v>-36.419841</v>
      </c>
      <c r="F285" s="1">
        <v>-25.1586</v>
      </c>
      <c r="G285" s="1">
        <v>0</v>
      </c>
      <c r="H285" s="1">
        <v>0</v>
      </c>
    </row>
    <row r="286" spans="2:8" ht="12.75">
      <c r="B286" s="1">
        <v>45</v>
      </c>
      <c r="C286" s="4">
        <v>2.02E-15</v>
      </c>
      <c r="D286" s="1">
        <v>-527.460001</v>
      </c>
      <c r="E286" s="1">
        <v>-36.419841</v>
      </c>
      <c r="F286" s="1">
        <v>-7.1586</v>
      </c>
      <c r="G286" s="1">
        <v>0</v>
      </c>
      <c r="H286" s="1">
        <v>0</v>
      </c>
    </row>
    <row r="287" spans="2:8" ht="12.75">
      <c r="B287" s="1">
        <v>46</v>
      </c>
      <c r="C287" s="4">
        <v>7.15E-15</v>
      </c>
      <c r="D287" s="1">
        <v>-514.998367</v>
      </c>
      <c r="E287" s="1">
        <v>-135.640341</v>
      </c>
      <c r="F287" s="1">
        <v>-7.1586</v>
      </c>
      <c r="G287" s="1">
        <v>25</v>
      </c>
      <c r="H287" s="1">
        <v>0</v>
      </c>
    </row>
    <row r="288" spans="2:8" ht="12.75">
      <c r="B288" s="1">
        <v>47</v>
      </c>
      <c r="C288" s="1">
        <v>2.113091</v>
      </c>
      <c r="D288" s="1">
        <v>-514.433664</v>
      </c>
      <c r="E288" s="1">
        <v>-140.136557</v>
      </c>
      <c r="F288" s="1">
        <v>-7.1586</v>
      </c>
      <c r="G288" s="1">
        <v>25</v>
      </c>
      <c r="H288" s="1">
        <v>0</v>
      </c>
    </row>
    <row r="289" spans="2:8" ht="12.75">
      <c r="B289" s="1">
        <v>48</v>
      </c>
      <c r="C289" s="1">
        <v>-2.113091</v>
      </c>
      <c r="D289" s="1">
        <v>-515.563071</v>
      </c>
      <c r="E289" s="1">
        <v>-131.144126</v>
      </c>
      <c r="F289" s="1">
        <v>-7.1586</v>
      </c>
      <c r="G289" s="1">
        <v>25</v>
      </c>
      <c r="H289" s="1">
        <v>0</v>
      </c>
    </row>
    <row r="290" spans="2:8" ht="12.75">
      <c r="B290" s="1">
        <v>49</v>
      </c>
      <c r="C290" s="4">
        <v>7.15E-15</v>
      </c>
      <c r="D290" s="1">
        <v>-514.998367</v>
      </c>
      <c r="E290" s="1">
        <v>-135.640341</v>
      </c>
      <c r="F290" s="1">
        <v>-7.1586</v>
      </c>
      <c r="G290" s="1">
        <v>25</v>
      </c>
      <c r="H290" s="1">
        <v>0</v>
      </c>
    </row>
    <row r="291" spans="2:8" ht="12.75">
      <c r="B291" s="1">
        <v>50</v>
      </c>
      <c r="C291" s="1">
        <v>0</v>
      </c>
      <c r="D291" s="1">
        <v>-514.998367</v>
      </c>
      <c r="E291" s="1">
        <v>-135.640341</v>
      </c>
      <c r="F291" s="1">
        <v>-7.1586</v>
      </c>
      <c r="G291" s="1">
        <v>50</v>
      </c>
      <c r="H291" s="1">
        <v>0</v>
      </c>
    </row>
    <row r="292" spans="2:8" ht="12.75">
      <c r="B292" s="1">
        <v>51</v>
      </c>
      <c r="C292" s="1">
        <v>-65.113778</v>
      </c>
      <c r="D292" s="1">
        <v>-521.807023</v>
      </c>
      <c r="E292" s="1">
        <v>-81.429289</v>
      </c>
      <c r="F292" s="1">
        <v>-7.1586</v>
      </c>
      <c r="G292" s="1">
        <v>50</v>
      </c>
      <c r="H292" s="1">
        <v>0</v>
      </c>
    </row>
    <row r="293" spans="2:8" ht="12.75">
      <c r="B293" s="1">
        <v>52</v>
      </c>
      <c r="C293" s="1">
        <v>-58.6024</v>
      </c>
      <c r="D293" s="1">
        <v>-521.126158</v>
      </c>
      <c r="E293" s="1">
        <v>-86.850394</v>
      </c>
      <c r="F293" s="1">
        <v>-7.1586</v>
      </c>
      <c r="G293" s="1">
        <v>50</v>
      </c>
      <c r="H293" s="1">
        <v>0</v>
      </c>
    </row>
    <row r="294" spans="2:8" ht="12.75">
      <c r="B294" s="1">
        <v>53</v>
      </c>
      <c r="C294" s="1">
        <v>-54.772178</v>
      </c>
      <c r="D294" s="1">
        <v>-520.725649</v>
      </c>
      <c r="E294" s="1">
        <v>-90.03928</v>
      </c>
      <c r="F294" s="1">
        <v>-7.1586</v>
      </c>
      <c r="G294" s="1">
        <v>50</v>
      </c>
      <c r="H294" s="1">
        <v>0</v>
      </c>
    </row>
    <row r="295" spans="2:8" ht="12.75">
      <c r="B295" s="1">
        <v>54</v>
      </c>
      <c r="C295" s="1">
        <v>-58.6024</v>
      </c>
      <c r="D295" s="1">
        <v>-521.126158</v>
      </c>
      <c r="E295" s="1">
        <v>-86.850394</v>
      </c>
      <c r="F295" s="1">
        <v>-7.1586</v>
      </c>
      <c r="G295" s="1">
        <v>50</v>
      </c>
      <c r="H295" s="1">
        <v>0</v>
      </c>
    </row>
    <row r="296" spans="2:8" ht="12.75">
      <c r="B296" s="1">
        <v>55</v>
      </c>
      <c r="C296" s="4">
        <v>-7.15E-15</v>
      </c>
      <c r="D296" s="1">
        <v>-514.998367</v>
      </c>
      <c r="E296" s="1">
        <v>-135.640341</v>
      </c>
      <c r="F296" s="1">
        <v>-7.1586</v>
      </c>
      <c r="G296" s="1">
        <v>25</v>
      </c>
      <c r="H296" s="1">
        <v>0</v>
      </c>
    </row>
    <row r="297" spans="2:8" ht="12.75">
      <c r="B297" s="1">
        <v>56</v>
      </c>
      <c r="C297" s="4">
        <v>-7.91E-15</v>
      </c>
      <c r="D297" s="1">
        <v>-514.998367</v>
      </c>
      <c r="E297" s="1">
        <v>-135.640341</v>
      </c>
      <c r="F297" s="1">
        <v>-7.1586</v>
      </c>
      <c r="G297" s="1">
        <v>0</v>
      </c>
      <c r="H297" s="1">
        <v>0</v>
      </c>
    </row>
    <row r="298" spans="2:8" ht="12.75">
      <c r="B298" s="1">
        <v>57</v>
      </c>
      <c r="C298" s="4">
        <v>-1.28E-14</v>
      </c>
      <c r="D298" s="1">
        <v>-509.515249</v>
      </c>
      <c r="E298" s="1">
        <v>-179.297361</v>
      </c>
      <c r="F298" s="1">
        <v>41.4214</v>
      </c>
      <c r="G298" s="1">
        <v>0</v>
      </c>
      <c r="H298" s="1">
        <v>0</v>
      </c>
    </row>
    <row r="299" spans="2:8" ht="12.75">
      <c r="B299" s="1">
        <v>58</v>
      </c>
      <c r="C299" s="4">
        <v>-1.28E-14</v>
      </c>
      <c r="D299" s="1">
        <v>-509.515249</v>
      </c>
      <c r="E299" s="1">
        <v>-179.297361</v>
      </c>
      <c r="F299" s="1">
        <v>90.0014</v>
      </c>
      <c r="G299" s="1">
        <v>0</v>
      </c>
      <c r="H299" s="1">
        <v>0</v>
      </c>
    </row>
    <row r="300" spans="2:8" ht="12.75">
      <c r="B300" s="1">
        <v>59</v>
      </c>
      <c r="C300" s="4">
        <v>-1.34E-14</v>
      </c>
      <c r="D300" s="1">
        <v>-468.515249</v>
      </c>
      <c r="E300" s="1">
        <v>-179.298363</v>
      </c>
      <c r="F300" s="1">
        <v>90.0014</v>
      </c>
      <c r="G300" s="1">
        <v>0</v>
      </c>
      <c r="H300" s="1">
        <v>0</v>
      </c>
    </row>
    <row r="301" spans="2:8" ht="12.75">
      <c r="B301" s="1">
        <v>60</v>
      </c>
      <c r="C301" s="4">
        <v>-1.33E-14</v>
      </c>
      <c r="D301" s="1">
        <v>-477.505249</v>
      </c>
      <c r="E301" s="1">
        <v>-179.298143</v>
      </c>
      <c r="F301" s="1">
        <v>90.0014</v>
      </c>
      <c r="G301" s="1">
        <v>0</v>
      </c>
      <c r="H301" s="1">
        <v>0</v>
      </c>
    </row>
    <row r="302" spans="2:8" ht="12.75">
      <c r="B302" s="1">
        <v>61</v>
      </c>
      <c r="C302" s="4">
        <v>-1.32E-14</v>
      </c>
      <c r="D302" s="1">
        <v>-482.505249</v>
      </c>
      <c r="E302" s="1">
        <v>-179.298021</v>
      </c>
      <c r="F302" s="1">
        <v>90.0014</v>
      </c>
      <c r="G302" s="1">
        <v>0</v>
      </c>
      <c r="H302" s="1">
        <v>0</v>
      </c>
    </row>
    <row r="303" spans="2:8" ht="12.75">
      <c r="B303" s="1">
        <v>62</v>
      </c>
      <c r="C303" s="4">
        <v>-1.33E-14</v>
      </c>
      <c r="D303" s="1">
        <v>-477.505249</v>
      </c>
      <c r="E303" s="1">
        <v>-179.298143</v>
      </c>
      <c r="F303" s="1">
        <v>90.0014</v>
      </c>
      <c r="G303" s="1">
        <v>0</v>
      </c>
      <c r="H303" s="1">
        <v>0</v>
      </c>
    </row>
    <row r="304" spans="2:8" ht="12.75">
      <c r="B304" s="1">
        <v>63</v>
      </c>
      <c r="C304" s="4">
        <v>-1.34E-14</v>
      </c>
      <c r="D304" s="1">
        <v>-468.515249</v>
      </c>
      <c r="E304" s="1">
        <v>-179.298363</v>
      </c>
      <c r="F304" s="1">
        <v>90.0014</v>
      </c>
      <c r="G304" s="1">
        <v>0</v>
      </c>
      <c r="H304" s="1">
        <v>0</v>
      </c>
    </row>
    <row r="306" spans="2:13" ht="12.75">
      <c r="B306" s="1" t="s">
        <v>342</v>
      </c>
      <c r="C306" s="1" t="s">
        <v>343</v>
      </c>
      <c r="D306" s="1" t="s">
        <v>344</v>
      </c>
      <c r="E306" s="1" t="s">
        <v>345</v>
      </c>
      <c r="F306" s="1" t="s">
        <v>346</v>
      </c>
      <c r="G306" s="1" t="s">
        <v>347</v>
      </c>
      <c r="H306" s="1" t="s">
        <v>348</v>
      </c>
      <c r="I306" s="1" t="s">
        <v>349</v>
      </c>
      <c r="J306" s="1" t="s">
        <v>350</v>
      </c>
      <c r="K306" s="1" t="s">
        <v>351</v>
      </c>
      <c r="L306" s="1" t="s">
        <v>352</v>
      </c>
      <c r="M306" s="1" t="s">
        <v>353</v>
      </c>
    </row>
    <row r="307" ht="12.75">
      <c r="B307" s="1" t="s">
        <v>39</v>
      </c>
    </row>
    <row r="308" ht="12.75">
      <c r="B308" s="1" t="s">
        <v>39</v>
      </c>
    </row>
    <row r="309" spans="2:4" ht="12.75">
      <c r="B309" s="1" t="s">
        <v>39</v>
      </c>
      <c r="C309" s="1" t="s">
        <v>85</v>
      </c>
      <c r="D309" s="1" t="s">
        <v>86</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M318"/>
  <sheetViews>
    <sheetView workbookViewId="0" topLeftCell="A1">
      <selection activeCell="F54" sqref="F54"/>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474</v>
      </c>
      <c r="J4" s="1" t="s">
        <v>475</v>
      </c>
    </row>
    <row r="6" spans="2:3" ht="12.75">
      <c r="B6" s="1" t="s">
        <v>39</v>
      </c>
      <c r="C6" s="1" t="s">
        <v>48</v>
      </c>
    </row>
    <row r="7" spans="2:3" ht="12.75">
      <c r="B7" s="2">
        <v>36971</v>
      </c>
      <c r="C7" s="3">
        <v>0.513125</v>
      </c>
    </row>
    <row r="8" ht="12.75">
      <c r="B8" s="1" t="s">
        <v>39</v>
      </c>
    </row>
    <row r="9" spans="2:10" ht="12.75">
      <c r="B9" s="1" t="s">
        <v>39</v>
      </c>
      <c r="C9" s="1" t="s">
        <v>161</v>
      </c>
      <c r="D9" s="1">
        <v>2</v>
      </c>
      <c r="E9" s="1">
        <v>0</v>
      </c>
      <c r="F9" s="1">
        <v>0</v>
      </c>
      <c r="G9" s="1">
        <v>0</v>
      </c>
      <c r="H9" s="1" t="s">
        <v>50</v>
      </c>
      <c r="I9" s="1">
        <v>0</v>
      </c>
      <c r="J9" s="1" t="s">
        <v>51</v>
      </c>
    </row>
    <row r="10" spans="2:9" ht="12.75">
      <c r="B10" s="1" t="s">
        <v>161</v>
      </c>
      <c r="C10" s="1">
        <v>2</v>
      </c>
      <c r="D10" s="1">
        <v>0</v>
      </c>
      <c r="E10" s="1">
        <v>0</v>
      </c>
      <c r="F10" s="1">
        <v>0</v>
      </c>
      <c r="G10" s="1" t="s">
        <v>50</v>
      </c>
      <c r="H10" s="1">
        <v>0</v>
      </c>
      <c r="I10" s="1" t="s">
        <v>51</v>
      </c>
    </row>
    <row r="11" spans="2:5" ht="12.75">
      <c r="B11" s="1" t="s">
        <v>39</v>
      </c>
      <c r="C11" s="1" t="s">
        <v>162</v>
      </c>
      <c r="D11" s="1" t="s">
        <v>163</v>
      </c>
      <c r="E11" s="1" t="s">
        <v>51</v>
      </c>
    </row>
    <row r="13" spans="2:8" ht="12.75">
      <c r="B13" s="1" t="s">
        <v>44</v>
      </c>
      <c r="C13" s="1" t="s">
        <v>46</v>
      </c>
      <c r="D13" s="1" t="s">
        <v>474</v>
      </c>
      <c r="E13" s="1" t="s">
        <v>475</v>
      </c>
      <c r="F13" s="1">
        <v>243</v>
      </c>
      <c r="G13" s="2">
        <v>36971</v>
      </c>
      <c r="H13" s="3">
        <v>0.513125</v>
      </c>
    </row>
    <row r="14" spans="2:3" ht="12.75">
      <c r="B14" s="1" t="s">
        <v>164</v>
      </c>
      <c r="C14" s="1" t="s">
        <v>165</v>
      </c>
    </row>
    <row r="16" spans="2:3" ht="12.75">
      <c r="B16" s="1" t="s">
        <v>59</v>
      </c>
      <c r="C16" s="1" t="s">
        <v>166</v>
      </c>
    </row>
    <row r="17" ht="12.75">
      <c r="B17" s="1" t="s">
        <v>167</v>
      </c>
    </row>
    <row r="18" spans="2:9" ht="12.75">
      <c r="B18" s="1" t="s">
        <v>64</v>
      </c>
      <c r="C18" s="1" t="s">
        <v>168</v>
      </c>
      <c r="D18" s="1" t="s">
        <v>169</v>
      </c>
      <c r="E18" s="1" t="s">
        <v>170</v>
      </c>
      <c r="F18" s="1" t="s">
        <v>171</v>
      </c>
      <c r="G18" s="1" t="s">
        <v>172</v>
      </c>
      <c r="H18" s="1" t="s">
        <v>173</v>
      </c>
      <c r="I18" s="1">
        <v>45846.389</v>
      </c>
    </row>
    <row r="19" spans="2:9" ht="12.75">
      <c r="B19" s="1" t="s">
        <v>64</v>
      </c>
      <c r="C19" s="1" t="s">
        <v>65</v>
      </c>
      <c r="D19" s="1" t="s">
        <v>174</v>
      </c>
      <c r="E19" s="1" t="s">
        <v>170</v>
      </c>
      <c r="F19" s="1" t="s">
        <v>175</v>
      </c>
      <c r="G19" s="1" t="s">
        <v>171</v>
      </c>
      <c r="H19" s="1" t="s">
        <v>172</v>
      </c>
      <c r="I19" s="1">
        <v>133.6632</v>
      </c>
    </row>
    <row r="20" spans="2:10" ht="12.75">
      <c r="B20" s="1" t="s">
        <v>176</v>
      </c>
      <c r="C20" s="1" t="s">
        <v>55</v>
      </c>
      <c r="D20" s="1" t="s">
        <v>65</v>
      </c>
      <c r="E20" s="1" t="s">
        <v>177</v>
      </c>
      <c r="F20" s="1">
        <v>1641.705</v>
      </c>
      <c r="G20" s="1" t="s">
        <v>178</v>
      </c>
      <c r="H20" s="1" t="s">
        <v>168</v>
      </c>
      <c r="I20" s="1" t="s">
        <v>179</v>
      </c>
      <c r="J20" s="1">
        <v>0</v>
      </c>
    </row>
    <row r="21" spans="2:10" ht="12.75">
      <c r="B21" s="1" t="s">
        <v>176</v>
      </c>
      <c r="C21" s="1" t="s">
        <v>55</v>
      </c>
      <c r="D21" s="1" t="s">
        <v>180</v>
      </c>
      <c r="E21" s="1" t="s">
        <v>181</v>
      </c>
      <c r="F21" s="1">
        <v>0</v>
      </c>
      <c r="G21" s="1" t="s">
        <v>182</v>
      </c>
      <c r="H21" s="1" t="s">
        <v>172</v>
      </c>
      <c r="I21" s="1" t="s">
        <v>183</v>
      </c>
      <c r="J21" s="1">
        <v>1154.012</v>
      </c>
    </row>
    <row r="22" spans="2:9" ht="12.75">
      <c r="B22" s="1" t="s">
        <v>184</v>
      </c>
      <c r="C22" s="1" t="s">
        <v>55</v>
      </c>
      <c r="D22" s="1" t="s">
        <v>65</v>
      </c>
      <c r="E22" s="1" t="s">
        <v>185</v>
      </c>
      <c r="F22" s="1">
        <v>-4.989</v>
      </c>
      <c r="G22" s="1" t="s">
        <v>186</v>
      </c>
      <c r="H22" s="1" t="s">
        <v>187</v>
      </c>
      <c r="I22" s="1">
        <v>13.963</v>
      </c>
    </row>
    <row r="23" spans="2:10" ht="12.75">
      <c r="B23" s="1" t="s">
        <v>184</v>
      </c>
      <c r="C23" s="1" t="s">
        <v>55</v>
      </c>
      <c r="D23" s="1" t="s">
        <v>180</v>
      </c>
      <c r="E23" s="1" t="s">
        <v>188</v>
      </c>
      <c r="F23" s="1">
        <v>0.0167</v>
      </c>
      <c r="G23" s="1" t="s">
        <v>189</v>
      </c>
      <c r="H23" s="1" t="s">
        <v>178</v>
      </c>
      <c r="I23" s="1" t="s">
        <v>190</v>
      </c>
      <c r="J23" s="1">
        <v>5.6669</v>
      </c>
    </row>
    <row r="24" spans="2:9" ht="12.75">
      <c r="B24" s="1" t="s">
        <v>191</v>
      </c>
      <c r="C24" s="1" t="s">
        <v>69</v>
      </c>
      <c r="D24" s="1" t="s">
        <v>192</v>
      </c>
      <c r="E24" s="1">
        <v>1641.705</v>
      </c>
      <c r="F24" s="1" t="s">
        <v>193</v>
      </c>
      <c r="G24" s="1" t="s">
        <v>69</v>
      </c>
      <c r="H24" s="1" t="s">
        <v>192</v>
      </c>
      <c r="I24" s="1">
        <v>8.3211</v>
      </c>
    </row>
    <row r="25" spans="2:9" ht="12.75">
      <c r="B25" s="1" t="s">
        <v>191</v>
      </c>
      <c r="C25" s="1" t="s">
        <v>69</v>
      </c>
      <c r="D25" s="1" t="s">
        <v>194</v>
      </c>
      <c r="E25" s="1">
        <v>17150.7042</v>
      </c>
      <c r="F25" s="1" t="s">
        <v>193</v>
      </c>
      <c r="G25" s="1" t="s">
        <v>69</v>
      </c>
      <c r="H25" s="1" t="s">
        <v>194</v>
      </c>
      <c r="I25" s="1">
        <v>-98.741</v>
      </c>
    </row>
    <row r="27" spans="2:5" ht="12.75">
      <c r="B27" s="1" t="s">
        <v>195</v>
      </c>
      <c r="C27" s="1" t="s">
        <v>65</v>
      </c>
      <c r="D27" s="1" t="s">
        <v>196</v>
      </c>
      <c r="E27" s="1" t="s">
        <v>170</v>
      </c>
    </row>
    <row r="28" spans="2:11" ht="12.75">
      <c r="B28" s="1" t="s">
        <v>197</v>
      </c>
      <c r="C28" s="1" t="s">
        <v>55</v>
      </c>
      <c r="D28" s="1" t="s">
        <v>65</v>
      </c>
      <c r="E28" s="1" t="s">
        <v>198</v>
      </c>
      <c r="F28" s="1">
        <v>1641.705</v>
      </c>
      <c r="G28" s="1" t="s">
        <v>199</v>
      </c>
      <c r="H28" s="1" t="s">
        <v>55</v>
      </c>
      <c r="I28" s="1" t="s">
        <v>200</v>
      </c>
      <c r="J28" s="1" t="s">
        <v>201</v>
      </c>
      <c r="K28" s="1">
        <v>-4.989</v>
      </c>
    </row>
    <row r="29" spans="2:10" ht="12.75">
      <c r="B29" s="1" t="s">
        <v>197</v>
      </c>
      <c r="C29" s="1" t="s">
        <v>55</v>
      </c>
      <c r="D29" s="1" t="s">
        <v>180</v>
      </c>
      <c r="E29" s="1" t="s">
        <v>202</v>
      </c>
      <c r="F29" s="1">
        <v>0</v>
      </c>
      <c r="G29" s="1" t="s">
        <v>199</v>
      </c>
      <c r="H29" s="1" t="s">
        <v>55</v>
      </c>
      <c r="I29" s="1" t="s">
        <v>203</v>
      </c>
      <c r="J29" s="1">
        <v>0.0167</v>
      </c>
    </row>
    <row r="31" spans="2:8" ht="12.75">
      <c r="B31" s="1" t="s">
        <v>204</v>
      </c>
      <c r="C31" s="1" t="s">
        <v>205</v>
      </c>
      <c r="D31" s="1">
        <v>200</v>
      </c>
      <c r="E31" s="1">
        <v>400</v>
      </c>
      <c r="F31" s="1">
        <v>600</v>
      </c>
      <c r="G31" s="1">
        <v>250</v>
      </c>
      <c r="H31" s="1">
        <v>0.6328</v>
      </c>
    </row>
    <row r="32" spans="2:7" ht="12.75">
      <c r="B32" s="1" t="s">
        <v>206</v>
      </c>
      <c r="C32" s="1">
        <v>1</v>
      </c>
      <c r="D32" s="1">
        <v>1</v>
      </c>
      <c r="E32" s="1">
        <v>1</v>
      </c>
      <c r="F32" s="1">
        <v>1</v>
      </c>
      <c r="G32" s="1">
        <v>1</v>
      </c>
    </row>
    <row r="33" spans="2:8" ht="12.75">
      <c r="B33" s="1" t="s">
        <v>73</v>
      </c>
      <c r="C33" s="1" t="s">
        <v>207</v>
      </c>
      <c r="D33" s="1">
        <v>2</v>
      </c>
      <c r="E33" s="1">
        <v>1</v>
      </c>
      <c r="F33" s="1">
        <v>3</v>
      </c>
      <c r="G33" s="1">
        <v>4</v>
      </c>
      <c r="H33" s="1">
        <v>5</v>
      </c>
    </row>
    <row r="34" spans="2:3" ht="12.75">
      <c r="B34" s="1" t="s">
        <v>208</v>
      </c>
      <c r="C34" s="1" t="s">
        <v>209</v>
      </c>
    </row>
    <row r="35" spans="2:8" ht="12.75">
      <c r="B35" s="1" t="s">
        <v>210</v>
      </c>
      <c r="C35" s="1" t="s">
        <v>211</v>
      </c>
      <c r="D35" s="1" t="s">
        <v>61</v>
      </c>
      <c r="E35" s="1" t="s">
        <v>212</v>
      </c>
      <c r="F35" s="1">
        <v>7</v>
      </c>
      <c r="G35" s="1" t="s">
        <v>192</v>
      </c>
      <c r="H35" s="1">
        <v>155.17235</v>
      </c>
    </row>
    <row r="36" spans="2:5" ht="12.75">
      <c r="B36" s="1" t="s">
        <v>213</v>
      </c>
      <c r="C36" s="1" t="s">
        <v>69</v>
      </c>
      <c r="D36" s="1" t="s">
        <v>214</v>
      </c>
      <c r="E36" s="1" t="s">
        <v>215</v>
      </c>
    </row>
    <row r="37" spans="2:4" ht="12.75">
      <c r="B37" s="1" t="s">
        <v>476</v>
      </c>
      <c r="C37" s="1" t="s">
        <v>53</v>
      </c>
      <c r="D37" s="1" t="s">
        <v>215</v>
      </c>
    </row>
    <row r="38" spans="2:4" ht="12.75">
      <c r="B38" s="1" t="s">
        <v>171</v>
      </c>
      <c r="C38" s="1" t="s">
        <v>216</v>
      </c>
      <c r="D38" s="1" t="s">
        <v>215</v>
      </c>
    </row>
    <row r="39" spans="2:3" ht="12.75">
      <c r="B39" s="1" t="s">
        <v>217</v>
      </c>
      <c r="C39" s="4">
        <v>-1.95E-08</v>
      </c>
    </row>
    <row r="40" spans="2:4" ht="12.75">
      <c r="B40" s="1" t="s">
        <v>52</v>
      </c>
      <c r="C40" s="1" t="s">
        <v>214</v>
      </c>
      <c r="D40" s="1" t="s">
        <v>215</v>
      </c>
    </row>
    <row r="41" spans="2:5" ht="12.75">
      <c r="B41" s="1" t="s">
        <v>218</v>
      </c>
      <c r="C41" s="1" t="s">
        <v>214</v>
      </c>
      <c r="D41" s="1" t="s">
        <v>219</v>
      </c>
      <c r="E41" s="1" t="s">
        <v>220</v>
      </c>
    </row>
    <row r="42" spans="2:6" ht="12.75">
      <c r="B42" s="1" t="s">
        <v>221</v>
      </c>
      <c r="C42" s="1" t="s">
        <v>222</v>
      </c>
      <c r="D42" s="1" t="s">
        <v>223</v>
      </c>
      <c r="E42" s="1" t="s">
        <v>224</v>
      </c>
      <c r="F42" s="1" t="s">
        <v>225</v>
      </c>
    </row>
    <row r="44" spans="2:3" ht="12.75">
      <c r="B44" s="1" t="s">
        <v>61</v>
      </c>
      <c r="C44" s="1" t="s">
        <v>56</v>
      </c>
    </row>
    <row r="45" ht="12.75">
      <c r="B45" s="1" t="s">
        <v>167</v>
      </c>
    </row>
    <row r="46" spans="2:7" ht="12.75">
      <c r="B46" s="1" t="s">
        <v>50</v>
      </c>
      <c r="C46" s="1" t="s">
        <v>226</v>
      </c>
      <c r="D46" s="1" t="s">
        <v>227</v>
      </c>
      <c r="E46" s="1" t="s">
        <v>228</v>
      </c>
      <c r="F46" s="1" t="s">
        <v>229</v>
      </c>
      <c r="G46" s="1" t="s">
        <v>230</v>
      </c>
    </row>
    <row r="47" ht="12.75">
      <c r="B47" s="1" t="s">
        <v>167</v>
      </c>
    </row>
    <row r="48" spans="2:5" ht="12.75">
      <c r="B48" s="1">
        <v>0</v>
      </c>
      <c r="C48" s="1" t="s">
        <v>170</v>
      </c>
      <c r="D48" s="1" t="s">
        <v>170</v>
      </c>
      <c r="E48" s="1" t="s">
        <v>231</v>
      </c>
    </row>
    <row r="49" spans="2:5" ht="12.75">
      <c r="B49" s="1">
        <v>1</v>
      </c>
      <c r="C49" s="1" t="s">
        <v>170</v>
      </c>
      <c r="D49" s="1">
        <v>17771.1</v>
      </c>
      <c r="E49" s="1" t="s">
        <v>231</v>
      </c>
    </row>
    <row r="50" spans="2:5" ht="12.75">
      <c r="B50" s="1" t="s">
        <v>232</v>
      </c>
      <c r="C50" s="1" t="s">
        <v>170</v>
      </c>
      <c r="D50" s="1">
        <v>0</v>
      </c>
      <c r="E50" s="1" t="s">
        <v>231</v>
      </c>
    </row>
    <row r="51" spans="2:5" ht="12.75">
      <c r="B51" s="1" t="s">
        <v>477</v>
      </c>
      <c r="C51" s="1" t="s">
        <v>170</v>
      </c>
      <c r="D51" s="1">
        <v>-17771.1</v>
      </c>
      <c r="E51" s="1" t="s">
        <v>231</v>
      </c>
    </row>
    <row r="52" spans="2:5" ht="12.75">
      <c r="B52" s="1">
        <v>4</v>
      </c>
      <c r="C52" s="1" t="s">
        <v>170</v>
      </c>
      <c r="D52" s="1">
        <v>-2000</v>
      </c>
      <c r="E52" s="1" t="s">
        <v>231</v>
      </c>
    </row>
    <row r="53" spans="2:5" ht="12.75">
      <c r="B53" s="1">
        <v>5</v>
      </c>
      <c r="C53" s="1" t="s">
        <v>170</v>
      </c>
      <c r="D53" s="1" t="s">
        <v>233</v>
      </c>
      <c r="E53" s="1" t="s">
        <v>231</v>
      </c>
    </row>
    <row r="54" spans="2:6" ht="12.75">
      <c r="B54" s="1">
        <v>6</v>
      </c>
      <c r="C54" s="1">
        <v>-3500</v>
      </c>
      <c r="D54" s="1" t="s">
        <v>234</v>
      </c>
      <c r="E54" s="1">
        <v>-1587.969</v>
      </c>
      <c r="F54" s="1" t="e">
        <v>#NAME?</v>
      </c>
    </row>
    <row r="55" spans="2:6" ht="12.75">
      <c r="B55" s="1" t="s">
        <v>235</v>
      </c>
      <c r="C55" s="1">
        <v>-345.264</v>
      </c>
      <c r="D55" s="1" t="s">
        <v>234</v>
      </c>
      <c r="E55" s="1" t="s">
        <v>478</v>
      </c>
      <c r="F55" s="1" t="s">
        <v>231</v>
      </c>
    </row>
    <row r="56" spans="2:5" ht="12.75">
      <c r="B56" s="1">
        <v>8</v>
      </c>
      <c r="C56" s="1" t="s">
        <v>170</v>
      </c>
      <c r="D56" s="1">
        <v>1050.162</v>
      </c>
      <c r="E56" s="1" t="s">
        <v>231</v>
      </c>
    </row>
    <row r="57" spans="2:5" ht="12.75">
      <c r="B57" s="1">
        <v>9</v>
      </c>
      <c r="C57" s="1">
        <v>-167.171</v>
      </c>
      <c r="D57" s="1">
        <v>0</v>
      </c>
      <c r="E57" s="1" t="s">
        <v>231</v>
      </c>
    </row>
    <row r="58" spans="2:5" ht="12.75">
      <c r="B58" s="1" t="s">
        <v>236</v>
      </c>
      <c r="C58" s="1" t="s">
        <v>170</v>
      </c>
      <c r="D58" s="1">
        <v>70.9</v>
      </c>
      <c r="E58" s="1" t="s">
        <v>231</v>
      </c>
    </row>
    <row r="59" spans="2:6" ht="12.75">
      <c r="B59" s="1" t="s">
        <v>237</v>
      </c>
      <c r="C59" s="1">
        <v>-365.963</v>
      </c>
      <c r="D59" s="1" t="s">
        <v>234</v>
      </c>
      <c r="E59" s="1">
        <v>0</v>
      </c>
      <c r="F59" s="1" t="e">
        <v>#NAME?</v>
      </c>
    </row>
    <row r="60" spans="2:5" ht="12.75">
      <c r="B60" s="1" t="s">
        <v>238</v>
      </c>
      <c r="C60" s="1" t="s">
        <v>170</v>
      </c>
      <c r="D60" s="1">
        <v>-213.5</v>
      </c>
      <c r="E60" s="1" t="e">
        <v>#NAME?</v>
      </c>
    </row>
    <row r="61" spans="2:5" ht="12.75">
      <c r="B61" s="1" t="s">
        <v>239</v>
      </c>
      <c r="C61" s="1" t="s">
        <v>170</v>
      </c>
      <c r="D61" s="1">
        <v>0</v>
      </c>
      <c r="E61" s="1" t="e">
        <v>#NAME?</v>
      </c>
    </row>
    <row r="62" spans="2:5" ht="12.75">
      <c r="B62" s="1">
        <v>14</v>
      </c>
      <c r="C62" s="1" t="s">
        <v>170</v>
      </c>
      <c r="D62" s="1" t="s">
        <v>240</v>
      </c>
      <c r="E62" s="1" t="s">
        <v>231</v>
      </c>
    </row>
    <row r="63" spans="2:5" ht="12.75">
      <c r="B63" s="1">
        <v>15</v>
      </c>
      <c r="C63" s="1" t="s">
        <v>170</v>
      </c>
      <c r="D63" s="1">
        <v>0</v>
      </c>
      <c r="E63" s="1" t="s">
        <v>231</v>
      </c>
    </row>
    <row r="64" spans="2:5" ht="12.75">
      <c r="B64" s="1" t="s">
        <v>241</v>
      </c>
      <c r="C64" s="1" t="s">
        <v>170</v>
      </c>
      <c r="D64" s="1">
        <v>197.4</v>
      </c>
      <c r="E64" s="1" t="s">
        <v>231</v>
      </c>
    </row>
    <row r="65" spans="2:6" ht="12.75">
      <c r="B65" s="1" t="s">
        <v>242</v>
      </c>
      <c r="C65" s="1">
        <v>-294.638</v>
      </c>
      <c r="D65" s="1" t="s">
        <v>234</v>
      </c>
      <c r="E65" s="1">
        <v>0</v>
      </c>
      <c r="F65" s="1" t="e">
        <v>#NAME?</v>
      </c>
    </row>
    <row r="66" spans="2:5" ht="12.75">
      <c r="B66" s="1" t="s">
        <v>243</v>
      </c>
      <c r="C66" s="1" t="s">
        <v>170</v>
      </c>
      <c r="D66" s="1">
        <v>-193.6</v>
      </c>
      <c r="E66" s="1" t="e">
        <v>#NAME?</v>
      </c>
    </row>
    <row r="67" spans="2:5" ht="12.75">
      <c r="B67" s="1" t="s">
        <v>244</v>
      </c>
      <c r="C67" s="1" t="s">
        <v>170</v>
      </c>
      <c r="D67" s="1">
        <v>-10</v>
      </c>
      <c r="E67" s="1" t="e">
        <v>#NAME?</v>
      </c>
    </row>
    <row r="68" spans="2:5" ht="12.75">
      <c r="B68" s="1" t="s">
        <v>245</v>
      </c>
      <c r="C68" s="1" t="s">
        <v>170</v>
      </c>
      <c r="D68" s="1">
        <v>0</v>
      </c>
      <c r="E68" s="1" t="e">
        <v>#NAME?</v>
      </c>
    </row>
    <row r="69" spans="2:5" ht="12.75">
      <c r="B69" s="1" t="s">
        <v>246</v>
      </c>
      <c r="C69" s="1" t="s">
        <v>170</v>
      </c>
      <c r="D69" s="1">
        <v>0</v>
      </c>
      <c r="E69" s="1" t="e">
        <v>#NAME?</v>
      </c>
    </row>
    <row r="70" spans="2:7" ht="12.75">
      <c r="B70" s="1">
        <v>22</v>
      </c>
      <c r="C70" s="1" t="s">
        <v>300</v>
      </c>
      <c r="D70" s="1">
        <v>269.92</v>
      </c>
      <c r="E70" s="1" t="s">
        <v>234</v>
      </c>
      <c r="F70" s="4">
        <v>1.97E-13</v>
      </c>
      <c r="G70" s="1" t="s">
        <v>231</v>
      </c>
    </row>
    <row r="71" spans="2:5" ht="12.75">
      <c r="B71" s="1">
        <v>23</v>
      </c>
      <c r="C71" s="1" t="s">
        <v>170</v>
      </c>
      <c r="D71" s="1">
        <v>0</v>
      </c>
      <c r="E71" s="1" t="s">
        <v>231</v>
      </c>
    </row>
    <row r="72" spans="2:5" ht="12.75">
      <c r="B72" s="1" t="s">
        <v>249</v>
      </c>
      <c r="C72" s="1" t="s">
        <v>170</v>
      </c>
      <c r="D72" s="1">
        <v>112.57</v>
      </c>
      <c r="E72" s="1" t="s">
        <v>231</v>
      </c>
    </row>
    <row r="73" spans="2:5" ht="12.75">
      <c r="B73" s="1">
        <v>25</v>
      </c>
      <c r="C73" s="1" t="s">
        <v>170</v>
      </c>
      <c r="D73" s="1">
        <v>0</v>
      </c>
      <c r="E73" s="1" t="s">
        <v>231</v>
      </c>
    </row>
    <row r="74" spans="2:6" ht="12.75">
      <c r="B74" s="1">
        <v>26</v>
      </c>
      <c r="C74" s="1" t="s">
        <v>300</v>
      </c>
      <c r="D74" s="1" t="s">
        <v>170</v>
      </c>
      <c r="E74" s="4">
        <v>7.11E-15</v>
      </c>
      <c r="F74" s="1" t="s">
        <v>231</v>
      </c>
    </row>
    <row r="75" spans="2:5" ht="12.75">
      <c r="B75" s="1">
        <v>27</v>
      </c>
      <c r="C75" s="1" t="s">
        <v>170</v>
      </c>
      <c r="D75" s="1">
        <v>30.43</v>
      </c>
      <c r="E75" s="1" t="s">
        <v>231</v>
      </c>
    </row>
    <row r="76" spans="2:5" ht="12.75">
      <c r="B76" s="1" t="s">
        <v>253</v>
      </c>
      <c r="C76" s="1" t="s">
        <v>170</v>
      </c>
      <c r="D76" s="1">
        <v>0</v>
      </c>
      <c r="E76" s="1" t="s">
        <v>231</v>
      </c>
    </row>
    <row r="77" spans="2:5" ht="12.75">
      <c r="B77" s="1">
        <v>29</v>
      </c>
      <c r="C77" s="1" t="s">
        <v>170</v>
      </c>
      <c r="D77" s="1">
        <v>0</v>
      </c>
      <c r="E77" s="1" t="s">
        <v>231</v>
      </c>
    </row>
    <row r="78" spans="2:6" ht="12.75">
      <c r="B78" s="1">
        <v>30</v>
      </c>
      <c r="C78" s="1" t="s">
        <v>300</v>
      </c>
      <c r="D78" s="1" t="s">
        <v>170</v>
      </c>
      <c r="E78" s="4">
        <v>-1.27E-13</v>
      </c>
      <c r="F78" s="1" t="e">
        <v>#NAME?</v>
      </c>
    </row>
    <row r="79" spans="2:5" ht="12.75">
      <c r="B79" s="1">
        <v>31</v>
      </c>
      <c r="C79" s="1" t="s">
        <v>170</v>
      </c>
      <c r="D79" s="1">
        <v>0</v>
      </c>
      <c r="E79" s="1" t="e">
        <v>#NAME?</v>
      </c>
    </row>
    <row r="80" spans="2:5" ht="12.75">
      <c r="B80" s="1" t="s">
        <v>257</v>
      </c>
      <c r="C80" s="1" t="s">
        <v>170</v>
      </c>
      <c r="D80" s="1">
        <v>0</v>
      </c>
      <c r="E80" s="1" t="e">
        <v>#NAME?</v>
      </c>
    </row>
    <row r="81" spans="2:5" ht="12.75">
      <c r="B81" s="1" t="s">
        <v>258</v>
      </c>
      <c r="C81" s="1" t="s">
        <v>170</v>
      </c>
      <c r="D81" s="1">
        <v>0</v>
      </c>
      <c r="E81" s="1" t="e">
        <v>#NAME?</v>
      </c>
    </row>
    <row r="82" spans="2:5" ht="12.75">
      <c r="B82" s="1" t="s">
        <v>479</v>
      </c>
      <c r="C82" s="1" t="s">
        <v>170</v>
      </c>
      <c r="D82" s="1">
        <v>-57</v>
      </c>
      <c r="E82" s="1" t="e">
        <v>#NAME?</v>
      </c>
    </row>
    <row r="83" spans="2:5" ht="12.75">
      <c r="B83" s="1" t="s">
        <v>259</v>
      </c>
      <c r="C83" s="1" t="s">
        <v>170</v>
      </c>
      <c r="D83" s="1">
        <v>0</v>
      </c>
      <c r="E83" s="1" t="e">
        <v>#NAME?</v>
      </c>
    </row>
    <row r="84" spans="2:6" ht="12.75">
      <c r="B84" s="1" t="s">
        <v>260</v>
      </c>
      <c r="C84" s="1">
        <v>230.34</v>
      </c>
      <c r="D84" s="1" t="s">
        <v>234</v>
      </c>
      <c r="E84" s="1">
        <v>0</v>
      </c>
      <c r="F84" s="1" t="s">
        <v>231</v>
      </c>
    </row>
    <row r="85" spans="2:5" ht="12.75">
      <c r="B85" s="1">
        <v>37</v>
      </c>
      <c r="C85" s="1" t="s">
        <v>170</v>
      </c>
      <c r="D85" s="1">
        <v>0</v>
      </c>
      <c r="E85" s="1" t="s">
        <v>231</v>
      </c>
    </row>
    <row r="86" spans="2:5" ht="12.75">
      <c r="B86" s="1" t="s">
        <v>480</v>
      </c>
      <c r="C86" s="1" t="s">
        <v>170</v>
      </c>
      <c r="D86" s="1">
        <v>173.64</v>
      </c>
      <c r="E86" s="1" t="s">
        <v>231</v>
      </c>
    </row>
    <row r="87" spans="2:5" ht="12.75">
      <c r="B87" s="1" t="s">
        <v>263</v>
      </c>
      <c r="C87" s="1" t="s">
        <v>170</v>
      </c>
      <c r="D87" s="1">
        <v>0</v>
      </c>
      <c r="E87" s="1" t="e">
        <v>#NAME?</v>
      </c>
    </row>
    <row r="88" spans="2:5" ht="12.75">
      <c r="B88" s="1" t="s">
        <v>264</v>
      </c>
      <c r="C88" s="1" t="s">
        <v>170</v>
      </c>
      <c r="D88" s="1">
        <v>-40</v>
      </c>
      <c r="E88" s="1" t="e">
        <v>#NAME?</v>
      </c>
    </row>
    <row r="89" spans="2:5" ht="12.75">
      <c r="B89" s="1">
        <v>41</v>
      </c>
      <c r="C89" s="1" t="s">
        <v>170</v>
      </c>
      <c r="D89" s="1">
        <v>0</v>
      </c>
      <c r="E89" s="1" t="e">
        <v>#NAME?</v>
      </c>
    </row>
    <row r="90" spans="2:5" ht="12.75">
      <c r="B90" s="1">
        <v>42</v>
      </c>
      <c r="C90" s="1" t="s">
        <v>170</v>
      </c>
      <c r="D90" s="1">
        <v>-133.2</v>
      </c>
      <c r="E90" s="1" t="e">
        <v>#NAME?</v>
      </c>
    </row>
    <row r="91" spans="2:5" ht="12.75">
      <c r="B91" s="1" t="s">
        <v>267</v>
      </c>
      <c r="C91" s="1">
        <v>259.5</v>
      </c>
      <c r="D91" s="1">
        <v>0</v>
      </c>
      <c r="E91" s="1" t="s">
        <v>231</v>
      </c>
    </row>
    <row r="92" spans="2:5" ht="12.75">
      <c r="B92" s="1" t="s">
        <v>269</v>
      </c>
      <c r="C92" s="1" t="s">
        <v>170</v>
      </c>
      <c r="D92" s="1">
        <v>150</v>
      </c>
      <c r="E92" s="1" t="s">
        <v>231</v>
      </c>
    </row>
    <row r="93" spans="2:5" ht="12.75">
      <c r="B93" s="1">
        <v>45</v>
      </c>
      <c r="C93" s="1" t="s">
        <v>170</v>
      </c>
      <c r="D93" s="1">
        <v>-25</v>
      </c>
      <c r="E93" s="1" t="s">
        <v>231</v>
      </c>
    </row>
    <row r="94" spans="2:5" ht="12.75">
      <c r="B94" s="1" t="s">
        <v>271</v>
      </c>
      <c r="C94" s="1" t="s">
        <v>170</v>
      </c>
      <c r="D94" s="1">
        <v>0</v>
      </c>
      <c r="E94" s="1" t="e">
        <v>#NAME?</v>
      </c>
    </row>
    <row r="95" spans="2:5" ht="12.75">
      <c r="B95" s="1" t="s">
        <v>272</v>
      </c>
      <c r="C95" s="1" t="s">
        <v>170</v>
      </c>
      <c r="D95" s="1" t="s">
        <v>481</v>
      </c>
      <c r="E95" s="1" t="e">
        <v>#NAME?</v>
      </c>
    </row>
    <row r="96" spans="2:5" ht="12.75">
      <c r="B96" s="1">
        <v>48</v>
      </c>
      <c r="C96" s="1" t="s">
        <v>170</v>
      </c>
      <c r="D96" s="1">
        <v>0</v>
      </c>
      <c r="E96" s="1" t="e">
        <v>#NAME?</v>
      </c>
    </row>
    <row r="97" spans="2:5" ht="12.75">
      <c r="B97" s="1">
        <v>49</v>
      </c>
      <c r="C97" s="1" t="s">
        <v>170</v>
      </c>
      <c r="D97" s="1" t="s">
        <v>481</v>
      </c>
      <c r="E97" s="1" t="e">
        <v>#NAME?</v>
      </c>
    </row>
    <row r="98" spans="2:5" ht="12.75">
      <c r="B98" s="1" t="s">
        <v>274</v>
      </c>
      <c r="C98" s="1" t="s">
        <v>170</v>
      </c>
      <c r="D98" s="1">
        <v>0</v>
      </c>
      <c r="E98" s="1" t="e">
        <v>#NAME?</v>
      </c>
    </row>
    <row r="99" spans="2:5" ht="12.75">
      <c r="B99" s="1" t="s">
        <v>482</v>
      </c>
      <c r="C99" s="1" t="s">
        <v>170</v>
      </c>
      <c r="D99" s="1">
        <v>0</v>
      </c>
      <c r="E99" s="1" t="s">
        <v>231</v>
      </c>
    </row>
    <row r="100" spans="2:5" ht="12.75">
      <c r="B100" s="1">
        <v>52</v>
      </c>
      <c r="C100" s="1" t="s">
        <v>170</v>
      </c>
      <c r="D100" s="1">
        <v>0</v>
      </c>
      <c r="E100" s="1" t="e">
        <v>#NAME?</v>
      </c>
    </row>
    <row r="101" spans="2:5" ht="12.75">
      <c r="B101" s="1" t="s">
        <v>277</v>
      </c>
      <c r="C101" s="1" t="s">
        <v>170</v>
      </c>
      <c r="D101" s="1">
        <v>0</v>
      </c>
      <c r="E101" s="1" t="s">
        <v>231</v>
      </c>
    </row>
    <row r="102" spans="2:5" ht="12.75">
      <c r="B102" s="1" t="s">
        <v>483</v>
      </c>
      <c r="C102" s="1" t="s">
        <v>170</v>
      </c>
      <c r="D102" s="1" t="s">
        <v>481</v>
      </c>
      <c r="E102" s="1" t="s">
        <v>231</v>
      </c>
    </row>
    <row r="103" spans="2:5" ht="12.75">
      <c r="B103" s="1">
        <v>55</v>
      </c>
      <c r="C103" s="1" t="s">
        <v>170</v>
      </c>
      <c r="D103" s="1" t="s">
        <v>484</v>
      </c>
      <c r="E103" s="1" t="s">
        <v>231</v>
      </c>
    </row>
    <row r="104" spans="2:5" ht="12.75">
      <c r="B104" s="1" t="s">
        <v>280</v>
      </c>
      <c r="C104" s="1">
        <v>-260</v>
      </c>
      <c r="D104" s="1">
        <v>0</v>
      </c>
      <c r="E104" s="1" t="e">
        <v>#NAME?</v>
      </c>
    </row>
    <row r="105" spans="2:5" ht="12.75">
      <c r="B105" s="1" t="s">
        <v>281</v>
      </c>
      <c r="C105" s="1" t="s">
        <v>170</v>
      </c>
      <c r="D105" s="1" t="s">
        <v>485</v>
      </c>
      <c r="E105" s="1" t="e">
        <v>#NAME?</v>
      </c>
    </row>
    <row r="106" spans="2:5" ht="12.75">
      <c r="B106" s="1">
        <v>58</v>
      </c>
      <c r="C106" s="1" t="s">
        <v>170</v>
      </c>
      <c r="D106" s="1">
        <v>0</v>
      </c>
      <c r="E106" s="1" t="e">
        <v>#NAME?</v>
      </c>
    </row>
    <row r="107" spans="2:5" ht="12.75">
      <c r="B107" s="1">
        <v>59</v>
      </c>
      <c r="C107" s="1" t="s">
        <v>170</v>
      </c>
      <c r="D107" s="1" t="s">
        <v>486</v>
      </c>
      <c r="E107" s="1" t="e">
        <v>#NAME?</v>
      </c>
    </row>
    <row r="108" spans="2:5" ht="12.75">
      <c r="B108" s="1" t="s">
        <v>284</v>
      </c>
      <c r="C108" s="1" t="s">
        <v>487</v>
      </c>
      <c r="D108" s="1">
        <v>0</v>
      </c>
      <c r="E108" s="1" t="s">
        <v>231</v>
      </c>
    </row>
    <row r="109" spans="2:5" ht="12.75">
      <c r="B109" s="1" t="s">
        <v>285</v>
      </c>
      <c r="C109" s="1" t="s">
        <v>170</v>
      </c>
      <c r="D109" s="1">
        <v>151.98</v>
      </c>
      <c r="E109" s="1" t="s">
        <v>231</v>
      </c>
    </row>
    <row r="110" spans="2:5" ht="12.75">
      <c r="B110" s="1" t="s">
        <v>488</v>
      </c>
      <c r="C110" s="1" t="s">
        <v>170</v>
      </c>
      <c r="D110" s="1">
        <v>0</v>
      </c>
      <c r="E110" s="1" t="s">
        <v>231</v>
      </c>
    </row>
    <row r="111" spans="2:6" ht="12.75">
      <c r="B111" s="1" t="s">
        <v>489</v>
      </c>
      <c r="C111" s="1">
        <v>-196.99</v>
      </c>
      <c r="D111" s="1" t="s">
        <v>234</v>
      </c>
      <c r="E111" s="1">
        <v>0</v>
      </c>
      <c r="F111" s="1" t="e">
        <v>#NAME?</v>
      </c>
    </row>
    <row r="112" spans="2:5" ht="12.75">
      <c r="B112" s="1">
        <v>64</v>
      </c>
      <c r="C112" s="1" t="s">
        <v>170</v>
      </c>
      <c r="D112" s="1">
        <v>0</v>
      </c>
      <c r="E112" s="1" t="e">
        <v>#NAME?</v>
      </c>
    </row>
    <row r="113" spans="2:5" ht="12.75">
      <c r="B113" s="1" t="s">
        <v>490</v>
      </c>
      <c r="C113" s="1" t="s">
        <v>170</v>
      </c>
      <c r="D113" s="1">
        <v>-60</v>
      </c>
      <c r="E113" s="1" t="e">
        <v>#NAME?</v>
      </c>
    </row>
    <row r="114" spans="2:5" ht="12.75">
      <c r="B114" s="1">
        <v>66</v>
      </c>
      <c r="C114" s="1" t="s">
        <v>170</v>
      </c>
      <c r="D114" s="1">
        <v>-32.57</v>
      </c>
      <c r="E114" s="1" t="e">
        <v>#NAME?</v>
      </c>
    </row>
    <row r="115" spans="2:5" ht="12.75">
      <c r="B115" s="1" t="s">
        <v>491</v>
      </c>
      <c r="C115" s="1" t="s">
        <v>170</v>
      </c>
      <c r="D115" s="1">
        <v>0</v>
      </c>
      <c r="E115" s="1" t="s">
        <v>231</v>
      </c>
    </row>
    <row r="116" spans="2:5" ht="12.75">
      <c r="B116" s="1" t="s">
        <v>492</v>
      </c>
      <c r="C116" s="1" t="s">
        <v>170</v>
      </c>
      <c r="D116" s="1">
        <v>80</v>
      </c>
      <c r="E116" s="1" t="s">
        <v>231</v>
      </c>
    </row>
    <row r="117" spans="2:5" ht="12.75">
      <c r="B117" s="1">
        <v>69</v>
      </c>
      <c r="C117" s="1" t="s">
        <v>170</v>
      </c>
      <c r="D117" s="1">
        <v>0</v>
      </c>
      <c r="E117" s="1" t="s">
        <v>231</v>
      </c>
    </row>
    <row r="118" spans="2:3" ht="12.75">
      <c r="B118" s="1" t="s">
        <v>286</v>
      </c>
      <c r="C118" s="1" t="s">
        <v>170</v>
      </c>
    </row>
    <row r="120" spans="2:4" ht="12.75">
      <c r="B120" s="1" t="s">
        <v>287</v>
      </c>
      <c r="C120" s="1" t="s">
        <v>288</v>
      </c>
      <c r="D120" s="1" t="s">
        <v>289</v>
      </c>
    </row>
    <row r="121" ht="12.75">
      <c r="B121" s="1" t="s">
        <v>290</v>
      </c>
    </row>
    <row r="122" spans="2:11" ht="12.75">
      <c r="B122" s="1" t="s">
        <v>291</v>
      </c>
      <c r="C122" s="1" t="s">
        <v>61</v>
      </c>
      <c r="D122" s="1" t="s">
        <v>292</v>
      </c>
      <c r="E122" s="1" t="s">
        <v>293</v>
      </c>
      <c r="F122" s="1" t="s">
        <v>222</v>
      </c>
      <c r="G122" s="1" t="s">
        <v>294</v>
      </c>
      <c r="H122" s="1" t="s">
        <v>295</v>
      </c>
      <c r="I122" s="1" t="s">
        <v>296</v>
      </c>
      <c r="J122" s="1" t="s">
        <v>215</v>
      </c>
      <c r="K122" s="1" t="s">
        <v>61</v>
      </c>
    </row>
    <row r="123" spans="2:13" ht="12.75">
      <c r="B123" s="1" t="s">
        <v>297</v>
      </c>
      <c r="C123" s="1" t="s">
        <v>61</v>
      </c>
      <c r="D123" s="1" t="s">
        <v>298</v>
      </c>
      <c r="E123" s="1" t="s">
        <v>57</v>
      </c>
      <c r="F123" s="1" t="s">
        <v>52</v>
      </c>
      <c r="G123" s="1" t="s">
        <v>299</v>
      </c>
      <c r="H123" s="1" t="s">
        <v>300</v>
      </c>
      <c r="I123" s="1" t="s">
        <v>61</v>
      </c>
      <c r="J123" s="1" t="s">
        <v>298</v>
      </c>
      <c r="K123" s="1" t="s">
        <v>57</v>
      </c>
      <c r="L123" s="1" t="s">
        <v>301</v>
      </c>
      <c r="M123" s="1" t="s">
        <v>299</v>
      </c>
    </row>
    <row r="124" spans="2:11" ht="12.75">
      <c r="B124" s="1" t="s">
        <v>234</v>
      </c>
      <c r="C124" s="1" t="s">
        <v>302</v>
      </c>
      <c r="D124" s="1" t="s">
        <v>61</v>
      </c>
      <c r="E124" s="1" t="s">
        <v>303</v>
      </c>
      <c r="F124" s="1" t="s">
        <v>304</v>
      </c>
      <c r="G124" s="1" t="s">
        <v>305</v>
      </c>
      <c r="H124" s="1" t="s">
        <v>298</v>
      </c>
      <c r="I124" s="1" t="s">
        <v>306</v>
      </c>
      <c r="J124" s="1" t="s">
        <v>288</v>
      </c>
      <c r="K124" s="1" t="s">
        <v>307</v>
      </c>
    </row>
    <row r="125" spans="2:7" ht="12.75">
      <c r="B125" s="1" t="s">
        <v>308</v>
      </c>
      <c r="C125" s="1" t="s">
        <v>305</v>
      </c>
      <c r="D125" s="1" t="s">
        <v>298</v>
      </c>
      <c r="E125" s="1" t="s">
        <v>306</v>
      </c>
      <c r="F125" s="1" t="s">
        <v>288</v>
      </c>
      <c r="G125" s="1" t="s">
        <v>309</v>
      </c>
    </row>
    <row r="127" spans="2:4" ht="12.75">
      <c r="B127" s="1" t="s">
        <v>302</v>
      </c>
      <c r="C127" s="1" t="s">
        <v>61</v>
      </c>
      <c r="D127" s="1" t="s">
        <v>56</v>
      </c>
    </row>
    <row r="128" ht="12.75">
      <c r="B128" s="1" t="s">
        <v>167</v>
      </c>
    </row>
    <row r="129" spans="2:7" ht="12.75">
      <c r="B129" s="1" t="s">
        <v>61</v>
      </c>
      <c r="C129" s="1" t="s">
        <v>62</v>
      </c>
      <c r="D129" s="1">
        <v>6</v>
      </c>
      <c r="E129" s="1" t="s">
        <v>310</v>
      </c>
      <c r="F129" s="1" t="s">
        <v>311</v>
      </c>
      <c r="G129" s="1" t="s">
        <v>61</v>
      </c>
    </row>
    <row r="130" spans="2:5" ht="12.75">
      <c r="B130" s="1" t="s">
        <v>311</v>
      </c>
      <c r="C130" s="1" t="s">
        <v>312</v>
      </c>
      <c r="D130" s="1" t="s">
        <v>313</v>
      </c>
      <c r="E130" s="1">
        <v>-1.00129</v>
      </c>
    </row>
    <row r="131" spans="2:9" ht="12.75">
      <c r="B131" s="1" t="s">
        <v>314</v>
      </c>
      <c r="C131" s="1" t="s">
        <v>315</v>
      </c>
      <c r="D131" s="1" t="s">
        <v>316</v>
      </c>
      <c r="E131" s="4">
        <v>2710000</v>
      </c>
      <c r="F131" s="1" t="s">
        <v>317</v>
      </c>
      <c r="G131" s="1" t="s">
        <v>315</v>
      </c>
      <c r="H131" s="1" t="s">
        <v>318</v>
      </c>
      <c r="I131" s="1">
        <v>-97448.0619</v>
      </c>
    </row>
    <row r="133" ht="12.75">
      <c r="B133" s="1" t="s">
        <v>319</v>
      </c>
    </row>
    <row r="134" spans="2:7" ht="12.75">
      <c r="B134" s="1" t="s">
        <v>61</v>
      </c>
      <c r="C134" s="1" t="s">
        <v>62</v>
      </c>
      <c r="D134" s="1">
        <v>7</v>
      </c>
      <c r="E134" s="1" t="s">
        <v>310</v>
      </c>
      <c r="F134" s="1" t="s">
        <v>311</v>
      </c>
      <c r="G134" s="1" t="s">
        <v>61</v>
      </c>
    </row>
    <row r="135" spans="2:5" ht="12.75">
      <c r="B135" s="1" t="s">
        <v>311</v>
      </c>
      <c r="C135" s="1" t="s">
        <v>312</v>
      </c>
      <c r="D135" s="1" t="s">
        <v>313</v>
      </c>
      <c r="E135" s="1">
        <v>-1.296</v>
      </c>
    </row>
    <row r="136" spans="2:9" ht="12.75">
      <c r="B136" s="1" t="s">
        <v>314</v>
      </c>
      <c r="C136" s="1" t="s">
        <v>315</v>
      </c>
      <c r="D136" s="1" t="s">
        <v>316</v>
      </c>
      <c r="E136" s="1">
        <v>1166.432433</v>
      </c>
      <c r="F136" s="1" t="s">
        <v>317</v>
      </c>
      <c r="G136" s="1" t="s">
        <v>315</v>
      </c>
      <c r="H136" s="1" t="s">
        <v>318</v>
      </c>
      <c r="I136" s="1">
        <v>-634.607853</v>
      </c>
    </row>
    <row r="138" ht="12.75">
      <c r="B138" s="1" t="s">
        <v>319</v>
      </c>
    </row>
    <row r="139" spans="2:7" ht="12.75">
      <c r="B139" s="1" t="s">
        <v>61</v>
      </c>
      <c r="C139" s="1" t="s">
        <v>62</v>
      </c>
      <c r="D139" s="1">
        <v>11</v>
      </c>
      <c r="E139" s="1" t="s">
        <v>310</v>
      </c>
      <c r="F139" s="1" t="s">
        <v>311</v>
      </c>
      <c r="G139" s="1" t="s">
        <v>61</v>
      </c>
    </row>
    <row r="140" spans="2:5" ht="12.75">
      <c r="B140" s="1" t="s">
        <v>311</v>
      </c>
      <c r="C140" s="1" t="s">
        <v>312</v>
      </c>
      <c r="D140" s="1" t="s">
        <v>313</v>
      </c>
      <c r="E140" s="1">
        <v>-0.5095</v>
      </c>
    </row>
    <row r="141" spans="2:9" ht="12.75">
      <c r="B141" s="1" t="s">
        <v>314</v>
      </c>
      <c r="C141" s="1" t="s">
        <v>315</v>
      </c>
      <c r="D141" s="1" t="s">
        <v>316</v>
      </c>
      <c r="E141" s="1">
        <v>-746.101937</v>
      </c>
      <c r="F141" s="1" t="s">
        <v>317</v>
      </c>
      <c r="G141" s="1" t="s">
        <v>315</v>
      </c>
      <c r="H141" s="1" t="s">
        <v>318</v>
      </c>
      <c r="I141" s="1">
        <v>522.537753</v>
      </c>
    </row>
    <row r="143" ht="12.75">
      <c r="B143" s="1" t="s">
        <v>319</v>
      </c>
    </row>
    <row r="144" spans="2:7" ht="12.75">
      <c r="B144" s="1" t="s">
        <v>61</v>
      </c>
      <c r="C144" s="1" t="s">
        <v>62</v>
      </c>
      <c r="D144" s="1">
        <v>17</v>
      </c>
      <c r="E144" s="1" t="s">
        <v>310</v>
      </c>
      <c r="F144" s="1" t="s">
        <v>320</v>
      </c>
      <c r="G144" s="1" t="s">
        <v>61</v>
      </c>
    </row>
    <row r="145" spans="2:3" ht="12.75">
      <c r="B145" s="1" t="s">
        <v>321</v>
      </c>
      <c r="C145" s="1">
        <v>-278.418</v>
      </c>
    </row>
    <row r="147" ht="12.75">
      <c r="B147" s="1" t="s">
        <v>319</v>
      </c>
    </row>
    <row r="148" spans="2:7" ht="12.75">
      <c r="B148" s="1" t="s">
        <v>61</v>
      </c>
      <c r="C148" s="1" t="s">
        <v>62</v>
      </c>
      <c r="D148" s="1">
        <v>22</v>
      </c>
      <c r="E148" s="1" t="s">
        <v>310</v>
      </c>
      <c r="F148" s="1" t="s">
        <v>320</v>
      </c>
      <c r="G148" s="1" t="s">
        <v>61</v>
      </c>
    </row>
    <row r="149" spans="2:3" ht="12.75">
      <c r="B149" s="1" t="s">
        <v>321</v>
      </c>
      <c r="C149" s="1">
        <v>523.79</v>
      </c>
    </row>
    <row r="151" ht="12.75">
      <c r="B151" s="1" t="s">
        <v>319</v>
      </c>
    </row>
    <row r="152" spans="2:7" ht="12.75">
      <c r="B152" s="1" t="s">
        <v>61</v>
      </c>
      <c r="C152" s="1" t="s">
        <v>62</v>
      </c>
      <c r="D152" s="1">
        <v>36</v>
      </c>
      <c r="E152" s="1" t="s">
        <v>310</v>
      </c>
      <c r="F152" s="1" t="s">
        <v>320</v>
      </c>
      <c r="G152" s="1" t="s">
        <v>61</v>
      </c>
    </row>
    <row r="153" spans="2:3" ht="12.75">
      <c r="B153" s="1" t="s">
        <v>321</v>
      </c>
      <c r="C153" s="1">
        <v>202</v>
      </c>
    </row>
    <row r="155" ht="12.75">
      <c r="B155" s="1" t="s">
        <v>319</v>
      </c>
    </row>
    <row r="156" spans="2:7" ht="12.75">
      <c r="B156" s="1" t="s">
        <v>61</v>
      </c>
      <c r="C156" s="1" t="s">
        <v>62</v>
      </c>
      <c r="D156" s="1">
        <v>63</v>
      </c>
      <c r="E156" s="1" t="s">
        <v>310</v>
      </c>
      <c r="F156" s="1" t="s">
        <v>320</v>
      </c>
      <c r="G156" s="1" t="s">
        <v>61</v>
      </c>
    </row>
    <row r="157" spans="2:3" ht="12.75">
      <c r="B157" s="1" t="s">
        <v>321</v>
      </c>
      <c r="C157" s="1">
        <v>-169.84</v>
      </c>
    </row>
    <row r="160" spans="2:5" ht="12.75">
      <c r="B160" s="1" t="s">
        <v>322</v>
      </c>
      <c r="C160" s="1" t="s">
        <v>222</v>
      </c>
      <c r="D160" s="1" t="s">
        <v>323</v>
      </c>
      <c r="E160" s="1" t="s">
        <v>56</v>
      </c>
    </row>
    <row r="161" spans="2:3" ht="12.75">
      <c r="B161" s="1" t="s">
        <v>324</v>
      </c>
      <c r="C161" s="1" t="s">
        <v>299</v>
      </c>
    </row>
    <row r="162" ht="12.75">
      <c r="B162" s="1" t="s">
        <v>325</v>
      </c>
    </row>
    <row r="163" spans="2:9" ht="12.75">
      <c r="B163" s="1" t="s">
        <v>50</v>
      </c>
      <c r="C163" s="1" t="s">
        <v>303</v>
      </c>
      <c r="D163" s="1" t="s">
        <v>17</v>
      </c>
      <c r="E163" s="1" t="s">
        <v>80</v>
      </c>
      <c r="F163" s="1" t="s">
        <v>81</v>
      </c>
      <c r="G163" s="1" t="s">
        <v>326</v>
      </c>
      <c r="H163" s="1" t="s">
        <v>327</v>
      </c>
      <c r="I163" s="1" t="s">
        <v>328</v>
      </c>
    </row>
    <row r="164" ht="12.75">
      <c r="B164" s="1" t="s">
        <v>325</v>
      </c>
    </row>
    <row r="165" spans="2:9" ht="12.75">
      <c r="B165" s="1">
        <v>2</v>
      </c>
      <c r="C165" s="1" t="s">
        <v>329</v>
      </c>
      <c r="D165" s="1">
        <v>0</v>
      </c>
      <c r="E165" s="1">
        <v>0</v>
      </c>
      <c r="F165" s="1">
        <v>0</v>
      </c>
      <c r="G165" s="1">
        <v>0.1829</v>
      </c>
      <c r="H165" s="1">
        <v>0</v>
      </c>
      <c r="I165" s="1">
        <v>0</v>
      </c>
    </row>
    <row r="166" spans="2:9" ht="12.75">
      <c r="B166" s="1">
        <v>3</v>
      </c>
      <c r="C166" s="1" t="s">
        <v>329</v>
      </c>
      <c r="D166" s="1">
        <v>0</v>
      </c>
      <c r="E166" s="1">
        <v>0</v>
      </c>
      <c r="F166" s="1">
        <v>0</v>
      </c>
      <c r="G166" s="1">
        <v>0</v>
      </c>
      <c r="H166" s="1">
        <v>-0.123</v>
      </c>
      <c r="I166" s="1">
        <v>0</v>
      </c>
    </row>
    <row r="167" spans="2:9" ht="12.75">
      <c r="B167" s="1">
        <v>10</v>
      </c>
      <c r="C167" s="1" t="s">
        <v>329</v>
      </c>
      <c r="D167" s="1">
        <v>0</v>
      </c>
      <c r="E167" s="1">
        <v>-91.048</v>
      </c>
      <c r="F167" s="1">
        <v>0</v>
      </c>
      <c r="G167" s="1">
        <v>-1.9766</v>
      </c>
      <c r="H167" s="1">
        <v>0</v>
      </c>
      <c r="I167" s="1">
        <v>0</v>
      </c>
    </row>
    <row r="168" spans="2:9" ht="12.75">
      <c r="B168" s="1">
        <v>11</v>
      </c>
      <c r="C168" s="1" t="s">
        <v>329</v>
      </c>
      <c r="D168" s="1">
        <v>0</v>
      </c>
      <c r="E168" s="1">
        <v>-149.224</v>
      </c>
      <c r="F168" s="1">
        <v>12.676</v>
      </c>
      <c r="G168" s="1">
        <v>-6.7066</v>
      </c>
      <c r="H168" s="1">
        <v>0</v>
      </c>
      <c r="I168" s="1">
        <v>0</v>
      </c>
    </row>
    <row r="169" spans="2:9" ht="12.75">
      <c r="B169" s="1">
        <v>12</v>
      </c>
      <c r="C169" s="1" t="s">
        <v>329</v>
      </c>
      <c r="D169" s="1">
        <v>0</v>
      </c>
      <c r="E169" s="1">
        <v>0</v>
      </c>
      <c r="F169" s="1">
        <v>0</v>
      </c>
      <c r="G169" s="1">
        <v>31.93</v>
      </c>
      <c r="H169" s="1">
        <v>0</v>
      </c>
      <c r="I169" s="1">
        <v>0</v>
      </c>
    </row>
    <row r="170" spans="2:9" ht="12.75">
      <c r="B170" s="1">
        <v>13</v>
      </c>
      <c r="C170" s="1" t="s">
        <v>329</v>
      </c>
      <c r="D170" s="1">
        <v>0</v>
      </c>
      <c r="E170" s="1">
        <v>0</v>
      </c>
      <c r="F170" s="1">
        <v>0</v>
      </c>
      <c r="G170" s="1">
        <v>-12.01</v>
      </c>
      <c r="H170" s="1">
        <v>0</v>
      </c>
      <c r="I170" s="1">
        <v>0</v>
      </c>
    </row>
    <row r="171" spans="2:9" ht="12.75">
      <c r="B171" s="1">
        <v>16</v>
      </c>
      <c r="C171" s="1" t="s">
        <v>329</v>
      </c>
      <c r="D171" s="1">
        <v>0</v>
      </c>
      <c r="E171" s="1">
        <v>0</v>
      </c>
      <c r="F171" s="1">
        <v>0</v>
      </c>
      <c r="G171" s="1">
        <v>-24.02</v>
      </c>
      <c r="H171" s="1">
        <v>0</v>
      </c>
      <c r="I171" s="1">
        <v>0</v>
      </c>
    </row>
    <row r="172" spans="2:9" ht="12.75">
      <c r="B172" s="1">
        <v>17</v>
      </c>
      <c r="C172" s="1" t="s">
        <v>329</v>
      </c>
      <c r="D172" s="1">
        <v>0</v>
      </c>
      <c r="E172" s="1">
        <v>0</v>
      </c>
      <c r="F172" s="1">
        <v>0</v>
      </c>
      <c r="G172" s="1">
        <v>9.212</v>
      </c>
      <c r="H172" s="1">
        <v>0</v>
      </c>
      <c r="I172" s="1">
        <v>0</v>
      </c>
    </row>
    <row r="173" spans="2:9" ht="12.75">
      <c r="B173" s="1">
        <v>18</v>
      </c>
      <c r="C173" s="1" t="s">
        <v>329</v>
      </c>
      <c r="D173" s="1">
        <v>0</v>
      </c>
      <c r="E173" s="1">
        <v>0</v>
      </c>
      <c r="F173" s="1">
        <v>0</v>
      </c>
      <c r="G173" s="1">
        <v>18.424</v>
      </c>
      <c r="H173" s="1">
        <v>0</v>
      </c>
      <c r="I173" s="1">
        <v>0</v>
      </c>
    </row>
    <row r="174" spans="2:9" ht="12.75">
      <c r="B174" s="1">
        <v>19</v>
      </c>
      <c r="C174" s="1" t="s">
        <v>329</v>
      </c>
      <c r="D174" s="1">
        <v>0</v>
      </c>
      <c r="E174" s="1">
        <v>0</v>
      </c>
      <c r="F174" s="1">
        <v>0</v>
      </c>
      <c r="G174" s="1">
        <v>-24.3574</v>
      </c>
      <c r="H174" s="1">
        <v>0</v>
      </c>
      <c r="I174" s="1">
        <v>0</v>
      </c>
    </row>
    <row r="175" spans="2:9" ht="12.75">
      <c r="B175" s="1">
        <v>20</v>
      </c>
      <c r="C175" s="1" t="s">
        <v>329</v>
      </c>
      <c r="D175" s="1">
        <v>33.82</v>
      </c>
      <c r="E175" s="1">
        <v>-4.442</v>
      </c>
      <c r="F175" s="1">
        <v>0</v>
      </c>
      <c r="G175" s="1">
        <v>0</v>
      </c>
      <c r="H175" s="1">
        <v>0</v>
      </c>
      <c r="I175" s="1">
        <v>74</v>
      </c>
    </row>
    <row r="176" spans="2:9" ht="12.75">
      <c r="B176" s="1">
        <v>21</v>
      </c>
      <c r="C176" s="1" t="s">
        <v>329</v>
      </c>
      <c r="D176" s="1">
        <v>0</v>
      </c>
      <c r="E176" s="1">
        <v>0</v>
      </c>
      <c r="F176" s="1">
        <v>0</v>
      </c>
      <c r="G176" s="1">
        <v>45</v>
      </c>
      <c r="H176" s="1">
        <v>0</v>
      </c>
      <c r="I176" s="1">
        <v>0</v>
      </c>
    </row>
    <row r="177" spans="2:10" ht="12.75">
      <c r="B177" s="1">
        <v>22</v>
      </c>
      <c r="C177" s="1" t="s">
        <v>333</v>
      </c>
      <c r="D177" s="1" t="s">
        <v>493</v>
      </c>
      <c r="E177" s="1">
        <v>0</v>
      </c>
      <c r="F177" s="1">
        <v>0</v>
      </c>
      <c r="G177" s="1">
        <v>0</v>
      </c>
      <c r="H177" s="1">
        <v>10.926</v>
      </c>
      <c r="I177" s="1">
        <v>13.491</v>
      </c>
      <c r="J177" s="1">
        <v>-64.05</v>
      </c>
    </row>
    <row r="178" spans="2:9" ht="12.75">
      <c r="B178" s="1">
        <v>24</v>
      </c>
      <c r="C178" s="1" t="s">
        <v>329</v>
      </c>
      <c r="D178" s="1">
        <v>0</v>
      </c>
      <c r="E178" s="1">
        <v>0</v>
      </c>
      <c r="F178" s="1">
        <v>0</v>
      </c>
      <c r="G178" s="1">
        <v>49.5</v>
      </c>
      <c r="H178" s="1">
        <v>0</v>
      </c>
      <c r="I178" s="1">
        <v>0</v>
      </c>
    </row>
    <row r="179" spans="2:10" ht="12.75">
      <c r="B179" s="1">
        <v>26</v>
      </c>
      <c r="C179" s="1" t="s">
        <v>333</v>
      </c>
      <c r="D179" s="1" t="s">
        <v>493</v>
      </c>
      <c r="E179" s="1">
        <v>0</v>
      </c>
      <c r="F179" s="1">
        <v>0</v>
      </c>
      <c r="G179" s="1">
        <v>0</v>
      </c>
      <c r="H179" s="1">
        <v>26</v>
      </c>
      <c r="I179" s="1">
        <v>12</v>
      </c>
      <c r="J179" s="1">
        <v>0</v>
      </c>
    </row>
    <row r="180" spans="2:9" ht="12.75">
      <c r="B180" s="1">
        <v>28</v>
      </c>
      <c r="C180" s="1" t="s">
        <v>329</v>
      </c>
      <c r="D180" s="1">
        <v>0</v>
      </c>
      <c r="E180" s="1">
        <v>0</v>
      </c>
      <c r="F180" s="1">
        <v>0</v>
      </c>
      <c r="G180" s="1">
        <v>-45</v>
      </c>
      <c r="H180" s="1">
        <v>0</v>
      </c>
      <c r="I180" s="1">
        <v>0</v>
      </c>
    </row>
    <row r="181" spans="2:10" ht="12.75">
      <c r="B181" s="1">
        <v>30</v>
      </c>
      <c r="C181" s="1" t="s">
        <v>333</v>
      </c>
      <c r="D181" s="1" t="s">
        <v>493</v>
      </c>
      <c r="E181" s="1">
        <v>0</v>
      </c>
      <c r="F181" s="1">
        <v>0</v>
      </c>
      <c r="G181" s="1">
        <v>0</v>
      </c>
      <c r="H181" s="1">
        <v>179.559</v>
      </c>
      <c r="I181" s="1">
        <v>-6.882</v>
      </c>
      <c r="J181" s="1">
        <v>90</v>
      </c>
    </row>
    <row r="182" spans="2:9" ht="12.75">
      <c r="B182" s="1">
        <v>32</v>
      </c>
      <c r="C182" s="1" t="s">
        <v>329</v>
      </c>
      <c r="D182" s="1">
        <v>0</v>
      </c>
      <c r="E182" s="1">
        <v>0</v>
      </c>
      <c r="F182" s="1">
        <v>0</v>
      </c>
      <c r="G182" s="1">
        <v>-49.5</v>
      </c>
      <c r="H182" s="1">
        <v>0</v>
      </c>
      <c r="I182" s="1">
        <v>0</v>
      </c>
    </row>
    <row r="183" spans="2:9" ht="12.75">
      <c r="B183" s="1">
        <v>33</v>
      </c>
      <c r="C183" s="1" t="s">
        <v>329</v>
      </c>
      <c r="D183" s="1">
        <v>0</v>
      </c>
      <c r="E183" s="1">
        <v>0</v>
      </c>
      <c r="F183" s="1">
        <v>0</v>
      </c>
      <c r="G183" s="1">
        <v>0</v>
      </c>
      <c r="H183" s="1">
        <v>0</v>
      </c>
      <c r="I183" s="1">
        <v>-74</v>
      </c>
    </row>
    <row r="184" spans="2:9" ht="12.75">
      <c r="B184" s="1">
        <v>34</v>
      </c>
      <c r="C184" s="1" t="s">
        <v>329</v>
      </c>
      <c r="D184" s="1">
        <v>0</v>
      </c>
      <c r="E184" s="1">
        <v>0</v>
      </c>
      <c r="F184" s="1">
        <v>0</v>
      </c>
      <c r="G184" s="1">
        <v>10</v>
      </c>
      <c r="H184" s="1">
        <v>0</v>
      </c>
      <c r="I184" s="1">
        <v>0</v>
      </c>
    </row>
    <row r="185" spans="2:9" ht="12.75">
      <c r="B185" s="1">
        <v>35</v>
      </c>
      <c r="C185" s="1" t="s">
        <v>329</v>
      </c>
      <c r="D185" s="1">
        <v>0</v>
      </c>
      <c r="E185" s="1">
        <v>0</v>
      </c>
      <c r="F185" s="1">
        <v>0</v>
      </c>
      <c r="G185" s="1">
        <v>-20</v>
      </c>
      <c r="H185" s="1">
        <v>0</v>
      </c>
      <c r="I185" s="1">
        <v>0</v>
      </c>
    </row>
    <row r="186" spans="2:9" ht="12.75">
      <c r="B186" s="1">
        <v>36</v>
      </c>
      <c r="C186" s="1" t="s">
        <v>329</v>
      </c>
      <c r="D186" s="1">
        <v>0</v>
      </c>
      <c r="E186" s="1">
        <v>0</v>
      </c>
      <c r="F186" s="1">
        <v>0</v>
      </c>
      <c r="G186" s="1">
        <v>0</v>
      </c>
      <c r="H186" s="1">
        <v>0</v>
      </c>
      <c r="I186" s="1">
        <v>-6.22</v>
      </c>
    </row>
    <row r="187" spans="2:9" ht="12.75">
      <c r="B187" s="1">
        <v>38</v>
      </c>
      <c r="C187" s="1" t="s">
        <v>329</v>
      </c>
      <c r="D187" s="1">
        <v>0</v>
      </c>
      <c r="E187" s="1">
        <v>0</v>
      </c>
      <c r="F187" s="1">
        <v>0</v>
      </c>
      <c r="G187" s="1">
        <v>-40</v>
      </c>
      <c r="H187" s="1">
        <v>0</v>
      </c>
      <c r="I187" s="1">
        <v>0</v>
      </c>
    </row>
    <row r="188" spans="2:9" ht="12.75">
      <c r="B188" s="1">
        <v>39</v>
      </c>
      <c r="C188" s="1" t="s">
        <v>329</v>
      </c>
      <c r="D188" s="1">
        <v>0</v>
      </c>
      <c r="E188" s="1">
        <v>0</v>
      </c>
      <c r="F188" s="1">
        <v>0</v>
      </c>
      <c r="G188" s="1">
        <v>30</v>
      </c>
      <c r="H188" s="1">
        <v>0</v>
      </c>
      <c r="I188" s="1">
        <v>0</v>
      </c>
    </row>
    <row r="189" spans="2:9" ht="12.75">
      <c r="B189" s="1">
        <v>40</v>
      </c>
      <c r="C189" s="1" t="s">
        <v>329</v>
      </c>
      <c r="D189" s="1">
        <v>0</v>
      </c>
      <c r="E189" s="1">
        <v>0</v>
      </c>
      <c r="F189" s="1">
        <v>0</v>
      </c>
      <c r="G189" s="1">
        <v>60</v>
      </c>
      <c r="H189" s="1">
        <v>0</v>
      </c>
      <c r="I189" s="1">
        <v>0</v>
      </c>
    </row>
    <row r="190" spans="2:9" ht="12.75">
      <c r="B190" s="1">
        <v>43</v>
      </c>
      <c r="C190" s="1" t="s">
        <v>329</v>
      </c>
      <c r="D190" s="1">
        <v>0</v>
      </c>
      <c r="E190" s="1">
        <v>0</v>
      </c>
      <c r="F190" s="1">
        <v>0</v>
      </c>
      <c r="G190" s="1">
        <v>-15</v>
      </c>
      <c r="H190" s="1">
        <v>0</v>
      </c>
      <c r="I190" s="1">
        <v>0</v>
      </c>
    </row>
    <row r="191" spans="2:9" ht="12.75">
      <c r="B191" s="1">
        <v>44</v>
      </c>
      <c r="C191" s="1" t="s">
        <v>329</v>
      </c>
      <c r="D191" s="1">
        <v>0</v>
      </c>
      <c r="E191" s="1">
        <v>0</v>
      </c>
      <c r="F191" s="1">
        <v>0</v>
      </c>
      <c r="G191" s="1">
        <v>-30</v>
      </c>
      <c r="H191" s="1">
        <v>0</v>
      </c>
      <c r="I191" s="1">
        <v>0</v>
      </c>
    </row>
    <row r="192" spans="2:9" ht="12.75">
      <c r="B192" s="1">
        <v>46</v>
      </c>
      <c r="C192" s="1" t="s">
        <v>329</v>
      </c>
      <c r="D192" s="1">
        <v>0</v>
      </c>
      <c r="E192" s="1">
        <v>0</v>
      </c>
      <c r="F192" s="1">
        <v>0</v>
      </c>
      <c r="G192" s="1">
        <v>45</v>
      </c>
      <c r="H192" s="1">
        <v>0</v>
      </c>
      <c r="I192" s="1">
        <v>0</v>
      </c>
    </row>
    <row r="193" spans="2:9" ht="12.75">
      <c r="B193" s="1">
        <v>47</v>
      </c>
      <c r="C193" s="1" t="s">
        <v>329</v>
      </c>
      <c r="D193" s="1">
        <v>0</v>
      </c>
      <c r="E193" s="1">
        <v>0</v>
      </c>
      <c r="F193" s="1">
        <v>0</v>
      </c>
      <c r="G193" s="1">
        <v>90</v>
      </c>
      <c r="H193" s="1">
        <v>0</v>
      </c>
      <c r="I193" s="1">
        <v>0</v>
      </c>
    </row>
    <row r="194" spans="2:9" ht="12.75">
      <c r="B194" s="1">
        <v>50</v>
      </c>
      <c r="C194" s="1" t="s">
        <v>329</v>
      </c>
      <c r="D194" s="1">
        <v>0</v>
      </c>
      <c r="E194" s="1">
        <v>0</v>
      </c>
      <c r="F194" s="1">
        <v>0</v>
      </c>
      <c r="G194" s="1">
        <v>45</v>
      </c>
      <c r="H194" s="1">
        <v>0</v>
      </c>
      <c r="I194" s="1">
        <v>0</v>
      </c>
    </row>
    <row r="195" spans="2:9" ht="12.75">
      <c r="B195" s="1">
        <v>51</v>
      </c>
      <c r="C195" s="1" t="s">
        <v>329</v>
      </c>
      <c r="D195" s="1">
        <v>0</v>
      </c>
      <c r="E195" s="1">
        <v>0</v>
      </c>
      <c r="F195" s="1">
        <v>0</v>
      </c>
      <c r="G195" s="1">
        <v>0</v>
      </c>
      <c r="H195" s="1">
        <v>45</v>
      </c>
      <c r="I195" s="1">
        <v>0</v>
      </c>
    </row>
    <row r="196" spans="2:9" ht="12.75">
      <c r="B196" s="1">
        <v>53</v>
      </c>
      <c r="C196" s="1" t="s">
        <v>329</v>
      </c>
      <c r="D196" s="1">
        <v>0</v>
      </c>
      <c r="E196" s="1">
        <v>0</v>
      </c>
      <c r="F196" s="1">
        <v>0</v>
      </c>
      <c r="G196" s="1">
        <v>0</v>
      </c>
      <c r="H196" s="1">
        <v>-45</v>
      </c>
      <c r="I196" s="1">
        <v>0</v>
      </c>
    </row>
    <row r="197" spans="2:9" ht="12.75">
      <c r="B197" s="1">
        <v>54</v>
      </c>
      <c r="C197" s="1" t="s">
        <v>329</v>
      </c>
      <c r="D197" s="1">
        <v>0</v>
      </c>
      <c r="E197" s="1">
        <v>0</v>
      </c>
      <c r="F197" s="1">
        <v>0</v>
      </c>
      <c r="G197" s="1">
        <v>45</v>
      </c>
      <c r="H197" s="1">
        <v>0</v>
      </c>
      <c r="I197" s="1">
        <v>0</v>
      </c>
    </row>
    <row r="198" spans="2:9" ht="12.75">
      <c r="B198" s="1">
        <v>56</v>
      </c>
      <c r="C198" s="1" t="s">
        <v>329</v>
      </c>
      <c r="D198" s="1">
        <v>0</v>
      </c>
      <c r="E198" s="1">
        <v>0</v>
      </c>
      <c r="F198" s="1">
        <v>0</v>
      </c>
      <c r="G198" s="1">
        <v>-15</v>
      </c>
      <c r="H198" s="1">
        <v>0</v>
      </c>
      <c r="I198" s="1">
        <v>0</v>
      </c>
    </row>
    <row r="199" spans="2:9" ht="12.75">
      <c r="B199" s="1">
        <v>57</v>
      </c>
      <c r="C199" s="1" t="s">
        <v>329</v>
      </c>
      <c r="D199" s="1">
        <v>0</v>
      </c>
      <c r="E199" s="1">
        <v>0</v>
      </c>
      <c r="F199" s="1">
        <v>0</v>
      </c>
      <c r="G199" s="1">
        <v>-30</v>
      </c>
      <c r="H199" s="1">
        <v>0</v>
      </c>
      <c r="I199" s="1">
        <v>0</v>
      </c>
    </row>
    <row r="200" spans="2:9" ht="12.75">
      <c r="B200" s="1">
        <v>60</v>
      </c>
      <c r="C200" s="1" t="s">
        <v>329</v>
      </c>
      <c r="D200" s="1">
        <v>0</v>
      </c>
      <c r="E200" s="1">
        <v>0</v>
      </c>
      <c r="F200" s="1">
        <v>0</v>
      </c>
      <c r="G200" s="1">
        <v>30</v>
      </c>
      <c r="H200" s="1">
        <v>0</v>
      </c>
      <c r="I200" s="1">
        <v>0</v>
      </c>
    </row>
    <row r="201" spans="2:9" ht="12.75">
      <c r="B201" s="1">
        <v>61</v>
      </c>
      <c r="C201" s="1" t="s">
        <v>329</v>
      </c>
      <c r="D201" s="1">
        <v>0</v>
      </c>
      <c r="E201" s="1">
        <v>0</v>
      </c>
      <c r="F201" s="1">
        <v>0</v>
      </c>
      <c r="G201" s="1">
        <v>60</v>
      </c>
      <c r="H201" s="1">
        <v>0</v>
      </c>
      <c r="I201" s="1">
        <v>0</v>
      </c>
    </row>
    <row r="202" spans="2:9" ht="12.75">
      <c r="B202" s="1">
        <v>62</v>
      </c>
      <c r="C202" s="1" t="s">
        <v>329</v>
      </c>
      <c r="D202" s="1">
        <v>0</v>
      </c>
      <c r="E202" s="1">
        <v>0</v>
      </c>
      <c r="F202" s="1">
        <v>0</v>
      </c>
      <c r="G202" s="1">
        <v>-20</v>
      </c>
      <c r="H202" s="1">
        <v>0</v>
      </c>
      <c r="I202" s="1">
        <v>0</v>
      </c>
    </row>
    <row r="203" spans="2:9" ht="12.75">
      <c r="B203" s="1">
        <v>63</v>
      </c>
      <c r="C203" s="1" t="s">
        <v>329</v>
      </c>
      <c r="D203" s="1">
        <v>0</v>
      </c>
      <c r="E203" s="1">
        <v>0</v>
      </c>
      <c r="F203" s="1">
        <v>0</v>
      </c>
      <c r="G203" s="1">
        <v>0</v>
      </c>
      <c r="H203" s="1">
        <v>0</v>
      </c>
      <c r="I203" s="1">
        <v>-1.79</v>
      </c>
    </row>
    <row r="204" spans="2:9" ht="12.75">
      <c r="B204" s="1">
        <v>65</v>
      </c>
      <c r="C204" s="1" t="s">
        <v>329</v>
      </c>
      <c r="D204" s="1">
        <v>0</v>
      </c>
      <c r="E204" s="1">
        <v>0</v>
      </c>
      <c r="F204" s="1">
        <v>0</v>
      </c>
      <c r="G204" s="1">
        <v>-40</v>
      </c>
      <c r="H204" s="1">
        <v>0</v>
      </c>
      <c r="I204" s="1">
        <v>0</v>
      </c>
    </row>
    <row r="205" spans="2:9" ht="12.75">
      <c r="B205" s="1">
        <v>67</v>
      </c>
      <c r="C205" s="1" t="s">
        <v>329</v>
      </c>
      <c r="D205" s="1">
        <v>0</v>
      </c>
      <c r="E205" s="1">
        <v>0</v>
      </c>
      <c r="F205" s="1">
        <v>0</v>
      </c>
      <c r="G205" s="1">
        <v>0</v>
      </c>
      <c r="H205" s="1">
        <v>-45</v>
      </c>
      <c r="I205" s="1">
        <v>0</v>
      </c>
    </row>
    <row r="206" spans="2:9" ht="12.75">
      <c r="B206" s="1">
        <v>68</v>
      </c>
      <c r="C206" s="1" t="s">
        <v>329</v>
      </c>
      <c r="D206" s="1">
        <v>0</v>
      </c>
      <c r="E206" s="1">
        <v>0</v>
      </c>
      <c r="F206" s="1">
        <v>0</v>
      </c>
      <c r="G206" s="1">
        <v>0</v>
      </c>
      <c r="H206" s="1">
        <v>-90</v>
      </c>
      <c r="I206" s="1">
        <v>0</v>
      </c>
    </row>
    <row r="208" spans="2:5" ht="12.75">
      <c r="B208" s="1" t="s">
        <v>287</v>
      </c>
      <c r="C208" s="1" t="s">
        <v>288</v>
      </c>
      <c r="D208" s="1" t="s">
        <v>61</v>
      </c>
      <c r="E208" s="1" t="s">
        <v>330</v>
      </c>
    </row>
    <row r="209" ht="12.75">
      <c r="B209" s="1" t="s">
        <v>331</v>
      </c>
    </row>
    <row r="210" spans="2:7" ht="12.75">
      <c r="B210" s="1" t="s">
        <v>332</v>
      </c>
      <c r="C210" s="1" t="s">
        <v>52</v>
      </c>
      <c r="D210" s="1" t="s">
        <v>299</v>
      </c>
      <c r="E210" s="1" t="s">
        <v>333</v>
      </c>
      <c r="F210" s="1" t="s">
        <v>301</v>
      </c>
      <c r="G210" s="1" t="s">
        <v>299</v>
      </c>
    </row>
    <row r="211" spans="2:10" ht="12.75">
      <c r="B211" s="1" t="s">
        <v>329</v>
      </c>
      <c r="C211" s="1" t="s">
        <v>334</v>
      </c>
      <c r="D211" s="1" t="s">
        <v>299</v>
      </c>
      <c r="E211" s="1" t="s">
        <v>335</v>
      </c>
      <c r="F211" s="1" t="s">
        <v>336</v>
      </c>
      <c r="G211" s="1" t="s">
        <v>293</v>
      </c>
      <c r="H211" s="1" t="s">
        <v>57</v>
      </c>
      <c r="I211" s="1" t="s">
        <v>334</v>
      </c>
      <c r="J211" s="1" t="s">
        <v>70</v>
      </c>
    </row>
    <row r="213" spans="2:3" ht="12.75">
      <c r="B213" s="1" t="s">
        <v>50</v>
      </c>
      <c r="C213" s="1" t="s">
        <v>337</v>
      </c>
    </row>
    <row r="214" ht="12.75">
      <c r="B214" s="1" t="s">
        <v>325</v>
      </c>
    </row>
    <row r="215" spans="2:8" ht="12.75">
      <c r="B215" s="1">
        <v>12</v>
      </c>
      <c r="C215" s="1" t="s">
        <v>338</v>
      </c>
      <c r="D215" s="1" t="s">
        <v>339</v>
      </c>
      <c r="E215" s="1" t="s">
        <v>60</v>
      </c>
      <c r="F215" s="1" t="s">
        <v>61</v>
      </c>
      <c r="G215" s="1" t="s">
        <v>62</v>
      </c>
      <c r="H215" s="1">
        <v>11</v>
      </c>
    </row>
    <row r="216" spans="2:8" ht="12.75">
      <c r="B216" s="1">
        <v>16</v>
      </c>
      <c r="C216" s="1" t="s">
        <v>338</v>
      </c>
      <c r="D216" s="1" t="s">
        <v>339</v>
      </c>
      <c r="E216" s="1" t="s">
        <v>60</v>
      </c>
      <c r="F216" s="1" t="s">
        <v>61</v>
      </c>
      <c r="G216" s="1" t="s">
        <v>62</v>
      </c>
      <c r="H216" s="1">
        <v>13</v>
      </c>
    </row>
    <row r="217" spans="2:8" ht="12.75">
      <c r="B217" s="1">
        <v>18</v>
      </c>
      <c r="C217" s="1" t="s">
        <v>338</v>
      </c>
      <c r="D217" s="1" t="s">
        <v>339</v>
      </c>
      <c r="E217" s="1" t="s">
        <v>60</v>
      </c>
      <c r="F217" s="1" t="s">
        <v>61</v>
      </c>
      <c r="G217" s="1" t="s">
        <v>62</v>
      </c>
      <c r="H217" s="1">
        <v>17</v>
      </c>
    </row>
    <row r="218" spans="2:7" ht="12.75">
      <c r="B218" s="1">
        <v>23</v>
      </c>
      <c r="C218" s="1" t="s">
        <v>494</v>
      </c>
      <c r="D218" s="1" t="s">
        <v>495</v>
      </c>
      <c r="E218" s="1" t="s">
        <v>61</v>
      </c>
      <c r="F218" s="1" t="s">
        <v>62</v>
      </c>
      <c r="G218" s="1">
        <v>21</v>
      </c>
    </row>
    <row r="219" spans="2:7" ht="12.75">
      <c r="B219" s="1">
        <v>27</v>
      </c>
      <c r="C219" s="1" t="s">
        <v>494</v>
      </c>
      <c r="D219" s="1" t="s">
        <v>495</v>
      </c>
      <c r="E219" s="1" t="s">
        <v>61</v>
      </c>
      <c r="F219" s="1" t="s">
        <v>62</v>
      </c>
      <c r="G219" s="1">
        <v>25</v>
      </c>
    </row>
    <row r="220" spans="2:7" ht="12.75">
      <c r="B220" s="1">
        <v>31</v>
      </c>
      <c r="C220" s="1" t="s">
        <v>494</v>
      </c>
      <c r="D220" s="1" t="s">
        <v>495</v>
      </c>
      <c r="E220" s="1" t="s">
        <v>61</v>
      </c>
      <c r="F220" s="1" t="s">
        <v>62</v>
      </c>
      <c r="G220" s="1">
        <v>29</v>
      </c>
    </row>
    <row r="221" spans="2:8" ht="12.75">
      <c r="B221" s="1">
        <v>37</v>
      </c>
      <c r="C221" s="1" t="s">
        <v>338</v>
      </c>
      <c r="D221" s="1" t="s">
        <v>339</v>
      </c>
      <c r="E221" s="1" t="s">
        <v>60</v>
      </c>
      <c r="F221" s="1" t="s">
        <v>61</v>
      </c>
      <c r="G221" s="1" t="s">
        <v>62</v>
      </c>
      <c r="H221" s="1">
        <v>36</v>
      </c>
    </row>
    <row r="222" spans="2:8" ht="12.75">
      <c r="B222" s="1">
        <v>38</v>
      </c>
      <c r="C222" s="1" t="s">
        <v>338</v>
      </c>
      <c r="D222" s="1" t="s">
        <v>339</v>
      </c>
      <c r="E222" s="1" t="s">
        <v>60</v>
      </c>
      <c r="F222" s="1" t="s">
        <v>61</v>
      </c>
      <c r="G222" s="1" t="s">
        <v>62</v>
      </c>
      <c r="H222" s="1">
        <v>35</v>
      </c>
    </row>
    <row r="223" spans="2:8" ht="12.75">
      <c r="B223" s="1">
        <v>40</v>
      </c>
      <c r="C223" s="1" t="s">
        <v>338</v>
      </c>
      <c r="D223" s="1" t="s">
        <v>339</v>
      </c>
      <c r="E223" s="1" t="s">
        <v>60</v>
      </c>
      <c r="F223" s="1" t="s">
        <v>61</v>
      </c>
      <c r="G223" s="1" t="s">
        <v>62</v>
      </c>
      <c r="H223" s="1">
        <v>39</v>
      </c>
    </row>
    <row r="224" spans="2:8" ht="12.75">
      <c r="B224" s="1">
        <v>44</v>
      </c>
      <c r="C224" s="1" t="s">
        <v>338</v>
      </c>
      <c r="D224" s="1" t="s">
        <v>339</v>
      </c>
      <c r="E224" s="1" t="s">
        <v>60</v>
      </c>
      <c r="F224" s="1" t="s">
        <v>61</v>
      </c>
      <c r="G224" s="1" t="s">
        <v>62</v>
      </c>
      <c r="H224" s="1">
        <v>43</v>
      </c>
    </row>
    <row r="225" spans="2:8" ht="12.75">
      <c r="B225" s="1">
        <v>47</v>
      </c>
      <c r="C225" s="1" t="s">
        <v>338</v>
      </c>
      <c r="D225" s="1" t="s">
        <v>339</v>
      </c>
      <c r="E225" s="1" t="s">
        <v>60</v>
      </c>
      <c r="F225" s="1" t="s">
        <v>61</v>
      </c>
      <c r="G225" s="1" t="s">
        <v>62</v>
      </c>
      <c r="H225" s="1">
        <v>46</v>
      </c>
    </row>
    <row r="226" spans="2:8" ht="12.75">
      <c r="B226" s="1">
        <v>52</v>
      </c>
      <c r="C226" s="1" t="s">
        <v>338</v>
      </c>
      <c r="D226" s="1" t="s">
        <v>339</v>
      </c>
      <c r="E226" s="1" t="s">
        <v>60</v>
      </c>
      <c r="F226" s="1" t="s">
        <v>61</v>
      </c>
      <c r="G226" s="1" t="s">
        <v>62</v>
      </c>
      <c r="H226" s="1">
        <v>51</v>
      </c>
    </row>
    <row r="227" spans="2:8" ht="12.75">
      <c r="B227" s="1">
        <v>54</v>
      </c>
      <c r="C227" s="1" t="s">
        <v>338</v>
      </c>
      <c r="D227" s="1" t="s">
        <v>339</v>
      </c>
      <c r="E227" s="1" t="s">
        <v>60</v>
      </c>
      <c r="F227" s="1" t="s">
        <v>61</v>
      </c>
      <c r="G227" s="1" t="s">
        <v>62</v>
      </c>
      <c r="H227" s="1">
        <v>53</v>
      </c>
    </row>
    <row r="228" spans="2:8" ht="12.75">
      <c r="B228" s="1">
        <v>56</v>
      </c>
      <c r="C228" s="1" t="s">
        <v>339</v>
      </c>
      <c r="D228" s="1" t="s">
        <v>307</v>
      </c>
      <c r="E228" s="1" t="s">
        <v>340</v>
      </c>
      <c r="F228" s="1" t="s">
        <v>61</v>
      </c>
      <c r="G228" s="1" t="s">
        <v>62</v>
      </c>
      <c r="H228" s="1">
        <v>43</v>
      </c>
    </row>
    <row r="229" spans="2:8" ht="12.75">
      <c r="B229" s="1">
        <v>57</v>
      </c>
      <c r="C229" s="1" t="s">
        <v>338</v>
      </c>
      <c r="D229" s="1" t="s">
        <v>339</v>
      </c>
      <c r="E229" s="1" t="s">
        <v>60</v>
      </c>
      <c r="F229" s="1" t="s">
        <v>61</v>
      </c>
      <c r="G229" s="1" t="s">
        <v>62</v>
      </c>
      <c r="H229" s="1">
        <v>56</v>
      </c>
    </row>
    <row r="230" spans="2:8" ht="12.75">
      <c r="B230" s="1">
        <v>57</v>
      </c>
      <c r="C230" s="1" t="s">
        <v>339</v>
      </c>
      <c r="D230" s="1" t="s">
        <v>307</v>
      </c>
      <c r="E230" s="1" t="s">
        <v>340</v>
      </c>
      <c r="F230" s="1" t="s">
        <v>61</v>
      </c>
      <c r="G230" s="1" t="s">
        <v>62</v>
      </c>
      <c r="H230" s="1">
        <v>44</v>
      </c>
    </row>
    <row r="231" spans="2:8" ht="12.75">
      <c r="B231" s="1">
        <v>60</v>
      </c>
      <c r="C231" s="1" t="s">
        <v>339</v>
      </c>
      <c r="D231" s="1" t="s">
        <v>307</v>
      </c>
      <c r="E231" s="1" t="s">
        <v>340</v>
      </c>
      <c r="F231" s="1" t="s">
        <v>61</v>
      </c>
      <c r="G231" s="1" t="s">
        <v>62</v>
      </c>
      <c r="H231" s="1">
        <v>39</v>
      </c>
    </row>
    <row r="232" spans="2:8" ht="12.75">
      <c r="B232" s="1">
        <v>61</v>
      </c>
      <c r="C232" s="1" t="s">
        <v>338</v>
      </c>
      <c r="D232" s="1" t="s">
        <v>339</v>
      </c>
      <c r="E232" s="1" t="s">
        <v>60</v>
      </c>
      <c r="F232" s="1" t="s">
        <v>61</v>
      </c>
      <c r="G232" s="1" t="s">
        <v>62</v>
      </c>
      <c r="H232" s="1">
        <v>60</v>
      </c>
    </row>
    <row r="233" spans="2:8" ht="12.75">
      <c r="B233" s="1">
        <v>61</v>
      </c>
      <c r="C233" s="1" t="s">
        <v>339</v>
      </c>
      <c r="D233" s="1" t="s">
        <v>307</v>
      </c>
      <c r="E233" s="1" t="s">
        <v>340</v>
      </c>
      <c r="F233" s="1" t="s">
        <v>61</v>
      </c>
      <c r="G233" s="1" t="s">
        <v>62</v>
      </c>
      <c r="H233" s="1">
        <v>40</v>
      </c>
    </row>
    <row r="234" spans="2:8" ht="12.75">
      <c r="B234" s="1">
        <v>64</v>
      </c>
      <c r="C234" s="1" t="s">
        <v>338</v>
      </c>
      <c r="D234" s="1" t="s">
        <v>339</v>
      </c>
      <c r="E234" s="1" t="s">
        <v>60</v>
      </c>
      <c r="F234" s="1" t="s">
        <v>61</v>
      </c>
      <c r="G234" s="1" t="s">
        <v>62</v>
      </c>
      <c r="H234" s="1">
        <v>63</v>
      </c>
    </row>
    <row r="235" spans="2:8" ht="12.75">
      <c r="B235" s="1">
        <v>65</v>
      </c>
      <c r="C235" s="1" t="s">
        <v>338</v>
      </c>
      <c r="D235" s="1" t="s">
        <v>339</v>
      </c>
      <c r="E235" s="1" t="s">
        <v>60</v>
      </c>
      <c r="F235" s="1" t="s">
        <v>61</v>
      </c>
      <c r="G235" s="1" t="s">
        <v>62</v>
      </c>
      <c r="H235" s="1">
        <v>62</v>
      </c>
    </row>
    <row r="236" spans="2:8" ht="12.75">
      <c r="B236" s="1">
        <v>68</v>
      </c>
      <c r="C236" s="1" t="s">
        <v>338</v>
      </c>
      <c r="D236" s="1" t="s">
        <v>339</v>
      </c>
      <c r="E236" s="1" t="s">
        <v>60</v>
      </c>
      <c r="F236" s="1" t="s">
        <v>61</v>
      </c>
      <c r="G236" s="1" t="s">
        <v>62</v>
      </c>
      <c r="H236" s="1">
        <v>67</v>
      </c>
    </row>
    <row r="238" spans="2:4" ht="12.75">
      <c r="B238" s="1" t="s">
        <v>52</v>
      </c>
      <c r="C238" s="1" t="s">
        <v>58</v>
      </c>
      <c r="D238" s="1" t="s">
        <v>56</v>
      </c>
    </row>
    <row r="240" spans="2:11" ht="12.75">
      <c r="B240" s="1" t="s">
        <v>52</v>
      </c>
      <c r="C240" s="1" t="s">
        <v>58</v>
      </c>
      <c r="D240" s="1" t="s">
        <v>61</v>
      </c>
      <c r="E240" s="1" t="s">
        <v>194</v>
      </c>
      <c r="F240" s="1" t="s">
        <v>57</v>
      </c>
      <c r="G240" s="1" t="s">
        <v>58</v>
      </c>
      <c r="H240" s="1" t="s">
        <v>59</v>
      </c>
      <c r="I240" s="1" t="s">
        <v>60</v>
      </c>
      <c r="J240" s="1" t="s">
        <v>61</v>
      </c>
      <c r="K240" s="1">
        <v>9</v>
      </c>
    </row>
    <row r="241" ht="12.75">
      <c r="B241" s="1" t="s">
        <v>325</v>
      </c>
    </row>
    <row r="242" spans="2:9" ht="12.75">
      <c r="B242" s="1" t="s">
        <v>50</v>
      </c>
      <c r="C242" s="1" t="s">
        <v>17</v>
      </c>
      <c r="D242" s="1" t="s">
        <v>80</v>
      </c>
      <c r="E242" s="1" t="s">
        <v>81</v>
      </c>
      <c r="F242" s="1" t="s">
        <v>341</v>
      </c>
      <c r="G242" s="1" t="s">
        <v>326</v>
      </c>
      <c r="H242" s="1" t="s">
        <v>327</v>
      </c>
      <c r="I242" s="1" t="s">
        <v>328</v>
      </c>
    </row>
    <row r="243" ht="12.75">
      <c r="B243" s="1" t="s">
        <v>325</v>
      </c>
    </row>
    <row r="244" spans="2:8" ht="12.75">
      <c r="B244" s="1">
        <v>1</v>
      </c>
      <c r="C244" s="1">
        <v>38.149974</v>
      </c>
      <c r="D244" s="1">
        <v>56.739172</v>
      </c>
      <c r="E244" s="1">
        <v>-1050.030473</v>
      </c>
      <c r="F244" s="1">
        <v>-0.18293</v>
      </c>
      <c r="G244" s="1">
        <v>0.123</v>
      </c>
      <c r="H244" s="1">
        <v>-0.00039</v>
      </c>
    </row>
    <row r="245" spans="2:8" ht="12.75">
      <c r="B245" s="1">
        <v>2</v>
      </c>
      <c r="C245" s="1">
        <v>0</v>
      </c>
      <c r="D245" s="1">
        <v>0</v>
      </c>
      <c r="E245" s="4">
        <v>16700</v>
      </c>
      <c r="F245" s="1">
        <v>0</v>
      </c>
      <c r="G245" s="1">
        <v>0.123</v>
      </c>
      <c r="H245" s="1">
        <v>0</v>
      </c>
    </row>
    <row r="246" spans="2:8" ht="12.75">
      <c r="B246" s="1">
        <v>3</v>
      </c>
      <c r="C246" s="1">
        <v>0</v>
      </c>
      <c r="D246" s="1">
        <v>0</v>
      </c>
      <c r="E246" s="4">
        <v>16700</v>
      </c>
      <c r="F246" s="1">
        <v>0</v>
      </c>
      <c r="G246" s="1">
        <v>0</v>
      </c>
      <c r="H246" s="1">
        <v>0</v>
      </c>
    </row>
    <row r="247" spans="2:8" ht="12.75">
      <c r="B247" s="1">
        <v>4</v>
      </c>
      <c r="C247" s="1">
        <v>0</v>
      </c>
      <c r="D247" s="1">
        <v>0</v>
      </c>
      <c r="E247" s="1">
        <v>-1050.162</v>
      </c>
      <c r="F247" s="1">
        <v>0</v>
      </c>
      <c r="G247" s="1">
        <v>0</v>
      </c>
      <c r="H247" s="1">
        <v>0</v>
      </c>
    </row>
    <row r="248" spans="2:8" ht="12.75">
      <c r="B248" s="1">
        <v>5</v>
      </c>
      <c r="C248" s="1">
        <v>0</v>
      </c>
      <c r="D248" s="1">
        <v>0</v>
      </c>
      <c r="E248" s="1">
        <v>-3050.162</v>
      </c>
      <c r="F248" s="1">
        <v>0</v>
      </c>
      <c r="G248" s="1">
        <v>0</v>
      </c>
      <c r="H248" s="1">
        <v>0</v>
      </c>
    </row>
    <row r="249" spans="2:8" ht="12.75">
      <c r="B249" s="1">
        <v>6</v>
      </c>
      <c r="C249" s="1">
        <v>0</v>
      </c>
      <c r="D249" s="1">
        <v>0</v>
      </c>
      <c r="E249" s="1">
        <v>-1050.162</v>
      </c>
      <c r="F249" s="1">
        <v>0</v>
      </c>
      <c r="G249" s="1">
        <v>0</v>
      </c>
      <c r="H249" s="1">
        <v>0</v>
      </c>
    </row>
    <row r="250" spans="2:8" ht="12.75">
      <c r="B250" s="1" t="s">
        <v>235</v>
      </c>
      <c r="C250" s="1">
        <v>0</v>
      </c>
      <c r="D250" s="1">
        <v>0</v>
      </c>
      <c r="E250" s="1">
        <v>-2638.131</v>
      </c>
      <c r="F250" s="1">
        <v>0</v>
      </c>
      <c r="G250" s="1">
        <v>0</v>
      </c>
      <c r="H250" s="1">
        <v>0</v>
      </c>
    </row>
    <row r="251" spans="2:8" ht="12.75">
      <c r="B251" s="1">
        <v>8</v>
      </c>
      <c r="C251" s="1">
        <v>0</v>
      </c>
      <c r="D251" s="1">
        <v>0</v>
      </c>
      <c r="E251" s="1">
        <v>-1050.162</v>
      </c>
      <c r="F251" s="1">
        <v>0</v>
      </c>
      <c r="G251" s="1">
        <v>0</v>
      </c>
      <c r="H251" s="1">
        <v>0</v>
      </c>
    </row>
    <row r="252" spans="2:8" ht="12.75">
      <c r="B252" s="1">
        <v>9</v>
      </c>
      <c r="C252" s="1">
        <v>0</v>
      </c>
      <c r="D252" s="1">
        <v>0</v>
      </c>
      <c r="E252" s="1">
        <v>0</v>
      </c>
      <c r="F252" s="1">
        <v>0</v>
      </c>
      <c r="G252" s="1">
        <v>0</v>
      </c>
      <c r="H252" s="1">
        <v>0</v>
      </c>
    </row>
    <row r="253" spans="2:8" ht="12.75">
      <c r="B253" s="1">
        <v>10</v>
      </c>
      <c r="C253" s="1">
        <v>0</v>
      </c>
      <c r="D253" s="1">
        <v>-91.048</v>
      </c>
      <c r="E253" s="1">
        <v>0</v>
      </c>
      <c r="F253" s="1">
        <v>-1.9766</v>
      </c>
      <c r="G253" s="1">
        <v>0</v>
      </c>
      <c r="H253" s="1">
        <v>0</v>
      </c>
    </row>
    <row r="254" spans="2:8" ht="12.75">
      <c r="B254" s="1">
        <v>11</v>
      </c>
      <c r="C254" s="1">
        <v>0</v>
      </c>
      <c r="D254" s="1">
        <v>-243.065859</v>
      </c>
      <c r="E254" s="1">
        <v>78.379337</v>
      </c>
      <c r="F254" s="1">
        <v>-8.6832</v>
      </c>
      <c r="G254" s="1">
        <v>0</v>
      </c>
      <c r="H254" s="1">
        <v>0</v>
      </c>
    </row>
    <row r="255" spans="2:8" ht="12.75">
      <c r="B255" s="1">
        <v>12</v>
      </c>
      <c r="C255" s="1">
        <v>0</v>
      </c>
      <c r="D255" s="1">
        <v>-93.493436</v>
      </c>
      <c r="E255" s="1">
        <v>70.857814</v>
      </c>
      <c r="F255" s="1">
        <v>29.9534</v>
      </c>
      <c r="G255" s="1">
        <v>0</v>
      </c>
      <c r="H255" s="1">
        <v>0</v>
      </c>
    </row>
    <row r="256" spans="2:8" ht="12.75">
      <c r="B256" s="1">
        <v>13</v>
      </c>
      <c r="C256" s="1">
        <v>0</v>
      </c>
      <c r="D256" s="1">
        <v>-200.09302</v>
      </c>
      <c r="E256" s="1">
        <v>-114.125371</v>
      </c>
      <c r="F256" s="1">
        <v>17.9434</v>
      </c>
      <c r="G256" s="1">
        <v>0</v>
      </c>
      <c r="H256" s="1">
        <v>0</v>
      </c>
    </row>
    <row r="257" spans="2:8" ht="12.75">
      <c r="B257" s="1">
        <v>14</v>
      </c>
      <c r="C257" s="1">
        <v>0</v>
      </c>
      <c r="D257" s="1">
        <v>-200.09302</v>
      </c>
      <c r="E257" s="1">
        <v>-114.125371</v>
      </c>
      <c r="F257" s="1">
        <v>17.9434</v>
      </c>
      <c r="G257" s="1">
        <v>0</v>
      </c>
      <c r="H257" s="1">
        <v>0</v>
      </c>
    </row>
    <row r="258" spans="2:8" ht="12.75">
      <c r="B258" s="1">
        <v>15</v>
      </c>
      <c r="C258" s="1">
        <v>0</v>
      </c>
      <c r="D258" s="1">
        <v>-200.09302</v>
      </c>
      <c r="E258" s="1">
        <v>-114.125371</v>
      </c>
      <c r="F258" s="1">
        <v>17.9434</v>
      </c>
      <c r="G258" s="1">
        <v>0</v>
      </c>
      <c r="H258" s="1">
        <v>0</v>
      </c>
    </row>
    <row r="259" spans="2:8" ht="12.75">
      <c r="B259" s="1">
        <v>16</v>
      </c>
      <c r="C259" s="1">
        <v>0</v>
      </c>
      <c r="D259" s="1">
        <v>-200.09302</v>
      </c>
      <c r="E259" s="1">
        <v>-114.125371</v>
      </c>
      <c r="F259" s="1">
        <v>5.9334</v>
      </c>
      <c r="G259" s="1">
        <v>0</v>
      </c>
      <c r="H259" s="1">
        <v>0</v>
      </c>
    </row>
    <row r="260" spans="2:8" ht="12.75">
      <c r="B260" s="1">
        <v>17</v>
      </c>
      <c r="C260" s="1">
        <v>0</v>
      </c>
      <c r="D260" s="1">
        <v>-179.687314</v>
      </c>
      <c r="E260" s="1">
        <v>82.217104</v>
      </c>
      <c r="F260" s="1">
        <v>15.1454</v>
      </c>
      <c r="G260" s="1">
        <v>0</v>
      </c>
      <c r="H260" s="1">
        <v>0</v>
      </c>
    </row>
    <row r="261" spans="2:8" ht="12.75">
      <c r="B261" s="1">
        <v>18</v>
      </c>
      <c r="C261" s="1">
        <v>0</v>
      </c>
      <c r="D261" s="1">
        <v>-179.687314</v>
      </c>
      <c r="E261" s="1">
        <v>82.217104</v>
      </c>
      <c r="F261" s="1">
        <v>24.3574</v>
      </c>
      <c r="G261" s="1">
        <v>0</v>
      </c>
      <c r="H261" s="1">
        <v>0</v>
      </c>
    </row>
    <row r="262" spans="2:8" ht="12.75">
      <c r="B262" s="1">
        <v>19</v>
      </c>
      <c r="C262" s="1">
        <v>0</v>
      </c>
      <c r="D262" s="1">
        <v>-259.533222</v>
      </c>
      <c r="E262" s="1">
        <v>-94.150668</v>
      </c>
      <c r="F262" s="1">
        <v>0</v>
      </c>
      <c r="G262" s="1">
        <v>0</v>
      </c>
      <c r="H262" s="1">
        <v>0</v>
      </c>
    </row>
    <row r="263" spans="2:8" ht="12.75">
      <c r="B263" s="1">
        <v>20</v>
      </c>
      <c r="C263" s="1">
        <v>33.82</v>
      </c>
      <c r="D263" s="1">
        <v>-263.975222</v>
      </c>
      <c r="E263" s="1">
        <v>-104.150668</v>
      </c>
      <c r="F263" s="1">
        <v>0</v>
      </c>
      <c r="G263" s="1">
        <v>0</v>
      </c>
      <c r="H263" s="1">
        <v>74</v>
      </c>
    </row>
    <row r="264" spans="2:8" ht="12.75">
      <c r="B264" s="1">
        <v>21</v>
      </c>
      <c r="C264" s="1">
        <v>33.82</v>
      </c>
      <c r="D264" s="1">
        <v>-263.975222</v>
      </c>
      <c r="E264" s="1">
        <v>-104.150668</v>
      </c>
      <c r="F264" s="1">
        <v>15.4102</v>
      </c>
      <c r="G264" s="1">
        <v>-42.82135</v>
      </c>
      <c r="H264" s="1">
        <v>67.9265</v>
      </c>
    </row>
    <row r="265" spans="2:8" ht="12.75">
      <c r="B265" s="1">
        <v>22</v>
      </c>
      <c r="C265" s="1">
        <v>33.82</v>
      </c>
      <c r="D265" s="1">
        <v>-263.975222</v>
      </c>
      <c r="E265" s="1">
        <v>-104.150668</v>
      </c>
      <c r="F265" s="1">
        <v>39.32223</v>
      </c>
      <c r="G265" s="1">
        <v>-45.23104</v>
      </c>
      <c r="H265" s="1">
        <v>-14.16719</v>
      </c>
    </row>
    <row r="266" spans="2:8" ht="12.75">
      <c r="B266" s="1">
        <v>23</v>
      </c>
      <c r="C266" s="1">
        <v>33.82</v>
      </c>
      <c r="D266" s="1">
        <v>-263.975222</v>
      </c>
      <c r="E266" s="1">
        <v>-104.150668</v>
      </c>
      <c r="F266" s="1">
        <v>15.4102</v>
      </c>
      <c r="G266" s="1">
        <v>-42.82135</v>
      </c>
      <c r="H266" s="1">
        <v>67.9265</v>
      </c>
    </row>
    <row r="267" spans="2:8" ht="12.75">
      <c r="B267" s="1">
        <v>24</v>
      </c>
      <c r="C267" s="1">
        <v>33.82</v>
      </c>
      <c r="D267" s="1">
        <v>-263.975222</v>
      </c>
      <c r="E267" s="1">
        <v>-104.150668</v>
      </c>
      <c r="F267" s="1">
        <v>105.93544</v>
      </c>
      <c r="G267" s="1">
        <v>-73.39516</v>
      </c>
      <c r="H267" s="1">
        <v>-15.30268</v>
      </c>
    </row>
    <row r="268" spans="2:8" ht="12.75">
      <c r="B268" s="1">
        <v>25</v>
      </c>
      <c r="C268" s="1">
        <v>141.695656</v>
      </c>
      <c r="D268" s="1">
        <v>-233.042376</v>
      </c>
      <c r="E268" s="1">
        <v>-112.982809</v>
      </c>
      <c r="F268" s="1">
        <v>105.93544</v>
      </c>
      <c r="G268" s="1">
        <v>-73.39516</v>
      </c>
      <c r="H268" s="1">
        <v>-15.30268</v>
      </c>
    </row>
    <row r="269" spans="2:8" ht="12.75">
      <c r="B269" s="1">
        <v>26</v>
      </c>
      <c r="C269" s="1">
        <v>141.695656</v>
      </c>
      <c r="D269" s="1">
        <v>-233.042376</v>
      </c>
      <c r="E269" s="1">
        <v>-112.982809</v>
      </c>
      <c r="F269" s="1">
        <v>138.95995</v>
      </c>
      <c r="G269" s="1">
        <v>-48.8373</v>
      </c>
      <c r="H269" s="1">
        <v>-47.8363</v>
      </c>
    </row>
    <row r="270" spans="2:8" ht="12.75">
      <c r="B270" s="1">
        <v>27</v>
      </c>
      <c r="C270" s="1">
        <v>141.695656</v>
      </c>
      <c r="D270" s="1">
        <v>-233.042376</v>
      </c>
      <c r="E270" s="1">
        <v>-112.982809</v>
      </c>
      <c r="F270" s="1">
        <v>105.93544</v>
      </c>
      <c r="G270" s="1">
        <v>-73.39516</v>
      </c>
      <c r="H270" s="1">
        <v>-15.30268</v>
      </c>
    </row>
    <row r="271" spans="2:8" ht="12.75">
      <c r="B271" s="1">
        <v>28</v>
      </c>
      <c r="C271" s="1">
        <v>170.856678</v>
      </c>
      <c r="D271" s="1">
        <v>-224.680587</v>
      </c>
      <c r="E271" s="1">
        <v>-115.370319</v>
      </c>
      <c r="F271" s="1">
        <v>17.88644</v>
      </c>
      <c r="G271" s="1">
        <v>-46.96602</v>
      </c>
      <c r="H271" s="1">
        <v>66.1775</v>
      </c>
    </row>
    <row r="272" spans="2:8" ht="12.75">
      <c r="B272" s="1">
        <v>29</v>
      </c>
      <c r="C272" s="1">
        <v>170.856678</v>
      </c>
      <c r="D272" s="1">
        <v>-224.680587</v>
      </c>
      <c r="E272" s="1">
        <v>-115.370319</v>
      </c>
      <c r="F272" s="1">
        <v>17.88644</v>
      </c>
      <c r="G272" s="1">
        <v>-46.96602</v>
      </c>
      <c r="H272" s="1">
        <v>66.1775</v>
      </c>
    </row>
    <row r="273" spans="2:8" ht="12.75">
      <c r="B273" s="1">
        <v>30</v>
      </c>
      <c r="C273" s="1">
        <v>170.856678</v>
      </c>
      <c r="D273" s="1">
        <v>-224.680587</v>
      </c>
      <c r="E273" s="1">
        <v>-115.370319</v>
      </c>
      <c r="F273" s="1">
        <v>-153.67393</v>
      </c>
      <c r="G273" s="1">
        <v>43.46114</v>
      </c>
      <c r="H273" s="1">
        <v>29.79408</v>
      </c>
    </row>
    <row r="274" spans="2:8" ht="12.75">
      <c r="B274" s="1">
        <v>31</v>
      </c>
      <c r="C274" s="1">
        <v>170.856678</v>
      </c>
      <c r="D274" s="1">
        <v>-224.680587</v>
      </c>
      <c r="E274" s="1">
        <v>-115.370319</v>
      </c>
      <c r="F274" s="1">
        <v>17.88644</v>
      </c>
      <c r="G274" s="1">
        <v>-46.96602</v>
      </c>
      <c r="H274" s="1">
        <v>66.1775</v>
      </c>
    </row>
    <row r="275" spans="2:8" ht="12.75">
      <c r="B275" s="1">
        <v>32</v>
      </c>
      <c r="C275" s="1">
        <v>170.856678</v>
      </c>
      <c r="D275" s="1">
        <v>-224.680587</v>
      </c>
      <c r="E275" s="1">
        <v>-115.370319</v>
      </c>
      <c r="F275" s="1">
        <v>0</v>
      </c>
      <c r="G275" s="1">
        <v>0</v>
      </c>
      <c r="H275" s="1">
        <v>74</v>
      </c>
    </row>
    <row r="276" spans="2:8" ht="12.75">
      <c r="B276" s="1">
        <v>33</v>
      </c>
      <c r="C276" s="1">
        <v>170.856678</v>
      </c>
      <c r="D276" s="1">
        <v>-224.680587</v>
      </c>
      <c r="E276" s="1">
        <v>-115.370319</v>
      </c>
      <c r="F276" s="4">
        <v>0</v>
      </c>
      <c r="G276" s="1">
        <v>0</v>
      </c>
      <c r="H276" s="4">
        <v>0</v>
      </c>
    </row>
    <row r="277" spans="2:8" ht="12.75">
      <c r="B277" s="1">
        <v>34</v>
      </c>
      <c r="C277" s="1">
        <v>170.856678</v>
      </c>
      <c r="D277" s="1">
        <v>-224.680587</v>
      </c>
      <c r="E277" s="1">
        <v>-115.370319</v>
      </c>
      <c r="F277" s="1">
        <v>10</v>
      </c>
      <c r="G277" s="1">
        <v>0</v>
      </c>
      <c r="H277" s="1">
        <v>0</v>
      </c>
    </row>
    <row r="278" spans="2:8" ht="12.75">
      <c r="B278" s="1">
        <v>35</v>
      </c>
      <c r="C278" s="1">
        <v>170.856678</v>
      </c>
      <c r="D278" s="1">
        <v>-234.578533</v>
      </c>
      <c r="E278" s="1">
        <v>-171.504361</v>
      </c>
      <c r="F278" s="1">
        <v>-10</v>
      </c>
      <c r="G278" s="1">
        <v>0</v>
      </c>
      <c r="H278" s="1">
        <v>0</v>
      </c>
    </row>
    <row r="279" spans="2:8" ht="12.75">
      <c r="B279" s="1">
        <v>36</v>
      </c>
      <c r="C279" s="1">
        <v>170.856678</v>
      </c>
      <c r="D279" s="1">
        <v>-234.578533</v>
      </c>
      <c r="E279" s="1">
        <v>-171.504361</v>
      </c>
      <c r="F279" s="1">
        <v>-10</v>
      </c>
      <c r="G279" s="1">
        <v>0</v>
      </c>
      <c r="H279" s="1">
        <v>-6.22</v>
      </c>
    </row>
    <row r="280" spans="2:8" ht="12.75">
      <c r="B280" s="1">
        <v>37</v>
      </c>
      <c r="C280" s="1">
        <v>170.856678</v>
      </c>
      <c r="D280" s="1">
        <v>-234.578533</v>
      </c>
      <c r="E280" s="1">
        <v>-171.504361</v>
      </c>
      <c r="F280" s="1">
        <v>-10</v>
      </c>
      <c r="G280" s="1">
        <v>0</v>
      </c>
      <c r="H280" s="1">
        <v>0</v>
      </c>
    </row>
    <row r="281" spans="2:8" ht="12.75">
      <c r="B281" s="1">
        <v>38</v>
      </c>
      <c r="C281" s="1">
        <v>170.856678</v>
      </c>
      <c r="D281" s="1">
        <v>-234.578533</v>
      </c>
      <c r="E281" s="1">
        <v>-171.504361</v>
      </c>
      <c r="F281" s="1">
        <v>-30</v>
      </c>
      <c r="G281" s="1">
        <v>0</v>
      </c>
      <c r="H281" s="1">
        <v>0</v>
      </c>
    </row>
    <row r="282" spans="2:8" ht="12.75">
      <c r="B282" s="1">
        <v>39</v>
      </c>
      <c r="C282" s="1">
        <v>170.856678</v>
      </c>
      <c r="D282" s="1">
        <v>-321.398533</v>
      </c>
      <c r="E282" s="1">
        <v>-21.12771</v>
      </c>
      <c r="F282" s="4">
        <v>0</v>
      </c>
      <c r="G282" s="1">
        <v>0</v>
      </c>
      <c r="H282" s="4">
        <v>0</v>
      </c>
    </row>
    <row r="283" spans="2:8" ht="12.75">
      <c r="B283" s="1">
        <v>40</v>
      </c>
      <c r="C283" s="1">
        <v>170.856678</v>
      </c>
      <c r="D283" s="1">
        <v>-321.398533</v>
      </c>
      <c r="E283" s="1">
        <v>-21.12771</v>
      </c>
      <c r="F283" s="1">
        <v>30</v>
      </c>
      <c r="G283" s="1">
        <v>0</v>
      </c>
      <c r="H283" s="1">
        <v>0</v>
      </c>
    </row>
    <row r="284" spans="2:8" ht="12.75">
      <c r="B284" s="1">
        <v>41</v>
      </c>
      <c r="C284" s="1">
        <v>170.856678</v>
      </c>
      <c r="D284" s="1">
        <v>-341.398533</v>
      </c>
      <c r="E284" s="1">
        <v>-55.768726</v>
      </c>
      <c r="F284" s="1">
        <v>30</v>
      </c>
      <c r="G284" s="1">
        <v>0</v>
      </c>
      <c r="H284" s="1">
        <v>0</v>
      </c>
    </row>
    <row r="285" spans="2:8" ht="12.75">
      <c r="B285" s="1">
        <v>42</v>
      </c>
      <c r="C285" s="1">
        <v>170.856678</v>
      </c>
      <c r="D285" s="1">
        <v>-341.398533</v>
      </c>
      <c r="E285" s="1">
        <v>-55.768726</v>
      </c>
      <c r="F285" s="1">
        <v>30</v>
      </c>
      <c r="G285" s="1">
        <v>0</v>
      </c>
      <c r="H285" s="1">
        <v>0</v>
      </c>
    </row>
    <row r="286" spans="2:8" ht="12.75">
      <c r="B286" s="1">
        <v>43</v>
      </c>
      <c r="C286" s="1">
        <v>170.856678</v>
      </c>
      <c r="D286" s="1">
        <v>-407.998533</v>
      </c>
      <c r="E286" s="1">
        <v>-171.12331</v>
      </c>
      <c r="F286" s="1">
        <v>15</v>
      </c>
      <c r="G286" s="1">
        <v>0</v>
      </c>
      <c r="H286" s="1">
        <v>0</v>
      </c>
    </row>
    <row r="287" spans="2:8" ht="12.75">
      <c r="B287" s="1">
        <v>44</v>
      </c>
      <c r="C287" s="1">
        <v>170.856678</v>
      </c>
      <c r="D287" s="1">
        <v>-407.998533</v>
      </c>
      <c r="E287" s="1">
        <v>-171.12331</v>
      </c>
      <c r="F287" s="4">
        <v>0</v>
      </c>
      <c r="G287" s="1">
        <v>0</v>
      </c>
      <c r="H287" s="4">
        <v>0</v>
      </c>
    </row>
    <row r="288" spans="2:8" ht="12.75">
      <c r="B288" s="1">
        <v>45</v>
      </c>
      <c r="C288" s="1">
        <v>170.856678</v>
      </c>
      <c r="D288" s="1">
        <v>-407.998533</v>
      </c>
      <c r="E288" s="1">
        <v>-21.12331</v>
      </c>
      <c r="F288" s="4">
        <v>0</v>
      </c>
      <c r="G288" s="1">
        <v>0</v>
      </c>
      <c r="H288" s="4">
        <v>0</v>
      </c>
    </row>
    <row r="289" spans="2:8" ht="12.75">
      <c r="B289" s="1">
        <v>46</v>
      </c>
      <c r="C289" s="1">
        <v>170.856678</v>
      </c>
      <c r="D289" s="1">
        <v>-407.998533</v>
      </c>
      <c r="E289" s="1">
        <v>-46.12331</v>
      </c>
      <c r="F289" s="1">
        <v>45</v>
      </c>
      <c r="G289" s="1">
        <v>0</v>
      </c>
      <c r="H289" s="1">
        <v>0</v>
      </c>
    </row>
    <row r="290" spans="2:8" ht="12.75">
      <c r="B290" s="1">
        <v>47</v>
      </c>
      <c r="C290" s="1">
        <v>170.856678</v>
      </c>
      <c r="D290" s="1">
        <v>-407.998533</v>
      </c>
      <c r="E290" s="1">
        <v>-46.12331</v>
      </c>
      <c r="F290" s="1">
        <v>90</v>
      </c>
      <c r="G290" s="1">
        <v>0</v>
      </c>
      <c r="H290" s="1">
        <v>0</v>
      </c>
    </row>
    <row r="291" spans="2:8" ht="12.75">
      <c r="B291" s="1">
        <v>48</v>
      </c>
      <c r="C291" s="1">
        <v>170.856678</v>
      </c>
      <c r="D291" s="1">
        <v>-432.998533</v>
      </c>
      <c r="E291" s="1">
        <v>-46.12331</v>
      </c>
      <c r="F291" s="1">
        <v>90</v>
      </c>
      <c r="G291" s="1">
        <v>0</v>
      </c>
      <c r="H291" s="1">
        <v>0</v>
      </c>
    </row>
    <row r="292" spans="2:8" ht="12.75">
      <c r="B292" s="1">
        <v>49</v>
      </c>
      <c r="C292" s="1">
        <v>170.856678</v>
      </c>
      <c r="D292" s="1">
        <v>-432.998533</v>
      </c>
      <c r="E292" s="1">
        <v>-46.12331</v>
      </c>
      <c r="F292" s="1">
        <v>90</v>
      </c>
      <c r="G292" s="1">
        <v>0</v>
      </c>
      <c r="H292" s="1">
        <v>0</v>
      </c>
    </row>
    <row r="293" spans="2:8" ht="12.75">
      <c r="B293" s="1">
        <v>50</v>
      </c>
      <c r="C293" s="1">
        <v>170.856678</v>
      </c>
      <c r="D293" s="1">
        <v>-457.998533</v>
      </c>
      <c r="E293" s="1">
        <v>-46.12331</v>
      </c>
      <c r="F293" s="1">
        <v>135</v>
      </c>
      <c r="G293" s="1">
        <v>0</v>
      </c>
      <c r="H293" s="1">
        <v>0</v>
      </c>
    </row>
    <row r="294" spans="2:8" ht="12.75">
      <c r="B294" s="1">
        <v>51</v>
      </c>
      <c r="C294" s="1">
        <v>170.856678</v>
      </c>
      <c r="D294" s="1">
        <v>-457.998533</v>
      </c>
      <c r="E294" s="1">
        <v>-46.12331</v>
      </c>
      <c r="F294" s="1">
        <v>135</v>
      </c>
      <c r="G294" s="1">
        <v>45</v>
      </c>
      <c r="H294" s="1">
        <v>0</v>
      </c>
    </row>
    <row r="295" spans="2:8" ht="12.75">
      <c r="B295" s="1">
        <v>52</v>
      </c>
      <c r="C295" s="1">
        <v>170.856678</v>
      </c>
      <c r="D295" s="1">
        <v>-457.998533</v>
      </c>
      <c r="E295" s="1">
        <v>-46.12331</v>
      </c>
      <c r="F295" s="1">
        <v>135</v>
      </c>
      <c r="G295" s="1">
        <v>0</v>
      </c>
      <c r="H295" s="1">
        <v>0</v>
      </c>
    </row>
    <row r="296" spans="2:8" ht="12.75">
      <c r="B296" s="1">
        <v>53</v>
      </c>
      <c r="C296" s="1">
        <v>170.856678</v>
      </c>
      <c r="D296" s="1">
        <v>-457.998533</v>
      </c>
      <c r="E296" s="1">
        <v>-46.12331</v>
      </c>
      <c r="F296" s="1">
        <v>135</v>
      </c>
      <c r="G296" s="1">
        <v>-45</v>
      </c>
      <c r="H296" s="1">
        <v>0</v>
      </c>
    </row>
    <row r="297" spans="2:8" ht="12.75">
      <c r="B297" s="1">
        <v>54</v>
      </c>
      <c r="C297" s="1">
        <v>170.856678</v>
      </c>
      <c r="D297" s="1">
        <v>-457.998533</v>
      </c>
      <c r="E297" s="1">
        <v>-46.12331</v>
      </c>
      <c r="F297" s="1">
        <v>180</v>
      </c>
      <c r="G297" s="1">
        <v>0</v>
      </c>
      <c r="H297" s="4">
        <v>-7.39E-07</v>
      </c>
    </row>
    <row r="298" spans="2:8" ht="12.75">
      <c r="B298" s="1">
        <v>55</v>
      </c>
      <c r="C298" s="1">
        <v>170.856678</v>
      </c>
      <c r="D298" s="1">
        <v>-457.998533</v>
      </c>
      <c r="E298" s="1">
        <v>-21.12331</v>
      </c>
      <c r="F298" s="1">
        <v>180</v>
      </c>
      <c r="G298" s="1">
        <v>0</v>
      </c>
      <c r="H298" s="4">
        <v>-7.39E-07</v>
      </c>
    </row>
    <row r="299" spans="2:8" ht="12.75">
      <c r="B299" s="1">
        <v>56</v>
      </c>
      <c r="C299" s="1">
        <v>170.856678</v>
      </c>
      <c r="D299" s="1">
        <v>-457.998533</v>
      </c>
      <c r="E299" s="1">
        <v>-171.12331</v>
      </c>
      <c r="F299" s="1">
        <v>165</v>
      </c>
      <c r="G299" s="1">
        <v>0</v>
      </c>
      <c r="H299" s="1">
        <v>0</v>
      </c>
    </row>
    <row r="300" spans="2:8" ht="12.75">
      <c r="B300" s="1">
        <v>57</v>
      </c>
      <c r="C300" s="1">
        <v>170.856678</v>
      </c>
      <c r="D300" s="1">
        <v>-457.998533</v>
      </c>
      <c r="E300" s="1">
        <v>-171.12331</v>
      </c>
      <c r="F300" s="1">
        <v>150</v>
      </c>
      <c r="G300" s="1">
        <v>0</v>
      </c>
      <c r="H300" s="1">
        <v>0</v>
      </c>
    </row>
    <row r="301" spans="2:8" ht="12.75">
      <c r="B301" s="1">
        <v>58</v>
      </c>
      <c r="C301" s="1">
        <v>170.856678</v>
      </c>
      <c r="D301" s="1">
        <v>-524.598533</v>
      </c>
      <c r="E301" s="1">
        <v>-55.768726</v>
      </c>
      <c r="F301" s="1">
        <v>150</v>
      </c>
      <c r="G301" s="1">
        <v>0</v>
      </c>
      <c r="H301" s="1">
        <v>0</v>
      </c>
    </row>
    <row r="302" spans="2:8" ht="12.75">
      <c r="B302" s="1">
        <v>59</v>
      </c>
      <c r="C302" s="1">
        <v>170.856678</v>
      </c>
      <c r="D302" s="1">
        <v>-524.598533</v>
      </c>
      <c r="E302" s="1">
        <v>-55.768726</v>
      </c>
      <c r="F302" s="1">
        <v>150</v>
      </c>
      <c r="G302" s="1">
        <v>0</v>
      </c>
      <c r="H302" s="1">
        <v>0</v>
      </c>
    </row>
    <row r="303" spans="2:8" ht="12.75">
      <c r="B303" s="1">
        <v>60</v>
      </c>
      <c r="C303" s="1">
        <v>170.856678</v>
      </c>
      <c r="D303" s="1">
        <v>-544.598533</v>
      </c>
      <c r="E303" s="1">
        <v>-21.12771</v>
      </c>
      <c r="F303" s="1">
        <v>180</v>
      </c>
      <c r="G303" s="1">
        <v>0</v>
      </c>
      <c r="H303" s="4">
        <v>-8.54E-07</v>
      </c>
    </row>
    <row r="304" spans="2:8" ht="12.75">
      <c r="B304" s="1">
        <v>61</v>
      </c>
      <c r="C304" s="1">
        <v>170.856678</v>
      </c>
      <c r="D304" s="1">
        <v>-544.598533</v>
      </c>
      <c r="E304" s="1">
        <v>-21.12771</v>
      </c>
      <c r="F304" s="1">
        <v>-150</v>
      </c>
      <c r="G304" s="1">
        <v>0</v>
      </c>
      <c r="H304" s="1">
        <v>0</v>
      </c>
    </row>
    <row r="305" spans="2:8" ht="12.75">
      <c r="B305" s="1">
        <v>62</v>
      </c>
      <c r="C305" s="1">
        <v>170.856678</v>
      </c>
      <c r="D305" s="1">
        <v>-620.588533</v>
      </c>
      <c r="E305" s="1">
        <v>-152.74625</v>
      </c>
      <c r="F305" s="1">
        <v>-170</v>
      </c>
      <c r="G305" s="1">
        <v>0</v>
      </c>
      <c r="H305" s="1">
        <v>0</v>
      </c>
    </row>
    <row r="306" spans="2:8" ht="12.75">
      <c r="B306" s="1">
        <v>63</v>
      </c>
      <c r="C306" s="1">
        <v>170.856678</v>
      </c>
      <c r="D306" s="1">
        <v>-620.588533</v>
      </c>
      <c r="E306" s="1">
        <v>-152.74625</v>
      </c>
      <c r="F306" s="1">
        <v>-170</v>
      </c>
      <c r="G306" s="1">
        <v>0</v>
      </c>
      <c r="H306" s="1">
        <v>-1.79</v>
      </c>
    </row>
    <row r="307" spans="2:8" ht="12.75">
      <c r="B307" s="1">
        <v>64</v>
      </c>
      <c r="C307" s="1">
        <v>170.856678</v>
      </c>
      <c r="D307" s="1">
        <v>-620.588533</v>
      </c>
      <c r="E307" s="1">
        <v>-152.74625</v>
      </c>
      <c r="F307" s="1">
        <v>-170</v>
      </c>
      <c r="G307" s="1">
        <v>0</v>
      </c>
      <c r="H307" s="1">
        <v>0</v>
      </c>
    </row>
    <row r="308" spans="2:8" ht="12.75">
      <c r="B308" s="1">
        <v>65</v>
      </c>
      <c r="C308" s="1">
        <v>170.856678</v>
      </c>
      <c r="D308" s="1">
        <v>-620.588533</v>
      </c>
      <c r="E308" s="1">
        <v>-152.74625</v>
      </c>
      <c r="F308" s="1">
        <v>170</v>
      </c>
      <c r="G308" s="1">
        <v>0</v>
      </c>
      <c r="H308" s="1">
        <v>0</v>
      </c>
    </row>
    <row r="309" spans="2:8" ht="12.75">
      <c r="B309" s="1">
        <v>66</v>
      </c>
      <c r="C309" s="1">
        <v>170.856678</v>
      </c>
      <c r="D309" s="1">
        <v>-631.007424</v>
      </c>
      <c r="E309" s="1">
        <v>-93.657785</v>
      </c>
      <c r="F309" s="1">
        <v>170</v>
      </c>
      <c r="G309" s="1">
        <v>0</v>
      </c>
      <c r="H309" s="1">
        <v>0</v>
      </c>
    </row>
    <row r="310" spans="2:8" ht="12.75">
      <c r="B310" s="1">
        <v>67</v>
      </c>
      <c r="C310" s="1">
        <v>170.856678</v>
      </c>
      <c r="D310" s="1">
        <v>-636.663145</v>
      </c>
      <c r="E310" s="1">
        <v>-61.582597</v>
      </c>
      <c r="F310" s="1">
        <v>170</v>
      </c>
      <c r="G310" s="1">
        <v>-45</v>
      </c>
      <c r="H310" s="1">
        <v>0</v>
      </c>
    </row>
    <row r="311" spans="2:8" ht="12.75">
      <c r="B311" s="1">
        <v>68</v>
      </c>
      <c r="C311" s="1">
        <v>170.856678</v>
      </c>
      <c r="D311" s="1">
        <v>-636.663145</v>
      </c>
      <c r="E311" s="1">
        <v>-61.582597</v>
      </c>
      <c r="F311" s="1">
        <v>-139.79703</v>
      </c>
      <c r="G311" s="1">
        <v>-90</v>
      </c>
      <c r="H311" s="1">
        <v>-49.79703</v>
      </c>
    </row>
    <row r="312" spans="2:8" ht="12.75">
      <c r="B312" s="1">
        <v>69</v>
      </c>
      <c r="C312" s="1">
        <v>250.856678</v>
      </c>
      <c r="D312" s="1">
        <v>-636.663145</v>
      </c>
      <c r="E312" s="1">
        <v>-61.582597</v>
      </c>
      <c r="F312" s="1">
        <v>-139.79703</v>
      </c>
      <c r="G312" s="1">
        <v>-90</v>
      </c>
      <c r="H312" s="1">
        <v>-49.79703</v>
      </c>
    </row>
    <row r="313" spans="2:8" ht="12.75">
      <c r="B313" s="1">
        <v>70</v>
      </c>
      <c r="C313" s="1">
        <v>250.856678</v>
      </c>
      <c r="D313" s="1">
        <v>-636.663145</v>
      </c>
      <c r="E313" s="1">
        <v>-61.582597</v>
      </c>
      <c r="F313" s="1">
        <v>-139.79703</v>
      </c>
      <c r="G313" s="1">
        <v>-90</v>
      </c>
      <c r="H313" s="1">
        <v>-49.79703</v>
      </c>
    </row>
    <row r="315" spans="2:13" ht="12.75">
      <c r="B315" s="1" t="s">
        <v>342</v>
      </c>
      <c r="C315" s="1" t="s">
        <v>343</v>
      </c>
      <c r="D315" s="1" t="s">
        <v>344</v>
      </c>
      <c r="E315" s="1" t="s">
        <v>345</v>
      </c>
      <c r="F315" s="1" t="s">
        <v>346</v>
      </c>
      <c r="G315" s="1" t="s">
        <v>347</v>
      </c>
      <c r="H315" s="1" t="s">
        <v>348</v>
      </c>
      <c r="I315" s="1" t="s">
        <v>349</v>
      </c>
      <c r="J315" s="1" t="s">
        <v>350</v>
      </c>
      <c r="K315" s="1" t="s">
        <v>351</v>
      </c>
      <c r="L315" s="1" t="s">
        <v>352</v>
      </c>
      <c r="M315" s="1" t="s">
        <v>353</v>
      </c>
    </row>
    <row r="316" ht="12.75">
      <c r="B316" s="1" t="s">
        <v>39</v>
      </c>
    </row>
    <row r="317" ht="12.75">
      <c r="B317" s="1" t="s">
        <v>39</v>
      </c>
    </row>
    <row r="318" spans="2:4" ht="12.75">
      <c r="B318" s="1" t="s">
        <v>39</v>
      </c>
      <c r="C318" s="1" t="s">
        <v>85</v>
      </c>
      <c r="D318" s="1" t="s">
        <v>86</v>
      </c>
    </row>
  </sheetData>
  <printOptions/>
  <pageMargins left="0.7874015748031497" right="0.46" top="0.71" bottom="0.49" header="0.5118110236220472" footer="0.32"/>
  <pageSetup fitToHeight="3" fitToWidth="1" horizontalDpi="600" verticalDpi="600" orientation="portrait" paperSize="9" scale="54" r:id="rId1"/>
  <headerFooter alignWithMargins="0">
    <oddHeader>&amp;L&amp;F, &amp;A&amp;R&amp;T, &amp;D</oddHead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M313"/>
  <sheetViews>
    <sheetView workbookViewId="0" topLeftCell="A116">
      <selection activeCell="I150" sqref="I150"/>
    </sheetView>
  </sheetViews>
  <sheetFormatPr defaultColWidth="12" defaultRowHeight="12.75"/>
  <cols>
    <col min="1" max="12" width="12" style="1" customWidth="1"/>
    <col min="13" max="13" width="15.33203125" style="1" customWidth="1"/>
    <col min="14"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474</v>
      </c>
      <c r="J4" s="1" t="s">
        <v>496</v>
      </c>
    </row>
    <row r="6" spans="2:3" ht="12.75">
      <c r="B6" s="1" t="s">
        <v>39</v>
      </c>
      <c r="C6" s="1" t="s">
        <v>48</v>
      </c>
    </row>
    <row r="7" spans="2:3" ht="12.75">
      <c r="B7" s="2">
        <v>36965</v>
      </c>
      <c r="C7" s="3">
        <v>0.500636574074074</v>
      </c>
    </row>
    <row r="8" ht="12.75">
      <c r="B8" s="1" t="s">
        <v>39</v>
      </c>
    </row>
    <row r="9" spans="2:10" ht="12.75">
      <c r="B9" s="1" t="s">
        <v>39</v>
      </c>
      <c r="C9" s="1" t="s">
        <v>161</v>
      </c>
      <c r="D9" s="1">
        <v>2</v>
      </c>
      <c r="E9" s="1">
        <v>0</v>
      </c>
      <c r="F9" s="1">
        <v>0</v>
      </c>
      <c r="G9" s="1">
        <v>0</v>
      </c>
      <c r="H9" s="1" t="s">
        <v>50</v>
      </c>
      <c r="I9" s="1">
        <v>0</v>
      </c>
      <c r="J9" s="1" t="s">
        <v>51</v>
      </c>
    </row>
    <row r="10" spans="2:9" ht="12.75">
      <c r="B10" s="1" t="s">
        <v>161</v>
      </c>
      <c r="C10" s="1">
        <v>2</v>
      </c>
      <c r="D10" s="1">
        <v>0</v>
      </c>
      <c r="E10" s="1">
        <v>0</v>
      </c>
      <c r="F10" s="1">
        <v>0</v>
      </c>
      <c r="G10" s="1" t="s">
        <v>50</v>
      </c>
      <c r="H10" s="1">
        <v>0</v>
      </c>
      <c r="I10" s="1" t="s">
        <v>51</v>
      </c>
    </row>
    <row r="11" spans="2:5" ht="12.75">
      <c r="B11" s="1" t="s">
        <v>39</v>
      </c>
      <c r="C11" s="1" t="s">
        <v>162</v>
      </c>
      <c r="D11" s="1" t="s">
        <v>163</v>
      </c>
      <c r="E11" s="1" t="s">
        <v>51</v>
      </c>
    </row>
    <row r="13" spans="2:8" ht="12.75">
      <c r="B13" s="1" t="s">
        <v>44</v>
      </c>
      <c r="C13" s="1" t="s">
        <v>46</v>
      </c>
      <c r="D13" s="1" t="s">
        <v>474</v>
      </c>
      <c r="E13" s="1" t="s">
        <v>496</v>
      </c>
      <c r="F13" s="1">
        <v>242</v>
      </c>
      <c r="G13" s="2">
        <v>36965</v>
      </c>
      <c r="H13" s="3">
        <v>0.500636574074074</v>
      </c>
    </row>
    <row r="14" spans="2:3" ht="12.75">
      <c r="B14" s="1" t="s">
        <v>164</v>
      </c>
      <c r="C14" s="1" t="s">
        <v>165</v>
      </c>
    </row>
    <row r="16" spans="2:3" ht="12.75">
      <c r="B16" s="1" t="s">
        <v>59</v>
      </c>
      <c r="C16" s="1" t="s">
        <v>166</v>
      </c>
    </row>
    <row r="17" ht="12.75">
      <c r="B17" s="1" t="s">
        <v>167</v>
      </c>
    </row>
    <row r="18" spans="2:9" ht="12.75">
      <c r="B18" s="1" t="s">
        <v>64</v>
      </c>
      <c r="C18" s="1" t="s">
        <v>168</v>
      </c>
      <c r="D18" s="1" t="s">
        <v>169</v>
      </c>
      <c r="E18" s="1" t="s">
        <v>170</v>
      </c>
      <c r="F18" s="1" t="s">
        <v>171</v>
      </c>
      <c r="G18" s="1" t="s">
        <v>172</v>
      </c>
      <c r="H18" s="1" t="s">
        <v>173</v>
      </c>
      <c r="I18" s="1">
        <v>46037.9196</v>
      </c>
    </row>
    <row r="19" spans="2:9" ht="12.75">
      <c r="B19" s="1" t="s">
        <v>64</v>
      </c>
      <c r="C19" s="1" t="s">
        <v>65</v>
      </c>
      <c r="D19" s="1" t="s">
        <v>174</v>
      </c>
      <c r="E19" s="1" t="s">
        <v>170</v>
      </c>
      <c r="F19" s="1" t="s">
        <v>175</v>
      </c>
      <c r="G19" s="1" t="s">
        <v>171</v>
      </c>
      <c r="H19" s="1" t="s">
        <v>172</v>
      </c>
      <c r="I19" s="1">
        <v>-133.6632</v>
      </c>
    </row>
    <row r="20" spans="2:10" ht="12.75">
      <c r="B20" s="1" t="s">
        <v>176</v>
      </c>
      <c r="C20" s="1" t="s">
        <v>55</v>
      </c>
      <c r="D20" s="1" t="s">
        <v>65</v>
      </c>
      <c r="E20" s="1" t="s">
        <v>177</v>
      </c>
      <c r="F20" s="1">
        <v>1641.705</v>
      </c>
      <c r="G20" s="1" t="s">
        <v>178</v>
      </c>
      <c r="H20" s="1" t="s">
        <v>168</v>
      </c>
      <c r="I20" s="1" t="s">
        <v>179</v>
      </c>
      <c r="J20" s="1">
        <v>0</v>
      </c>
    </row>
    <row r="21" spans="2:10" ht="12.75">
      <c r="B21" s="1" t="s">
        <v>176</v>
      </c>
      <c r="C21" s="1" t="s">
        <v>55</v>
      </c>
      <c r="D21" s="1" t="s">
        <v>180</v>
      </c>
      <c r="E21" s="1" t="s">
        <v>181</v>
      </c>
      <c r="F21" s="1">
        <v>0</v>
      </c>
      <c r="G21" s="1" t="s">
        <v>182</v>
      </c>
      <c r="H21" s="1" t="s">
        <v>172</v>
      </c>
      <c r="I21" s="1" t="s">
        <v>183</v>
      </c>
      <c r="J21" s="1">
        <v>1167.992</v>
      </c>
    </row>
    <row r="22" spans="2:9" ht="12.75">
      <c r="B22" s="1" t="s">
        <v>184</v>
      </c>
      <c r="C22" s="1" t="s">
        <v>55</v>
      </c>
      <c r="D22" s="1" t="s">
        <v>65</v>
      </c>
      <c r="E22" s="1" t="s">
        <v>185</v>
      </c>
      <c r="F22" s="1">
        <v>-4.989</v>
      </c>
      <c r="G22" s="1" t="s">
        <v>186</v>
      </c>
      <c r="H22" s="1" t="s">
        <v>187</v>
      </c>
      <c r="I22" s="1">
        <v>-14.0214</v>
      </c>
    </row>
    <row r="23" spans="2:10" ht="12.75">
      <c r="B23" s="1" t="s">
        <v>184</v>
      </c>
      <c r="C23" s="1" t="s">
        <v>55</v>
      </c>
      <c r="D23" s="1" t="s">
        <v>180</v>
      </c>
      <c r="E23" s="1" t="s">
        <v>188</v>
      </c>
      <c r="F23" s="1">
        <v>0.0167</v>
      </c>
      <c r="G23" s="1" t="s">
        <v>189</v>
      </c>
      <c r="H23" s="1" t="s">
        <v>178</v>
      </c>
      <c r="I23" s="1" t="s">
        <v>190</v>
      </c>
      <c r="J23" s="1">
        <v>4.689</v>
      </c>
    </row>
    <row r="24" spans="2:9" ht="12.75">
      <c r="B24" s="1" t="s">
        <v>191</v>
      </c>
      <c r="C24" s="1" t="s">
        <v>69</v>
      </c>
      <c r="D24" s="1" t="s">
        <v>192</v>
      </c>
      <c r="E24" s="1">
        <v>1641.705</v>
      </c>
      <c r="F24" s="1" t="s">
        <v>193</v>
      </c>
      <c r="G24" s="1" t="s">
        <v>69</v>
      </c>
      <c r="H24" s="1" t="s">
        <v>192</v>
      </c>
      <c r="I24" s="1">
        <v>7.3344</v>
      </c>
    </row>
    <row r="25" spans="2:9" ht="12.75">
      <c r="B25" s="1" t="s">
        <v>191</v>
      </c>
      <c r="C25" s="1" t="s">
        <v>69</v>
      </c>
      <c r="D25" s="1" t="s">
        <v>194</v>
      </c>
      <c r="E25" s="1">
        <v>17150.7042</v>
      </c>
      <c r="F25" s="1" t="s">
        <v>193</v>
      </c>
      <c r="G25" s="1" t="s">
        <v>69</v>
      </c>
      <c r="H25" s="1" t="s">
        <v>194</v>
      </c>
      <c r="I25" s="1">
        <v>72.0137</v>
      </c>
    </row>
    <row r="27" spans="2:5" ht="12.75">
      <c r="B27" s="1" t="s">
        <v>195</v>
      </c>
      <c r="C27" s="1" t="s">
        <v>65</v>
      </c>
      <c r="D27" s="1" t="s">
        <v>196</v>
      </c>
      <c r="E27" s="1" t="s">
        <v>170</v>
      </c>
    </row>
    <row r="28" spans="2:11" ht="12.75">
      <c r="B28" s="1" t="s">
        <v>197</v>
      </c>
      <c r="C28" s="1" t="s">
        <v>55</v>
      </c>
      <c r="D28" s="1" t="s">
        <v>65</v>
      </c>
      <c r="E28" s="1" t="s">
        <v>198</v>
      </c>
      <c r="F28" s="1">
        <v>1641.705</v>
      </c>
      <c r="G28" s="1" t="s">
        <v>199</v>
      </c>
      <c r="H28" s="1" t="s">
        <v>55</v>
      </c>
      <c r="I28" s="1" t="s">
        <v>200</v>
      </c>
      <c r="J28" s="1" t="s">
        <v>201</v>
      </c>
      <c r="K28" s="1">
        <v>-4.989</v>
      </c>
    </row>
    <row r="29" spans="2:10" ht="12.75">
      <c r="B29" s="1" t="s">
        <v>197</v>
      </c>
      <c r="C29" s="1" t="s">
        <v>55</v>
      </c>
      <c r="D29" s="1" t="s">
        <v>180</v>
      </c>
      <c r="E29" s="1" t="s">
        <v>202</v>
      </c>
      <c r="F29" s="1">
        <v>0</v>
      </c>
      <c r="G29" s="1" t="s">
        <v>199</v>
      </c>
      <c r="H29" s="1" t="s">
        <v>55</v>
      </c>
      <c r="I29" s="1" t="s">
        <v>203</v>
      </c>
      <c r="J29" s="1">
        <v>0.0167</v>
      </c>
    </row>
    <row r="31" spans="2:8" ht="12.75">
      <c r="B31" s="1" t="s">
        <v>204</v>
      </c>
      <c r="C31" s="1" t="s">
        <v>205</v>
      </c>
      <c r="D31" s="1">
        <v>200</v>
      </c>
      <c r="E31" s="1">
        <v>400</v>
      </c>
      <c r="F31" s="1">
        <v>600</v>
      </c>
      <c r="G31" s="1">
        <v>250</v>
      </c>
      <c r="H31" s="1">
        <v>0.6328</v>
      </c>
    </row>
    <row r="32" spans="2:7" ht="12.75">
      <c r="B32" s="1" t="s">
        <v>206</v>
      </c>
      <c r="C32" s="1">
        <v>1</v>
      </c>
      <c r="D32" s="1">
        <v>1</v>
      </c>
      <c r="E32" s="1">
        <v>1</v>
      </c>
      <c r="F32" s="1">
        <v>1</v>
      </c>
      <c r="G32" s="1">
        <v>1</v>
      </c>
    </row>
    <row r="33" spans="2:8" ht="12.75">
      <c r="B33" s="1" t="s">
        <v>73</v>
      </c>
      <c r="C33" s="1" t="s">
        <v>207</v>
      </c>
      <c r="D33" s="1">
        <v>2</v>
      </c>
      <c r="E33" s="1">
        <v>1</v>
      </c>
      <c r="F33" s="1">
        <v>3</v>
      </c>
      <c r="G33" s="1">
        <v>4</v>
      </c>
      <c r="H33" s="1">
        <v>5</v>
      </c>
    </row>
    <row r="34" spans="2:3" ht="12.75">
      <c r="B34" s="1" t="s">
        <v>208</v>
      </c>
      <c r="C34" s="1" t="s">
        <v>209</v>
      </c>
    </row>
    <row r="35" spans="2:8" ht="12.75">
      <c r="B35" s="1" t="s">
        <v>210</v>
      </c>
      <c r="C35" s="1" t="s">
        <v>211</v>
      </c>
      <c r="D35" s="1" t="s">
        <v>61</v>
      </c>
      <c r="E35" s="1" t="s">
        <v>212</v>
      </c>
      <c r="F35" s="1">
        <v>7</v>
      </c>
      <c r="G35" s="1" t="s">
        <v>192</v>
      </c>
      <c r="H35" s="1">
        <v>155.17235</v>
      </c>
    </row>
    <row r="36" spans="2:5" ht="12.75">
      <c r="B36" s="1" t="s">
        <v>213</v>
      </c>
      <c r="C36" s="1" t="s">
        <v>69</v>
      </c>
      <c r="D36" s="1" t="s">
        <v>214</v>
      </c>
      <c r="E36" s="1" t="s">
        <v>215</v>
      </c>
    </row>
    <row r="37" spans="2:4" ht="12.75">
      <c r="B37" s="1" t="s">
        <v>476</v>
      </c>
      <c r="C37" s="1" t="s">
        <v>53</v>
      </c>
      <c r="D37" s="1" t="s">
        <v>215</v>
      </c>
    </row>
    <row r="38" spans="2:4" ht="12.75">
      <c r="B38" s="1" t="s">
        <v>171</v>
      </c>
      <c r="C38" s="1" t="s">
        <v>216</v>
      </c>
      <c r="D38" s="1" t="s">
        <v>215</v>
      </c>
    </row>
    <row r="39" spans="2:3" ht="12.75">
      <c r="B39" s="1" t="s">
        <v>217</v>
      </c>
      <c r="C39" s="4">
        <v>-1.61E-08</v>
      </c>
    </row>
    <row r="40" spans="2:4" ht="12.75">
      <c r="B40" s="1" t="s">
        <v>52</v>
      </c>
      <c r="C40" s="1" t="s">
        <v>214</v>
      </c>
      <c r="D40" s="1" t="s">
        <v>215</v>
      </c>
    </row>
    <row r="41" spans="2:5" ht="12.75">
      <c r="B41" s="1" t="s">
        <v>218</v>
      </c>
      <c r="C41" s="1" t="s">
        <v>214</v>
      </c>
      <c r="D41" s="1" t="s">
        <v>219</v>
      </c>
      <c r="E41" s="1" t="s">
        <v>220</v>
      </c>
    </row>
    <row r="42" spans="2:6" ht="12.75">
      <c r="B42" s="1" t="s">
        <v>221</v>
      </c>
      <c r="C42" s="1" t="s">
        <v>222</v>
      </c>
      <c r="D42" s="1" t="s">
        <v>223</v>
      </c>
      <c r="E42" s="1" t="s">
        <v>224</v>
      </c>
      <c r="F42" s="1" t="s">
        <v>225</v>
      </c>
    </row>
    <row r="44" spans="2:3" ht="12.75">
      <c r="B44" s="1" t="s">
        <v>61</v>
      </c>
      <c r="C44" s="1" t="s">
        <v>56</v>
      </c>
    </row>
    <row r="45" ht="12.75">
      <c r="B45" s="1" t="s">
        <v>167</v>
      </c>
    </row>
    <row r="46" spans="2:7" ht="12.75">
      <c r="B46" s="1" t="s">
        <v>50</v>
      </c>
      <c r="C46" s="1" t="s">
        <v>226</v>
      </c>
      <c r="D46" s="1" t="s">
        <v>227</v>
      </c>
      <c r="E46" s="1" t="s">
        <v>228</v>
      </c>
      <c r="F46" s="1" t="s">
        <v>229</v>
      </c>
      <c r="G46" s="1" t="s">
        <v>230</v>
      </c>
    </row>
    <row r="47" ht="12.75">
      <c r="B47" s="1" t="s">
        <v>167</v>
      </c>
    </row>
    <row r="48" spans="2:5" ht="12.75">
      <c r="B48" s="1">
        <v>0</v>
      </c>
      <c r="C48" s="1" t="s">
        <v>170</v>
      </c>
      <c r="D48" s="1" t="s">
        <v>170</v>
      </c>
      <c r="E48" s="1" t="s">
        <v>231</v>
      </c>
    </row>
    <row r="49" spans="2:5" ht="12.75">
      <c r="B49" s="1">
        <v>1</v>
      </c>
      <c r="C49" s="1" t="s">
        <v>170</v>
      </c>
      <c r="D49" s="1">
        <v>17771.1</v>
      </c>
      <c r="E49" s="1" t="s">
        <v>231</v>
      </c>
    </row>
    <row r="50" spans="2:5" ht="12.75">
      <c r="B50" s="1" t="s">
        <v>232</v>
      </c>
      <c r="C50" s="1" t="s">
        <v>170</v>
      </c>
      <c r="D50" s="1">
        <v>0</v>
      </c>
      <c r="E50" s="1" t="s">
        <v>231</v>
      </c>
    </row>
    <row r="51" spans="2:5" ht="12.75">
      <c r="B51" s="1" t="s">
        <v>477</v>
      </c>
      <c r="C51" s="1" t="s">
        <v>170</v>
      </c>
      <c r="D51" s="1">
        <v>-17771.1</v>
      </c>
      <c r="E51" s="1" t="s">
        <v>231</v>
      </c>
    </row>
    <row r="52" spans="2:5" ht="12.75">
      <c r="B52" s="1">
        <v>4</v>
      </c>
      <c r="C52" s="1" t="s">
        <v>170</v>
      </c>
      <c r="D52" s="1">
        <v>-2000</v>
      </c>
      <c r="E52" s="1" t="s">
        <v>231</v>
      </c>
    </row>
    <row r="53" spans="2:5" ht="12.75">
      <c r="B53" s="1">
        <v>5</v>
      </c>
      <c r="C53" s="1" t="s">
        <v>170</v>
      </c>
      <c r="D53" s="1" t="s">
        <v>233</v>
      </c>
      <c r="E53" s="1" t="s">
        <v>231</v>
      </c>
    </row>
    <row r="54" spans="2:6" ht="12.75">
      <c r="B54" s="1">
        <v>6</v>
      </c>
      <c r="C54" s="1">
        <v>-3500</v>
      </c>
      <c r="D54" s="1" t="s">
        <v>234</v>
      </c>
      <c r="E54" s="1">
        <v>-1587.969</v>
      </c>
      <c r="F54" s="1" t="e">
        <v>#NAME?</v>
      </c>
    </row>
    <row r="55" spans="2:6" ht="12.75">
      <c r="B55" s="1" t="s">
        <v>235</v>
      </c>
      <c r="C55" s="1">
        <v>-345.264</v>
      </c>
      <c r="D55" s="1" t="s">
        <v>234</v>
      </c>
      <c r="E55" s="1" t="s">
        <v>478</v>
      </c>
      <c r="F55" s="1" t="s">
        <v>231</v>
      </c>
    </row>
    <row r="56" spans="2:5" ht="12.75">
      <c r="B56" s="1">
        <v>8</v>
      </c>
      <c r="C56" s="1" t="s">
        <v>170</v>
      </c>
      <c r="D56" s="1">
        <v>1050.162</v>
      </c>
      <c r="E56" s="1" t="s">
        <v>231</v>
      </c>
    </row>
    <row r="57" spans="2:5" ht="12.75">
      <c r="B57" s="1">
        <v>9</v>
      </c>
      <c r="C57" s="1">
        <v>-167.171</v>
      </c>
      <c r="D57" s="1">
        <v>0</v>
      </c>
      <c r="E57" s="1" t="s">
        <v>231</v>
      </c>
    </row>
    <row r="58" spans="2:5" ht="12.75">
      <c r="B58" s="1" t="s">
        <v>236</v>
      </c>
      <c r="C58" s="1" t="s">
        <v>170</v>
      </c>
      <c r="D58" s="1">
        <v>70.9</v>
      </c>
      <c r="E58" s="1" t="s">
        <v>231</v>
      </c>
    </row>
    <row r="59" spans="2:6" ht="12.75">
      <c r="B59" s="1" t="s">
        <v>237</v>
      </c>
      <c r="C59" s="1">
        <v>-365.963</v>
      </c>
      <c r="D59" s="1" t="s">
        <v>234</v>
      </c>
      <c r="E59" s="1">
        <v>0</v>
      </c>
      <c r="F59" s="1" t="e">
        <v>#NAME?</v>
      </c>
    </row>
    <row r="60" spans="2:5" ht="12.75">
      <c r="B60" s="1" t="s">
        <v>238</v>
      </c>
      <c r="C60" s="1" t="s">
        <v>170</v>
      </c>
      <c r="D60" s="1">
        <v>-213.5</v>
      </c>
      <c r="E60" s="1" t="e">
        <v>#NAME?</v>
      </c>
    </row>
    <row r="61" spans="2:5" ht="12.75">
      <c r="B61" s="1" t="s">
        <v>239</v>
      </c>
      <c r="C61" s="1" t="s">
        <v>170</v>
      </c>
      <c r="D61" s="1">
        <v>0</v>
      </c>
      <c r="E61" s="1" t="e">
        <v>#NAME?</v>
      </c>
    </row>
    <row r="62" spans="2:5" ht="12.75">
      <c r="B62" s="1">
        <v>14</v>
      </c>
      <c r="C62" s="1" t="s">
        <v>170</v>
      </c>
      <c r="D62" s="1" t="s">
        <v>240</v>
      </c>
      <c r="E62" s="1" t="s">
        <v>231</v>
      </c>
    </row>
    <row r="63" spans="2:5" ht="12.75">
      <c r="B63" s="1">
        <v>15</v>
      </c>
      <c r="C63" s="1" t="s">
        <v>170</v>
      </c>
      <c r="D63" s="1">
        <v>0</v>
      </c>
      <c r="E63" s="1" t="s">
        <v>231</v>
      </c>
    </row>
    <row r="64" spans="2:5" ht="12.75">
      <c r="B64" s="1" t="s">
        <v>241</v>
      </c>
      <c r="C64" s="1" t="s">
        <v>170</v>
      </c>
      <c r="D64" s="1">
        <v>197.4</v>
      </c>
      <c r="E64" s="1" t="s">
        <v>231</v>
      </c>
    </row>
    <row r="65" spans="2:6" ht="12.75">
      <c r="B65" s="1" t="s">
        <v>242</v>
      </c>
      <c r="C65" s="1">
        <v>-294.638</v>
      </c>
      <c r="D65" s="1" t="s">
        <v>234</v>
      </c>
      <c r="E65" s="1">
        <v>0</v>
      </c>
      <c r="F65" s="1" t="e">
        <v>#NAME?</v>
      </c>
    </row>
    <row r="66" spans="2:5" ht="12.75">
      <c r="B66" s="1" t="s">
        <v>243</v>
      </c>
      <c r="C66" s="1" t="s">
        <v>170</v>
      </c>
      <c r="D66" s="1">
        <v>-193.6</v>
      </c>
      <c r="E66" s="1" t="e">
        <v>#NAME?</v>
      </c>
    </row>
    <row r="67" spans="2:5" ht="12.75">
      <c r="B67" s="1" t="s">
        <v>244</v>
      </c>
      <c r="C67" s="1" t="s">
        <v>170</v>
      </c>
      <c r="D67" s="1">
        <v>-10</v>
      </c>
      <c r="E67" s="1" t="e">
        <v>#NAME?</v>
      </c>
    </row>
    <row r="68" spans="2:5" ht="12.75">
      <c r="B68" s="1" t="s">
        <v>245</v>
      </c>
      <c r="C68" s="1" t="s">
        <v>170</v>
      </c>
      <c r="D68" s="1">
        <v>0</v>
      </c>
      <c r="E68" s="1" t="e">
        <v>#NAME?</v>
      </c>
    </row>
    <row r="69" spans="2:5" ht="12.75">
      <c r="B69" s="1" t="s">
        <v>246</v>
      </c>
      <c r="C69" s="1" t="s">
        <v>170</v>
      </c>
      <c r="D69" s="1">
        <v>0</v>
      </c>
      <c r="E69" s="1" t="e">
        <v>#NAME?</v>
      </c>
    </row>
    <row r="70" spans="2:7" ht="12.75">
      <c r="B70" s="1">
        <v>22</v>
      </c>
      <c r="C70" s="1" t="s">
        <v>300</v>
      </c>
      <c r="D70" s="1">
        <v>523.79</v>
      </c>
      <c r="E70" s="1" t="s">
        <v>234</v>
      </c>
      <c r="F70" s="4">
        <v>-1.61E-13</v>
      </c>
      <c r="G70" s="1" t="s">
        <v>231</v>
      </c>
    </row>
    <row r="71" spans="2:5" ht="12.75">
      <c r="B71" s="1">
        <v>23</v>
      </c>
      <c r="C71" s="1" t="s">
        <v>170</v>
      </c>
      <c r="D71" s="1">
        <v>0</v>
      </c>
      <c r="E71" s="1" t="s">
        <v>231</v>
      </c>
    </row>
    <row r="72" spans="2:5" ht="12.75">
      <c r="B72" s="1" t="s">
        <v>249</v>
      </c>
      <c r="C72" s="1" t="s">
        <v>170</v>
      </c>
      <c r="D72" s="1">
        <v>112.57</v>
      </c>
      <c r="E72" s="1" t="s">
        <v>231</v>
      </c>
    </row>
    <row r="73" spans="2:5" ht="12.75">
      <c r="B73" s="1">
        <v>25</v>
      </c>
      <c r="C73" s="1" t="s">
        <v>170</v>
      </c>
      <c r="D73" s="1">
        <v>0</v>
      </c>
      <c r="E73" s="1" t="s">
        <v>231</v>
      </c>
    </row>
    <row r="74" spans="2:6" ht="12.75">
      <c r="B74" s="1">
        <v>26</v>
      </c>
      <c r="C74" s="1" t="s">
        <v>300</v>
      </c>
      <c r="D74" s="1" t="s">
        <v>170</v>
      </c>
      <c r="E74" s="4">
        <v>-5.73E-14</v>
      </c>
      <c r="F74" s="1" t="s">
        <v>231</v>
      </c>
    </row>
    <row r="75" spans="2:5" ht="12.75">
      <c r="B75" s="1">
        <v>27</v>
      </c>
      <c r="C75" s="1" t="s">
        <v>170</v>
      </c>
      <c r="D75" s="1">
        <v>30.43</v>
      </c>
      <c r="E75" s="1" t="s">
        <v>231</v>
      </c>
    </row>
    <row r="76" spans="2:5" ht="12.75">
      <c r="B76" s="1" t="s">
        <v>253</v>
      </c>
      <c r="C76" s="1" t="s">
        <v>170</v>
      </c>
      <c r="D76" s="1">
        <v>0</v>
      </c>
      <c r="E76" s="1" t="s">
        <v>231</v>
      </c>
    </row>
    <row r="77" spans="2:5" ht="12.75">
      <c r="B77" s="1">
        <v>29</v>
      </c>
      <c r="C77" s="1" t="s">
        <v>170</v>
      </c>
      <c r="D77" s="1">
        <v>0</v>
      </c>
      <c r="E77" s="1" t="s">
        <v>231</v>
      </c>
    </row>
    <row r="78" spans="2:6" ht="12.75">
      <c r="B78" s="1">
        <v>30</v>
      </c>
      <c r="C78" s="1" t="s">
        <v>300</v>
      </c>
      <c r="D78" s="1" t="s">
        <v>170</v>
      </c>
      <c r="E78" s="4">
        <v>1.27E-13</v>
      </c>
      <c r="F78" s="1" t="e">
        <v>#NAME?</v>
      </c>
    </row>
    <row r="79" spans="2:5" ht="12.75">
      <c r="B79" s="1">
        <v>31</v>
      </c>
      <c r="C79" s="1" t="s">
        <v>170</v>
      </c>
      <c r="D79" s="1">
        <v>0</v>
      </c>
      <c r="E79" s="1" t="e">
        <v>#NAME?</v>
      </c>
    </row>
    <row r="80" spans="2:5" ht="12.75">
      <c r="B80" s="1" t="s">
        <v>257</v>
      </c>
      <c r="C80" s="1" t="s">
        <v>170</v>
      </c>
      <c r="D80" s="1">
        <v>0</v>
      </c>
      <c r="E80" s="1" t="e">
        <v>#NAME?</v>
      </c>
    </row>
    <row r="81" spans="2:5" ht="12.75">
      <c r="B81" s="1" t="s">
        <v>258</v>
      </c>
      <c r="C81" s="1" t="s">
        <v>170</v>
      </c>
      <c r="D81" s="1">
        <v>0</v>
      </c>
      <c r="E81" s="1" t="e">
        <v>#NAME?</v>
      </c>
    </row>
    <row r="82" spans="2:5" ht="12.75">
      <c r="B82" s="1" t="s">
        <v>479</v>
      </c>
      <c r="C82" s="1" t="s">
        <v>170</v>
      </c>
      <c r="D82" s="1">
        <v>-57</v>
      </c>
      <c r="E82" s="1" t="e">
        <v>#NAME?</v>
      </c>
    </row>
    <row r="83" spans="2:5" ht="12.75">
      <c r="B83" s="1" t="s">
        <v>259</v>
      </c>
      <c r="C83" s="1" t="s">
        <v>170</v>
      </c>
      <c r="D83" s="1">
        <v>0</v>
      </c>
      <c r="E83" s="1" t="e">
        <v>#NAME?</v>
      </c>
    </row>
    <row r="84" spans="2:6" ht="12.75">
      <c r="B84" s="1" t="s">
        <v>260</v>
      </c>
      <c r="C84" s="1">
        <v>230.34</v>
      </c>
      <c r="D84" s="1" t="s">
        <v>234</v>
      </c>
      <c r="E84" s="1">
        <v>0</v>
      </c>
      <c r="F84" s="1" t="s">
        <v>231</v>
      </c>
    </row>
    <row r="85" spans="2:5" ht="12.75">
      <c r="B85" s="1">
        <v>37</v>
      </c>
      <c r="C85" s="1" t="s">
        <v>170</v>
      </c>
      <c r="D85" s="1">
        <v>0</v>
      </c>
      <c r="E85" s="1" t="s">
        <v>231</v>
      </c>
    </row>
    <row r="86" spans="2:5" ht="12.75">
      <c r="B86" s="1" t="s">
        <v>480</v>
      </c>
      <c r="C86" s="1" t="s">
        <v>170</v>
      </c>
      <c r="D86" s="1">
        <v>173.64</v>
      </c>
      <c r="E86" s="1" t="s">
        <v>231</v>
      </c>
    </row>
    <row r="87" spans="2:5" ht="12.75">
      <c r="B87" s="1" t="s">
        <v>263</v>
      </c>
      <c r="C87" s="1" t="s">
        <v>170</v>
      </c>
      <c r="D87" s="1">
        <v>0</v>
      </c>
      <c r="E87" s="1" t="s">
        <v>231</v>
      </c>
    </row>
    <row r="88" spans="2:5" ht="12.75">
      <c r="B88" s="1" t="s">
        <v>264</v>
      </c>
      <c r="C88" s="1" t="s">
        <v>170</v>
      </c>
      <c r="D88" s="1">
        <v>40</v>
      </c>
      <c r="E88" s="1" t="s">
        <v>231</v>
      </c>
    </row>
    <row r="89" spans="2:5" ht="12.75">
      <c r="B89" s="1">
        <v>41</v>
      </c>
      <c r="C89" s="1" t="s">
        <v>170</v>
      </c>
      <c r="D89" s="1">
        <v>0</v>
      </c>
      <c r="E89" s="1" t="s">
        <v>231</v>
      </c>
    </row>
    <row r="90" spans="2:5" ht="12.75">
      <c r="B90" s="1">
        <v>42</v>
      </c>
      <c r="C90" s="1" t="s">
        <v>170</v>
      </c>
      <c r="D90" s="1">
        <v>133.2</v>
      </c>
      <c r="E90" s="1" t="s">
        <v>231</v>
      </c>
    </row>
    <row r="91" spans="2:5" ht="12.75">
      <c r="B91" s="1" t="s">
        <v>267</v>
      </c>
      <c r="C91" s="1">
        <v>-259.5</v>
      </c>
      <c r="D91" s="1">
        <v>0</v>
      </c>
      <c r="E91" s="1" t="e">
        <v>#NAME?</v>
      </c>
    </row>
    <row r="92" spans="2:5" ht="12.75">
      <c r="B92" s="1" t="s">
        <v>269</v>
      </c>
      <c r="C92" s="1" t="s">
        <v>170</v>
      </c>
      <c r="D92" s="1">
        <v>-150</v>
      </c>
      <c r="E92" s="1" t="e">
        <v>#NAME?</v>
      </c>
    </row>
    <row r="93" spans="2:5" ht="12.75">
      <c r="B93" s="1">
        <v>45</v>
      </c>
      <c r="C93" s="1" t="s">
        <v>170</v>
      </c>
      <c r="D93" s="1">
        <v>25</v>
      </c>
      <c r="E93" s="1" t="e">
        <v>#NAME?</v>
      </c>
    </row>
    <row r="94" spans="2:5" ht="12.75">
      <c r="B94" s="1" t="s">
        <v>271</v>
      </c>
      <c r="C94" s="1" t="s">
        <v>170</v>
      </c>
      <c r="D94" s="1">
        <v>0</v>
      </c>
      <c r="E94" s="1" t="s">
        <v>231</v>
      </c>
    </row>
    <row r="95" spans="2:5" ht="12.75">
      <c r="B95" s="1" t="s">
        <v>272</v>
      </c>
      <c r="C95" s="1" t="s">
        <v>170</v>
      </c>
      <c r="D95" s="1" t="s">
        <v>497</v>
      </c>
      <c r="E95" s="1" t="s">
        <v>231</v>
      </c>
    </row>
    <row r="96" spans="2:5" ht="12.75">
      <c r="B96" s="1">
        <v>48</v>
      </c>
      <c r="C96" s="1" t="s">
        <v>170</v>
      </c>
      <c r="D96" s="1">
        <v>0</v>
      </c>
      <c r="E96" s="1" t="s">
        <v>231</v>
      </c>
    </row>
    <row r="97" spans="2:5" ht="12.75">
      <c r="B97" s="1">
        <v>49</v>
      </c>
      <c r="C97" s="1" t="s">
        <v>170</v>
      </c>
      <c r="D97" s="1" t="s">
        <v>497</v>
      </c>
      <c r="E97" s="1" t="s">
        <v>231</v>
      </c>
    </row>
    <row r="98" spans="2:5" ht="12.75">
      <c r="B98" s="1" t="s">
        <v>274</v>
      </c>
      <c r="C98" s="1" t="s">
        <v>170</v>
      </c>
      <c r="D98" s="1">
        <v>0</v>
      </c>
      <c r="E98" s="1" t="s">
        <v>231</v>
      </c>
    </row>
    <row r="99" spans="2:5" ht="12.75">
      <c r="B99" s="1" t="s">
        <v>482</v>
      </c>
      <c r="C99" s="1" t="s">
        <v>170</v>
      </c>
      <c r="D99" s="1">
        <v>0</v>
      </c>
      <c r="E99" s="1" t="e">
        <v>#NAME?</v>
      </c>
    </row>
    <row r="100" spans="2:5" ht="12.75">
      <c r="B100" s="1">
        <v>52</v>
      </c>
      <c r="C100" s="1" t="s">
        <v>170</v>
      </c>
      <c r="D100" s="1">
        <v>0</v>
      </c>
      <c r="E100" s="1" t="s">
        <v>231</v>
      </c>
    </row>
    <row r="101" spans="2:5" ht="12.75">
      <c r="B101" s="1" t="s">
        <v>277</v>
      </c>
      <c r="C101" s="1" t="s">
        <v>170</v>
      </c>
      <c r="D101" s="1">
        <v>0</v>
      </c>
      <c r="E101" s="1" t="e">
        <v>#NAME?</v>
      </c>
    </row>
    <row r="102" spans="2:5" ht="12.75">
      <c r="B102" s="1" t="s">
        <v>483</v>
      </c>
      <c r="C102" s="1" t="s">
        <v>170</v>
      </c>
      <c r="D102" s="1" t="s">
        <v>497</v>
      </c>
      <c r="E102" s="1" t="e">
        <v>#NAME?</v>
      </c>
    </row>
    <row r="103" spans="2:5" ht="12.75">
      <c r="B103" s="1">
        <v>55</v>
      </c>
      <c r="C103" s="1" t="s">
        <v>170</v>
      </c>
      <c r="D103" s="1" t="s">
        <v>498</v>
      </c>
      <c r="E103" s="1" t="e">
        <v>#NAME?</v>
      </c>
    </row>
    <row r="104" spans="2:5" ht="12.75">
      <c r="B104" s="1" t="s">
        <v>280</v>
      </c>
      <c r="C104" s="1">
        <v>260</v>
      </c>
      <c r="D104" s="1">
        <v>0</v>
      </c>
      <c r="E104" s="1" t="s">
        <v>231</v>
      </c>
    </row>
    <row r="105" spans="2:5" ht="12.75">
      <c r="B105" s="1" t="s">
        <v>281</v>
      </c>
      <c r="C105" s="1" t="s">
        <v>170</v>
      </c>
      <c r="D105" s="1" t="s">
        <v>499</v>
      </c>
      <c r="E105" s="1" t="s">
        <v>231</v>
      </c>
    </row>
    <row r="106" spans="2:5" ht="12.75">
      <c r="B106" s="1">
        <v>58</v>
      </c>
      <c r="C106" s="1" t="s">
        <v>170</v>
      </c>
      <c r="D106" s="1">
        <v>0</v>
      </c>
      <c r="E106" s="1" t="s">
        <v>231</v>
      </c>
    </row>
    <row r="107" spans="2:5" ht="12.75">
      <c r="B107" s="1">
        <v>59</v>
      </c>
      <c r="C107" s="1" t="s">
        <v>170</v>
      </c>
      <c r="D107" s="1" t="s">
        <v>500</v>
      </c>
      <c r="E107" s="1" t="s">
        <v>231</v>
      </c>
    </row>
    <row r="108" spans="2:5" ht="12.75">
      <c r="B108" s="1" t="s">
        <v>284</v>
      </c>
      <c r="C108" s="1" t="s">
        <v>487</v>
      </c>
      <c r="D108" s="1">
        <v>0</v>
      </c>
      <c r="E108" s="1" t="e">
        <v>#NAME?</v>
      </c>
    </row>
    <row r="109" spans="2:5" ht="12.75">
      <c r="B109" s="1" t="s">
        <v>285</v>
      </c>
      <c r="C109" s="1" t="s">
        <v>170</v>
      </c>
      <c r="D109" s="1">
        <v>-151.98</v>
      </c>
      <c r="E109" s="1" t="e">
        <v>#NAME?</v>
      </c>
    </row>
    <row r="110" spans="2:5" ht="12.75">
      <c r="B110" s="1" t="s">
        <v>488</v>
      </c>
      <c r="C110" s="1" t="s">
        <v>170</v>
      </c>
      <c r="D110" s="1">
        <v>0</v>
      </c>
      <c r="E110" s="1" t="e">
        <v>#NAME?</v>
      </c>
    </row>
    <row r="111" spans="2:6" ht="12.75">
      <c r="B111" s="1" t="s">
        <v>489</v>
      </c>
      <c r="C111" s="1">
        <v>196.99</v>
      </c>
      <c r="D111" s="1" t="s">
        <v>234</v>
      </c>
      <c r="E111" s="1">
        <v>0</v>
      </c>
      <c r="F111" s="1" t="s">
        <v>231</v>
      </c>
    </row>
    <row r="112" spans="2:5" ht="12.75">
      <c r="B112" s="1">
        <v>64</v>
      </c>
      <c r="C112" s="1" t="s">
        <v>170</v>
      </c>
      <c r="D112" s="1">
        <v>0</v>
      </c>
      <c r="E112" s="1" t="s">
        <v>231</v>
      </c>
    </row>
    <row r="113" spans="2:5" ht="12.75">
      <c r="B113" s="1" t="s">
        <v>490</v>
      </c>
      <c r="C113" s="1" t="s">
        <v>170</v>
      </c>
      <c r="D113" s="1">
        <v>60</v>
      </c>
      <c r="E113" s="1" t="s">
        <v>231</v>
      </c>
    </row>
    <row r="114" spans="2:5" ht="12.75">
      <c r="B114" s="1">
        <v>66</v>
      </c>
      <c r="C114" s="1" t="s">
        <v>170</v>
      </c>
      <c r="D114" s="1">
        <v>32.57</v>
      </c>
      <c r="E114" s="1" t="s">
        <v>231</v>
      </c>
    </row>
    <row r="115" spans="2:5" ht="12.75">
      <c r="B115" s="1" t="s">
        <v>491</v>
      </c>
      <c r="C115" s="1" t="s">
        <v>170</v>
      </c>
      <c r="D115" s="1">
        <v>0</v>
      </c>
      <c r="E115" s="1" t="e">
        <v>#NAME?</v>
      </c>
    </row>
    <row r="116" spans="2:5" ht="12.75">
      <c r="B116" s="1" t="s">
        <v>492</v>
      </c>
      <c r="C116" s="1" t="s">
        <v>170</v>
      </c>
      <c r="D116" s="1">
        <v>-80</v>
      </c>
      <c r="E116" s="1" t="e">
        <v>#NAME?</v>
      </c>
    </row>
    <row r="117" spans="2:5" ht="12.75">
      <c r="B117" s="1">
        <v>69</v>
      </c>
      <c r="C117" s="1" t="s">
        <v>170</v>
      </c>
      <c r="D117" s="1">
        <v>0</v>
      </c>
      <c r="E117" s="1" t="e">
        <v>#NAME?</v>
      </c>
    </row>
    <row r="118" spans="2:3" ht="12.75">
      <c r="B118" s="1" t="s">
        <v>286</v>
      </c>
      <c r="C118" s="1" t="s">
        <v>170</v>
      </c>
    </row>
    <row r="120" spans="2:4" ht="12.75">
      <c r="B120" s="1" t="s">
        <v>287</v>
      </c>
      <c r="C120" s="1" t="s">
        <v>288</v>
      </c>
      <c r="D120" s="1" t="s">
        <v>289</v>
      </c>
    </row>
    <row r="121" ht="12.75">
      <c r="B121" s="1" t="s">
        <v>290</v>
      </c>
    </row>
    <row r="122" spans="2:11" ht="12.75">
      <c r="B122" s="1" t="s">
        <v>291</v>
      </c>
      <c r="C122" s="1" t="s">
        <v>61</v>
      </c>
      <c r="D122" s="1" t="s">
        <v>292</v>
      </c>
      <c r="E122" s="1" t="s">
        <v>293</v>
      </c>
      <c r="F122" s="1" t="s">
        <v>222</v>
      </c>
      <c r="G122" s="1" t="s">
        <v>294</v>
      </c>
      <c r="H122" s="1" t="s">
        <v>295</v>
      </c>
      <c r="I122" s="1" t="s">
        <v>296</v>
      </c>
      <c r="J122" s="1" t="s">
        <v>215</v>
      </c>
      <c r="K122" s="1" t="s">
        <v>61</v>
      </c>
    </row>
    <row r="123" spans="2:13" ht="12.75">
      <c r="B123" s="1" t="s">
        <v>297</v>
      </c>
      <c r="C123" s="1" t="s">
        <v>61</v>
      </c>
      <c r="D123" s="1" t="s">
        <v>298</v>
      </c>
      <c r="E123" s="1" t="s">
        <v>57</v>
      </c>
      <c r="F123" s="1" t="s">
        <v>52</v>
      </c>
      <c r="G123" s="1" t="s">
        <v>299</v>
      </c>
      <c r="H123" s="1" t="s">
        <v>300</v>
      </c>
      <c r="I123" s="1" t="s">
        <v>61</v>
      </c>
      <c r="J123" s="1" t="s">
        <v>298</v>
      </c>
      <c r="K123" s="1" t="s">
        <v>57</v>
      </c>
      <c r="L123" s="1" t="s">
        <v>301</v>
      </c>
      <c r="M123" s="1" t="s">
        <v>299</v>
      </c>
    </row>
    <row r="124" spans="2:11" ht="12.75">
      <c r="B124" s="1" t="s">
        <v>234</v>
      </c>
      <c r="C124" s="1" t="s">
        <v>302</v>
      </c>
      <c r="D124" s="1" t="s">
        <v>61</v>
      </c>
      <c r="E124" s="1" t="s">
        <v>303</v>
      </c>
      <c r="F124" s="1" t="s">
        <v>304</v>
      </c>
      <c r="G124" s="1" t="s">
        <v>305</v>
      </c>
      <c r="H124" s="1" t="s">
        <v>298</v>
      </c>
      <c r="I124" s="1" t="s">
        <v>306</v>
      </c>
      <c r="J124" s="1" t="s">
        <v>288</v>
      </c>
      <c r="K124" s="1" t="s">
        <v>307</v>
      </c>
    </row>
    <row r="125" spans="2:7" ht="12.75">
      <c r="B125" s="1" t="s">
        <v>308</v>
      </c>
      <c r="C125" s="1" t="s">
        <v>305</v>
      </c>
      <c r="D125" s="1" t="s">
        <v>298</v>
      </c>
      <c r="E125" s="1" t="s">
        <v>306</v>
      </c>
      <c r="F125" s="1" t="s">
        <v>288</v>
      </c>
      <c r="G125" s="1" t="s">
        <v>309</v>
      </c>
    </row>
    <row r="127" spans="2:4" ht="12.75">
      <c r="B127" s="1" t="s">
        <v>302</v>
      </c>
      <c r="C127" s="1" t="s">
        <v>61</v>
      </c>
      <c r="D127" s="1" t="s">
        <v>56</v>
      </c>
    </row>
    <row r="128" ht="12.75">
      <c r="B128" s="1" t="s">
        <v>167</v>
      </c>
    </row>
    <row r="129" spans="2:7" ht="12.75">
      <c r="B129" s="1" t="s">
        <v>61</v>
      </c>
      <c r="C129" s="1" t="s">
        <v>62</v>
      </c>
      <c r="D129" s="1">
        <v>6</v>
      </c>
      <c r="E129" s="1" t="s">
        <v>310</v>
      </c>
      <c r="F129" s="1" t="s">
        <v>311</v>
      </c>
      <c r="G129" s="1" t="s">
        <v>61</v>
      </c>
    </row>
    <row r="130" spans="2:5" ht="12.75">
      <c r="B130" s="1" t="s">
        <v>311</v>
      </c>
      <c r="C130" s="1" t="s">
        <v>312</v>
      </c>
      <c r="D130" s="1" t="s">
        <v>313</v>
      </c>
      <c r="E130" s="1">
        <v>-1.00129</v>
      </c>
    </row>
    <row r="131" spans="2:9" ht="12.75">
      <c r="B131" s="1" t="s">
        <v>314</v>
      </c>
      <c r="C131" s="1" t="s">
        <v>315</v>
      </c>
      <c r="D131" s="1" t="s">
        <v>316</v>
      </c>
      <c r="E131" s="4">
        <v>2710000</v>
      </c>
      <c r="F131" s="1" t="s">
        <v>317</v>
      </c>
      <c r="G131" s="1" t="s">
        <v>315</v>
      </c>
      <c r="H131" s="1" t="s">
        <v>318</v>
      </c>
      <c r="I131" s="1">
        <v>-97448.0619</v>
      </c>
    </row>
    <row r="133" ht="12.75">
      <c r="B133" s="1" t="s">
        <v>319</v>
      </c>
    </row>
    <row r="134" spans="2:7" ht="12.75">
      <c r="B134" s="1" t="s">
        <v>61</v>
      </c>
      <c r="C134" s="1" t="s">
        <v>62</v>
      </c>
      <c r="D134" s="1">
        <v>7</v>
      </c>
      <c r="E134" s="1" t="s">
        <v>310</v>
      </c>
      <c r="F134" s="1" t="s">
        <v>311</v>
      </c>
      <c r="G134" s="1" t="s">
        <v>61</v>
      </c>
    </row>
    <row r="135" spans="2:5" ht="12.75">
      <c r="B135" s="1" t="s">
        <v>311</v>
      </c>
      <c r="C135" s="1" t="s">
        <v>312</v>
      </c>
      <c r="D135" s="1" t="s">
        <v>313</v>
      </c>
      <c r="E135" s="1">
        <v>-1.296</v>
      </c>
    </row>
    <row r="136" spans="2:9" ht="12.75">
      <c r="B136" s="1" t="s">
        <v>314</v>
      </c>
      <c r="C136" s="1" t="s">
        <v>315</v>
      </c>
      <c r="D136" s="1" t="s">
        <v>316</v>
      </c>
      <c r="E136" s="1">
        <v>1166.432433</v>
      </c>
      <c r="F136" s="1" t="s">
        <v>317</v>
      </c>
      <c r="G136" s="1" t="s">
        <v>315</v>
      </c>
      <c r="H136" s="1" t="s">
        <v>318</v>
      </c>
      <c r="I136" s="1">
        <v>-634.607853</v>
      </c>
    </row>
    <row r="138" ht="12.75">
      <c r="B138" s="1" t="s">
        <v>319</v>
      </c>
    </row>
    <row r="139" spans="2:7" ht="12.75">
      <c r="B139" s="1" t="s">
        <v>61</v>
      </c>
      <c r="C139" s="1" t="s">
        <v>62</v>
      </c>
      <c r="D139" s="1">
        <v>11</v>
      </c>
      <c r="E139" s="1" t="s">
        <v>310</v>
      </c>
      <c r="F139" s="1" t="s">
        <v>311</v>
      </c>
      <c r="G139" s="1" t="s">
        <v>61</v>
      </c>
    </row>
    <row r="140" spans="2:5" ht="12.75">
      <c r="B140" s="1" t="s">
        <v>311</v>
      </c>
      <c r="C140" s="1" t="s">
        <v>312</v>
      </c>
      <c r="D140" s="1" t="s">
        <v>313</v>
      </c>
      <c r="E140" s="1">
        <v>-0.5095</v>
      </c>
    </row>
    <row r="141" spans="2:9" ht="12.75">
      <c r="B141" s="1" t="s">
        <v>314</v>
      </c>
      <c r="C141" s="1" t="s">
        <v>315</v>
      </c>
      <c r="D141" s="1" t="s">
        <v>316</v>
      </c>
      <c r="E141" s="1">
        <v>-746.101937</v>
      </c>
      <c r="F141" s="1" t="s">
        <v>317</v>
      </c>
      <c r="G141" s="1" t="s">
        <v>315</v>
      </c>
      <c r="H141" s="1" t="s">
        <v>318</v>
      </c>
      <c r="I141" s="1">
        <v>522.537753</v>
      </c>
    </row>
    <row r="143" ht="12.75">
      <c r="B143" s="1" t="s">
        <v>319</v>
      </c>
    </row>
    <row r="144" spans="2:7" ht="12.75">
      <c r="B144" s="1" t="s">
        <v>61</v>
      </c>
      <c r="C144" s="1" t="s">
        <v>62</v>
      </c>
      <c r="D144" s="1">
        <v>17</v>
      </c>
      <c r="E144" s="1" t="s">
        <v>310</v>
      </c>
      <c r="F144" s="1" t="s">
        <v>320</v>
      </c>
      <c r="G144" s="1" t="s">
        <v>61</v>
      </c>
    </row>
    <row r="145" spans="2:3" ht="12.75">
      <c r="B145" s="1" t="s">
        <v>321</v>
      </c>
      <c r="C145" s="1">
        <v>-278.418</v>
      </c>
    </row>
    <row r="147" ht="12.75">
      <c r="B147" s="1" t="s">
        <v>319</v>
      </c>
    </row>
    <row r="148" spans="2:7" ht="12.75">
      <c r="B148" s="1" t="s">
        <v>61</v>
      </c>
      <c r="C148" s="1" t="s">
        <v>62</v>
      </c>
      <c r="D148" s="1">
        <v>22</v>
      </c>
      <c r="E148" s="1" t="s">
        <v>310</v>
      </c>
      <c r="F148" s="1" t="s">
        <v>320</v>
      </c>
      <c r="G148" s="1" t="s">
        <v>61</v>
      </c>
    </row>
    <row r="149" spans="2:3" ht="12.75">
      <c r="B149" s="1" t="s">
        <v>321</v>
      </c>
      <c r="C149" s="1">
        <v>269.92</v>
      </c>
    </row>
    <row r="151" ht="12.75">
      <c r="B151" s="1" t="s">
        <v>319</v>
      </c>
    </row>
    <row r="152" spans="2:7" ht="12.75">
      <c r="B152" s="1" t="s">
        <v>61</v>
      </c>
      <c r="C152" s="1" t="s">
        <v>62</v>
      </c>
      <c r="D152" s="1">
        <v>36</v>
      </c>
      <c r="E152" s="1" t="s">
        <v>310</v>
      </c>
      <c r="F152" s="1" t="s">
        <v>320</v>
      </c>
      <c r="G152" s="1" t="s">
        <v>61</v>
      </c>
    </row>
    <row r="153" spans="2:3" ht="12.75">
      <c r="B153" s="1" t="s">
        <v>321</v>
      </c>
      <c r="C153" s="1">
        <v>202</v>
      </c>
    </row>
    <row r="155" ht="12.75">
      <c r="B155" s="1" t="s">
        <v>319</v>
      </c>
    </row>
    <row r="156" spans="2:7" ht="12.75">
      <c r="B156" s="1" t="s">
        <v>61</v>
      </c>
      <c r="C156" s="1" t="s">
        <v>62</v>
      </c>
      <c r="D156" s="1">
        <v>63</v>
      </c>
      <c r="E156" s="1" t="s">
        <v>310</v>
      </c>
      <c r="F156" s="1" t="s">
        <v>320</v>
      </c>
      <c r="G156" s="1" t="s">
        <v>61</v>
      </c>
    </row>
    <row r="157" spans="2:3" ht="12.75">
      <c r="B157" s="1" t="s">
        <v>321</v>
      </c>
      <c r="C157" s="1">
        <v>169.84</v>
      </c>
    </row>
    <row r="160" spans="2:5" ht="12.75">
      <c r="B160" s="1" t="s">
        <v>322</v>
      </c>
      <c r="C160" s="1" t="s">
        <v>222</v>
      </c>
      <c r="D160" s="1" t="s">
        <v>323</v>
      </c>
      <c r="E160" s="1" t="s">
        <v>56</v>
      </c>
    </row>
    <row r="161" spans="2:3" ht="12.75">
      <c r="B161" s="1" t="s">
        <v>324</v>
      </c>
      <c r="C161" s="1" t="s">
        <v>299</v>
      </c>
    </row>
    <row r="162" ht="12.75">
      <c r="B162" s="1" t="s">
        <v>325</v>
      </c>
    </row>
    <row r="163" spans="2:9" ht="12.75">
      <c r="B163" s="1" t="s">
        <v>50</v>
      </c>
      <c r="C163" s="1" t="s">
        <v>303</v>
      </c>
      <c r="D163" s="1" t="s">
        <v>17</v>
      </c>
      <c r="E163" s="1" t="s">
        <v>80</v>
      </c>
      <c r="F163" s="1" t="s">
        <v>81</v>
      </c>
      <c r="G163" s="1" t="s">
        <v>326</v>
      </c>
      <c r="H163" s="1" t="s">
        <v>327</v>
      </c>
      <c r="I163" s="1" t="s">
        <v>328</v>
      </c>
    </row>
    <row r="164" ht="12.75">
      <c r="B164" s="1" t="s">
        <v>325</v>
      </c>
    </row>
    <row r="165" spans="2:9" ht="12.75">
      <c r="B165" s="1">
        <v>2</v>
      </c>
      <c r="C165" s="1" t="s">
        <v>329</v>
      </c>
      <c r="D165" s="1">
        <v>0</v>
      </c>
      <c r="E165" s="1">
        <v>0</v>
      </c>
      <c r="F165" s="1">
        <v>0</v>
      </c>
      <c r="G165" s="1">
        <v>0.1829</v>
      </c>
      <c r="H165" s="1">
        <v>0</v>
      </c>
      <c r="I165" s="1">
        <v>0</v>
      </c>
    </row>
    <row r="166" spans="2:9" ht="12.75">
      <c r="B166" s="1">
        <v>3</v>
      </c>
      <c r="C166" s="1" t="s">
        <v>329</v>
      </c>
      <c r="D166" s="1">
        <v>0</v>
      </c>
      <c r="E166" s="1">
        <v>0</v>
      </c>
      <c r="F166" s="1">
        <v>0</v>
      </c>
      <c r="G166" s="1">
        <v>0</v>
      </c>
      <c r="H166" s="1">
        <v>-0.123</v>
      </c>
      <c r="I166" s="1">
        <v>0</v>
      </c>
    </row>
    <row r="167" spans="2:9" ht="12.75">
      <c r="B167" s="1">
        <v>10</v>
      </c>
      <c r="C167" s="1" t="s">
        <v>329</v>
      </c>
      <c r="D167" s="1">
        <v>0</v>
      </c>
      <c r="E167" s="1">
        <v>-91.048</v>
      </c>
      <c r="F167" s="1">
        <v>0</v>
      </c>
      <c r="G167" s="1">
        <v>-1.9766</v>
      </c>
      <c r="H167" s="1">
        <v>0</v>
      </c>
      <c r="I167" s="1">
        <v>0</v>
      </c>
    </row>
    <row r="168" spans="2:9" ht="12.75">
      <c r="B168" s="1">
        <v>11</v>
      </c>
      <c r="C168" s="1" t="s">
        <v>329</v>
      </c>
      <c r="D168" s="1">
        <v>0</v>
      </c>
      <c r="E168" s="1">
        <v>-149.224</v>
      </c>
      <c r="F168" s="1">
        <v>12.676</v>
      </c>
      <c r="G168" s="1">
        <v>-6.7066</v>
      </c>
      <c r="H168" s="1">
        <v>0</v>
      </c>
      <c r="I168" s="1">
        <v>0</v>
      </c>
    </row>
    <row r="169" spans="2:9" ht="12.75">
      <c r="B169" s="1">
        <v>12</v>
      </c>
      <c r="C169" s="1" t="s">
        <v>329</v>
      </c>
      <c r="D169" s="1">
        <v>0</v>
      </c>
      <c r="E169" s="1">
        <v>0</v>
      </c>
      <c r="F169" s="1">
        <v>0</v>
      </c>
      <c r="G169" s="1">
        <v>31.93</v>
      </c>
      <c r="H169" s="1">
        <v>0</v>
      </c>
      <c r="I169" s="1">
        <v>0</v>
      </c>
    </row>
    <row r="170" spans="2:9" ht="12.75">
      <c r="B170" s="1">
        <v>13</v>
      </c>
      <c r="C170" s="1" t="s">
        <v>329</v>
      </c>
      <c r="D170" s="1">
        <v>0</v>
      </c>
      <c r="E170" s="1">
        <v>0</v>
      </c>
      <c r="F170" s="1">
        <v>0</v>
      </c>
      <c r="G170" s="1">
        <v>-12.01</v>
      </c>
      <c r="H170" s="1">
        <v>0</v>
      </c>
      <c r="I170" s="1">
        <v>0</v>
      </c>
    </row>
    <row r="171" spans="2:9" ht="12.75">
      <c r="B171" s="1">
        <v>16</v>
      </c>
      <c r="C171" s="1" t="s">
        <v>329</v>
      </c>
      <c r="D171" s="1">
        <v>0</v>
      </c>
      <c r="E171" s="1">
        <v>0</v>
      </c>
      <c r="F171" s="1">
        <v>0</v>
      </c>
      <c r="G171" s="1">
        <v>-24.02</v>
      </c>
      <c r="H171" s="1">
        <v>0</v>
      </c>
      <c r="I171" s="1">
        <v>0</v>
      </c>
    </row>
    <row r="172" spans="2:9" ht="12.75">
      <c r="B172" s="1">
        <v>17</v>
      </c>
      <c r="C172" s="1" t="s">
        <v>329</v>
      </c>
      <c r="D172" s="1">
        <v>0</v>
      </c>
      <c r="E172" s="1">
        <v>0</v>
      </c>
      <c r="F172" s="1">
        <v>0</v>
      </c>
      <c r="G172" s="1">
        <v>9.212</v>
      </c>
      <c r="H172" s="1">
        <v>0</v>
      </c>
      <c r="I172" s="1">
        <v>0</v>
      </c>
    </row>
    <row r="173" spans="2:9" ht="12.75">
      <c r="B173" s="1">
        <v>18</v>
      </c>
      <c r="C173" s="1" t="s">
        <v>329</v>
      </c>
      <c r="D173" s="1">
        <v>0</v>
      </c>
      <c r="E173" s="1">
        <v>0</v>
      </c>
      <c r="F173" s="1">
        <v>0</v>
      </c>
      <c r="G173" s="1">
        <v>18.424</v>
      </c>
      <c r="H173" s="1">
        <v>0</v>
      </c>
      <c r="I173" s="1">
        <v>0</v>
      </c>
    </row>
    <row r="174" spans="2:9" ht="12.75">
      <c r="B174" s="1">
        <v>19</v>
      </c>
      <c r="C174" s="1" t="s">
        <v>329</v>
      </c>
      <c r="D174" s="1">
        <v>0</v>
      </c>
      <c r="E174" s="1">
        <v>0</v>
      </c>
      <c r="F174" s="1">
        <v>0</v>
      </c>
      <c r="G174" s="1">
        <v>-24.3574</v>
      </c>
      <c r="H174" s="1">
        <v>0</v>
      </c>
      <c r="I174" s="1">
        <v>0</v>
      </c>
    </row>
    <row r="175" spans="2:9" ht="12.75">
      <c r="B175" s="1">
        <v>20</v>
      </c>
      <c r="C175" s="1" t="s">
        <v>329</v>
      </c>
      <c r="D175" s="1">
        <v>33.82</v>
      </c>
      <c r="E175" s="1">
        <v>-4.442</v>
      </c>
      <c r="F175" s="1">
        <v>0</v>
      </c>
      <c r="G175" s="1">
        <v>0</v>
      </c>
      <c r="H175" s="1">
        <v>0</v>
      </c>
      <c r="I175" s="1">
        <v>74</v>
      </c>
    </row>
    <row r="176" spans="2:9" ht="12.75">
      <c r="B176" s="1">
        <v>21</v>
      </c>
      <c r="C176" s="1" t="s">
        <v>329</v>
      </c>
      <c r="D176" s="1">
        <v>0</v>
      </c>
      <c r="E176" s="1">
        <v>0</v>
      </c>
      <c r="F176" s="1">
        <v>0</v>
      </c>
      <c r="G176" s="1">
        <v>45</v>
      </c>
      <c r="H176" s="1">
        <v>0</v>
      </c>
      <c r="I176" s="1">
        <v>0</v>
      </c>
    </row>
    <row r="177" spans="2:10" ht="12.75">
      <c r="B177" s="1">
        <v>22</v>
      </c>
      <c r="C177" s="1" t="s">
        <v>333</v>
      </c>
      <c r="D177" s="1" t="s">
        <v>493</v>
      </c>
      <c r="E177" s="1">
        <v>0</v>
      </c>
      <c r="F177" s="1">
        <v>0</v>
      </c>
      <c r="G177" s="1">
        <v>0</v>
      </c>
      <c r="H177" s="1">
        <v>10.926</v>
      </c>
      <c r="I177" s="1">
        <v>13.491</v>
      </c>
      <c r="J177" s="1">
        <v>25.95</v>
      </c>
    </row>
    <row r="178" spans="2:9" ht="12.75">
      <c r="B178" s="1">
        <v>24</v>
      </c>
      <c r="C178" s="1" t="s">
        <v>329</v>
      </c>
      <c r="D178" s="1">
        <v>0</v>
      </c>
      <c r="E178" s="1">
        <v>0</v>
      </c>
      <c r="F178" s="1">
        <v>0</v>
      </c>
      <c r="G178" s="1">
        <v>49.5</v>
      </c>
      <c r="H178" s="1">
        <v>0</v>
      </c>
      <c r="I178" s="1">
        <v>0</v>
      </c>
    </row>
    <row r="179" spans="2:10" ht="12.75">
      <c r="B179" s="1">
        <v>26</v>
      </c>
      <c r="C179" s="1" t="s">
        <v>333</v>
      </c>
      <c r="D179" s="1" t="s">
        <v>493</v>
      </c>
      <c r="E179" s="1">
        <v>0</v>
      </c>
      <c r="F179" s="1">
        <v>0</v>
      </c>
      <c r="G179" s="1">
        <v>0</v>
      </c>
      <c r="H179" s="1">
        <v>26</v>
      </c>
      <c r="I179" s="1">
        <v>12</v>
      </c>
      <c r="J179" s="1">
        <v>0</v>
      </c>
    </row>
    <row r="180" spans="2:9" ht="12.75">
      <c r="B180" s="1">
        <v>28</v>
      </c>
      <c r="C180" s="1" t="s">
        <v>329</v>
      </c>
      <c r="D180" s="1">
        <v>0</v>
      </c>
      <c r="E180" s="1">
        <v>0</v>
      </c>
      <c r="F180" s="1">
        <v>0</v>
      </c>
      <c r="G180" s="1">
        <v>-45</v>
      </c>
      <c r="H180" s="1">
        <v>0</v>
      </c>
      <c r="I180" s="1">
        <v>0</v>
      </c>
    </row>
    <row r="181" spans="2:10" ht="12.75">
      <c r="B181" s="1">
        <v>30</v>
      </c>
      <c r="C181" s="1" t="s">
        <v>333</v>
      </c>
      <c r="D181" s="1" t="s">
        <v>493</v>
      </c>
      <c r="E181" s="1">
        <v>0</v>
      </c>
      <c r="F181" s="1">
        <v>0</v>
      </c>
      <c r="G181" s="1">
        <v>0</v>
      </c>
      <c r="H181" s="1">
        <v>-0.441</v>
      </c>
      <c r="I181" s="1">
        <v>-173.118</v>
      </c>
      <c r="J181" s="1">
        <v>0</v>
      </c>
    </row>
    <row r="182" spans="2:9" ht="12.75">
      <c r="B182" s="1">
        <v>32</v>
      </c>
      <c r="C182" s="1" t="s">
        <v>329</v>
      </c>
      <c r="D182" s="1">
        <v>0</v>
      </c>
      <c r="E182" s="1">
        <v>0</v>
      </c>
      <c r="F182" s="1">
        <v>0</v>
      </c>
      <c r="G182" s="1">
        <v>-49.5</v>
      </c>
      <c r="H182" s="1">
        <v>0</v>
      </c>
      <c r="I182" s="1">
        <v>0</v>
      </c>
    </row>
    <row r="183" spans="2:9" ht="12.75">
      <c r="B183" s="1">
        <v>33</v>
      </c>
      <c r="C183" s="1" t="s">
        <v>329</v>
      </c>
      <c r="D183" s="1">
        <v>0</v>
      </c>
      <c r="E183" s="1">
        <v>0</v>
      </c>
      <c r="F183" s="1">
        <v>0</v>
      </c>
      <c r="G183" s="1">
        <v>0</v>
      </c>
      <c r="H183" s="1">
        <v>0</v>
      </c>
      <c r="I183" s="1">
        <v>-74</v>
      </c>
    </row>
    <row r="184" spans="2:9" ht="12.75">
      <c r="B184" s="1">
        <v>34</v>
      </c>
      <c r="C184" s="1" t="s">
        <v>329</v>
      </c>
      <c r="D184" s="1">
        <v>0</v>
      </c>
      <c r="E184" s="1">
        <v>0</v>
      </c>
      <c r="F184" s="1">
        <v>0</v>
      </c>
      <c r="G184" s="1">
        <v>10</v>
      </c>
      <c r="H184" s="1">
        <v>0</v>
      </c>
      <c r="I184" s="1">
        <v>0</v>
      </c>
    </row>
    <row r="185" spans="2:9" ht="12.75">
      <c r="B185" s="1">
        <v>35</v>
      </c>
      <c r="C185" s="1" t="s">
        <v>329</v>
      </c>
      <c r="D185" s="1">
        <v>0</v>
      </c>
      <c r="E185" s="1">
        <v>0</v>
      </c>
      <c r="F185" s="1">
        <v>0</v>
      </c>
      <c r="G185" s="1">
        <v>-20</v>
      </c>
      <c r="H185" s="1">
        <v>0</v>
      </c>
      <c r="I185" s="1">
        <v>0</v>
      </c>
    </row>
    <row r="186" spans="2:9" ht="12.75">
      <c r="B186" s="1">
        <v>36</v>
      </c>
      <c r="C186" s="1" t="s">
        <v>329</v>
      </c>
      <c r="D186" s="1">
        <v>0</v>
      </c>
      <c r="E186" s="1">
        <v>0</v>
      </c>
      <c r="F186" s="1">
        <v>0</v>
      </c>
      <c r="G186" s="1">
        <v>0</v>
      </c>
      <c r="H186" s="1">
        <v>0</v>
      </c>
      <c r="I186" s="1">
        <v>-6.22</v>
      </c>
    </row>
    <row r="187" spans="2:9" ht="12.75">
      <c r="B187" s="1">
        <v>38</v>
      </c>
      <c r="C187" s="1" t="s">
        <v>329</v>
      </c>
      <c r="D187" s="1">
        <v>0</v>
      </c>
      <c r="E187" s="1">
        <v>0</v>
      </c>
      <c r="F187" s="1">
        <v>0</v>
      </c>
      <c r="G187" s="1">
        <v>-40</v>
      </c>
      <c r="H187" s="1">
        <v>0</v>
      </c>
      <c r="I187" s="1">
        <v>0</v>
      </c>
    </row>
    <row r="188" spans="2:9" ht="12.75">
      <c r="B188" s="1">
        <v>39</v>
      </c>
      <c r="C188" s="1" t="s">
        <v>329</v>
      </c>
      <c r="D188" s="1">
        <v>0</v>
      </c>
      <c r="E188" s="1">
        <v>0</v>
      </c>
      <c r="F188" s="1">
        <v>0</v>
      </c>
      <c r="G188" s="1">
        <v>30</v>
      </c>
      <c r="H188" s="1">
        <v>0</v>
      </c>
      <c r="I188" s="1">
        <v>0</v>
      </c>
    </row>
    <row r="189" spans="2:9" ht="12.75">
      <c r="B189" s="1">
        <v>40</v>
      </c>
      <c r="C189" s="1" t="s">
        <v>329</v>
      </c>
      <c r="D189" s="1">
        <v>0</v>
      </c>
      <c r="E189" s="1">
        <v>0</v>
      </c>
      <c r="F189" s="1">
        <v>0</v>
      </c>
      <c r="G189" s="1">
        <v>90</v>
      </c>
      <c r="H189" s="1">
        <v>0</v>
      </c>
      <c r="I189" s="1">
        <v>0</v>
      </c>
    </row>
    <row r="190" spans="2:9" ht="12.75">
      <c r="B190" s="1">
        <v>43</v>
      </c>
      <c r="C190" s="1" t="s">
        <v>329</v>
      </c>
      <c r="D190" s="1">
        <v>0</v>
      </c>
      <c r="E190" s="1">
        <v>0</v>
      </c>
      <c r="F190" s="1">
        <v>0</v>
      </c>
      <c r="G190" s="1">
        <v>15</v>
      </c>
      <c r="H190" s="1">
        <v>0</v>
      </c>
      <c r="I190" s="1">
        <v>0</v>
      </c>
    </row>
    <row r="191" spans="2:9" ht="12.75">
      <c r="B191" s="1">
        <v>44</v>
      </c>
      <c r="C191" s="1" t="s">
        <v>329</v>
      </c>
      <c r="D191" s="1">
        <v>0</v>
      </c>
      <c r="E191" s="1">
        <v>0</v>
      </c>
      <c r="F191" s="1">
        <v>0</v>
      </c>
      <c r="G191" s="1">
        <v>30</v>
      </c>
      <c r="H191" s="1">
        <v>0</v>
      </c>
      <c r="I191" s="1">
        <v>0</v>
      </c>
    </row>
    <row r="192" spans="2:9" ht="12.75">
      <c r="B192" s="1">
        <v>46</v>
      </c>
      <c r="C192" s="1" t="s">
        <v>329</v>
      </c>
      <c r="D192" s="1">
        <v>0</v>
      </c>
      <c r="E192" s="1">
        <v>0</v>
      </c>
      <c r="F192" s="1">
        <v>0</v>
      </c>
      <c r="G192" s="1">
        <v>-45</v>
      </c>
      <c r="H192" s="1">
        <v>0</v>
      </c>
      <c r="I192" s="1">
        <v>0</v>
      </c>
    </row>
    <row r="193" spans="2:9" ht="12.75">
      <c r="B193" s="1">
        <v>47</v>
      </c>
      <c r="C193" s="1" t="s">
        <v>329</v>
      </c>
      <c r="D193" s="1">
        <v>0</v>
      </c>
      <c r="E193" s="1">
        <v>0</v>
      </c>
      <c r="F193" s="1">
        <v>0</v>
      </c>
      <c r="G193" s="1">
        <v>-90</v>
      </c>
      <c r="H193" s="1">
        <v>0</v>
      </c>
      <c r="I193" s="1">
        <v>0</v>
      </c>
    </row>
    <row r="194" spans="2:9" ht="12.75">
      <c r="B194" s="1">
        <v>50</v>
      </c>
      <c r="C194" s="1" t="s">
        <v>329</v>
      </c>
      <c r="D194" s="1">
        <v>0</v>
      </c>
      <c r="E194" s="1">
        <v>0</v>
      </c>
      <c r="F194" s="1">
        <v>0</v>
      </c>
      <c r="G194" s="1">
        <v>-45</v>
      </c>
      <c r="H194" s="1">
        <v>0</v>
      </c>
      <c r="I194" s="1">
        <v>0</v>
      </c>
    </row>
    <row r="195" spans="2:9" ht="12.75">
      <c r="B195" s="1">
        <v>51</v>
      </c>
      <c r="C195" s="1" t="s">
        <v>329</v>
      </c>
      <c r="D195" s="1">
        <v>0</v>
      </c>
      <c r="E195" s="1">
        <v>0</v>
      </c>
      <c r="F195" s="1">
        <v>0</v>
      </c>
      <c r="G195" s="1">
        <v>0</v>
      </c>
      <c r="H195" s="1">
        <v>-45</v>
      </c>
      <c r="I195" s="1">
        <v>0</v>
      </c>
    </row>
    <row r="196" spans="2:9" ht="12.75">
      <c r="B196" s="1">
        <v>53</v>
      </c>
      <c r="C196" s="1" t="s">
        <v>329</v>
      </c>
      <c r="D196" s="1">
        <v>0</v>
      </c>
      <c r="E196" s="1">
        <v>0</v>
      </c>
      <c r="F196" s="1">
        <v>0</v>
      </c>
      <c r="G196" s="1">
        <v>0</v>
      </c>
      <c r="H196" s="1">
        <v>45</v>
      </c>
      <c r="I196" s="1">
        <v>0</v>
      </c>
    </row>
    <row r="197" spans="2:9" ht="12.75">
      <c r="B197" s="1">
        <v>54</v>
      </c>
      <c r="C197" s="1" t="s">
        <v>329</v>
      </c>
      <c r="D197" s="1">
        <v>0</v>
      </c>
      <c r="E197" s="1">
        <v>0</v>
      </c>
      <c r="F197" s="1">
        <v>0</v>
      </c>
      <c r="G197" s="1">
        <v>-45</v>
      </c>
      <c r="H197" s="1">
        <v>0</v>
      </c>
      <c r="I197" s="1">
        <v>0</v>
      </c>
    </row>
    <row r="198" spans="2:9" ht="12.75">
      <c r="B198" s="1">
        <v>56</v>
      </c>
      <c r="C198" s="1" t="s">
        <v>329</v>
      </c>
      <c r="D198" s="1">
        <v>0</v>
      </c>
      <c r="E198" s="1">
        <v>0</v>
      </c>
      <c r="F198" s="1">
        <v>0</v>
      </c>
      <c r="G198" s="1">
        <v>15</v>
      </c>
      <c r="H198" s="1">
        <v>0</v>
      </c>
      <c r="I198" s="1">
        <v>0</v>
      </c>
    </row>
    <row r="199" spans="2:9" ht="12.75">
      <c r="B199" s="1">
        <v>57</v>
      </c>
      <c r="C199" s="1" t="s">
        <v>329</v>
      </c>
      <c r="D199" s="1">
        <v>0</v>
      </c>
      <c r="E199" s="1">
        <v>0</v>
      </c>
      <c r="F199" s="1">
        <v>0</v>
      </c>
      <c r="G199" s="1">
        <v>30</v>
      </c>
      <c r="H199" s="1">
        <v>0</v>
      </c>
      <c r="I199" s="1">
        <v>0</v>
      </c>
    </row>
    <row r="200" spans="2:9" ht="12.75">
      <c r="B200" s="1">
        <v>60</v>
      </c>
      <c r="C200" s="1" t="s">
        <v>329</v>
      </c>
      <c r="D200" s="1">
        <v>0</v>
      </c>
      <c r="E200" s="1">
        <v>0</v>
      </c>
      <c r="F200" s="1">
        <v>0</v>
      </c>
      <c r="G200" s="1">
        <v>-30</v>
      </c>
      <c r="H200" s="1">
        <v>0</v>
      </c>
      <c r="I200" s="1">
        <v>0</v>
      </c>
    </row>
    <row r="201" spans="2:9" ht="12.75">
      <c r="B201" s="1">
        <v>61</v>
      </c>
      <c r="C201" s="1" t="s">
        <v>329</v>
      </c>
      <c r="D201" s="1">
        <v>0</v>
      </c>
      <c r="E201" s="1">
        <v>0</v>
      </c>
      <c r="F201" s="1">
        <v>0</v>
      </c>
      <c r="G201" s="1">
        <v>-30</v>
      </c>
      <c r="H201" s="1">
        <v>0</v>
      </c>
      <c r="I201" s="1">
        <v>0</v>
      </c>
    </row>
    <row r="202" spans="2:9" ht="12.75">
      <c r="B202" s="1">
        <v>62</v>
      </c>
      <c r="C202" s="1" t="s">
        <v>329</v>
      </c>
      <c r="D202" s="1">
        <v>0</v>
      </c>
      <c r="E202" s="1">
        <v>0</v>
      </c>
      <c r="F202" s="1">
        <v>0</v>
      </c>
      <c r="G202" s="1">
        <v>20</v>
      </c>
      <c r="H202" s="1">
        <v>0</v>
      </c>
      <c r="I202" s="1">
        <v>0</v>
      </c>
    </row>
    <row r="203" spans="2:9" ht="12.75">
      <c r="B203" s="1">
        <v>63</v>
      </c>
      <c r="C203" s="1" t="s">
        <v>329</v>
      </c>
      <c r="D203" s="1">
        <v>0</v>
      </c>
      <c r="E203" s="1">
        <v>0</v>
      </c>
      <c r="F203" s="1">
        <v>0</v>
      </c>
      <c r="G203" s="1">
        <v>0</v>
      </c>
      <c r="H203" s="1">
        <v>0</v>
      </c>
      <c r="I203" s="1">
        <v>-1.79</v>
      </c>
    </row>
    <row r="204" spans="2:9" ht="12.75">
      <c r="B204" s="1">
        <v>65</v>
      </c>
      <c r="C204" s="1" t="s">
        <v>329</v>
      </c>
      <c r="D204" s="1">
        <v>0</v>
      </c>
      <c r="E204" s="1">
        <v>0</v>
      </c>
      <c r="F204" s="1">
        <v>0</v>
      </c>
      <c r="G204" s="1">
        <v>20</v>
      </c>
      <c r="H204" s="1">
        <v>0</v>
      </c>
      <c r="I204" s="1">
        <v>0</v>
      </c>
    </row>
    <row r="205" spans="2:9" ht="12.75">
      <c r="B205" s="1">
        <v>67</v>
      </c>
      <c r="C205" s="1" t="s">
        <v>329</v>
      </c>
      <c r="D205" s="1">
        <v>0</v>
      </c>
      <c r="E205" s="1">
        <v>0</v>
      </c>
      <c r="F205" s="1">
        <v>0</v>
      </c>
      <c r="G205" s="1">
        <v>0</v>
      </c>
      <c r="H205" s="1">
        <v>45</v>
      </c>
      <c r="I205" s="1">
        <v>0</v>
      </c>
    </row>
    <row r="206" spans="2:9" ht="12.75">
      <c r="B206" s="1">
        <v>68</v>
      </c>
      <c r="C206" s="1" t="s">
        <v>329</v>
      </c>
      <c r="D206" s="1">
        <v>0</v>
      </c>
      <c r="E206" s="1">
        <v>0</v>
      </c>
      <c r="F206" s="1">
        <v>0</v>
      </c>
      <c r="G206" s="1">
        <v>0</v>
      </c>
      <c r="H206" s="1">
        <v>90</v>
      </c>
      <c r="I206" s="1">
        <v>0</v>
      </c>
    </row>
    <row r="208" spans="2:5" ht="12.75">
      <c r="B208" s="1" t="s">
        <v>287</v>
      </c>
      <c r="C208" s="1" t="s">
        <v>288</v>
      </c>
      <c r="D208" s="1" t="s">
        <v>61</v>
      </c>
      <c r="E208" s="1" t="s">
        <v>330</v>
      </c>
    </row>
    <row r="209" ht="12.75">
      <c r="B209" s="1" t="s">
        <v>331</v>
      </c>
    </row>
    <row r="210" spans="2:7" ht="12.75">
      <c r="B210" s="1" t="s">
        <v>332</v>
      </c>
      <c r="C210" s="1" t="s">
        <v>52</v>
      </c>
      <c r="D210" s="1" t="s">
        <v>299</v>
      </c>
      <c r="E210" s="1" t="s">
        <v>333</v>
      </c>
      <c r="F210" s="1" t="s">
        <v>301</v>
      </c>
      <c r="G210" s="1" t="s">
        <v>299</v>
      </c>
    </row>
    <row r="211" spans="2:10" ht="12.75">
      <c r="B211" s="1" t="s">
        <v>329</v>
      </c>
      <c r="C211" s="1" t="s">
        <v>334</v>
      </c>
      <c r="D211" s="1" t="s">
        <v>299</v>
      </c>
      <c r="E211" s="1" t="s">
        <v>335</v>
      </c>
      <c r="F211" s="1" t="s">
        <v>336</v>
      </c>
      <c r="G211" s="1" t="s">
        <v>293</v>
      </c>
      <c r="H211" s="1" t="s">
        <v>57</v>
      </c>
      <c r="I211" s="1" t="s">
        <v>334</v>
      </c>
      <c r="J211" s="1" t="s">
        <v>70</v>
      </c>
    </row>
    <row r="213" spans="2:3" ht="12.75">
      <c r="B213" s="1" t="s">
        <v>50</v>
      </c>
      <c r="C213" s="1" t="s">
        <v>337</v>
      </c>
    </row>
    <row r="214" ht="12.75">
      <c r="B214" s="1" t="s">
        <v>325</v>
      </c>
    </row>
    <row r="215" spans="2:8" ht="12.75">
      <c r="B215" s="1">
        <v>12</v>
      </c>
      <c r="C215" s="1" t="s">
        <v>338</v>
      </c>
      <c r="D215" s="1" t="s">
        <v>339</v>
      </c>
      <c r="E215" s="1" t="s">
        <v>60</v>
      </c>
      <c r="F215" s="1" t="s">
        <v>61</v>
      </c>
      <c r="G215" s="1" t="s">
        <v>62</v>
      </c>
      <c r="H215" s="1">
        <v>11</v>
      </c>
    </row>
    <row r="216" spans="2:8" ht="12.75">
      <c r="B216" s="1">
        <v>16</v>
      </c>
      <c r="C216" s="1" t="s">
        <v>338</v>
      </c>
      <c r="D216" s="1" t="s">
        <v>339</v>
      </c>
      <c r="E216" s="1" t="s">
        <v>60</v>
      </c>
      <c r="F216" s="1" t="s">
        <v>61</v>
      </c>
      <c r="G216" s="1" t="s">
        <v>62</v>
      </c>
      <c r="H216" s="1">
        <v>13</v>
      </c>
    </row>
    <row r="217" spans="2:8" ht="12.75">
      <c r="B217" s="1">
        <v>18</v>
      </c>
      <c r="C217" s="1" t="s">
        <v>338</v>
      </c>
      <c r="D217" s="1" t="s">
        <v>339</v>
      </c>
      <c r="E217" s="1" t="s">
        <v>60</v>
      </c>
      <c r="F217" s="1" t="s">
        <v>61</v>
      </c>
      <c r="G217" s="1" t="s">
        <v>62</v>
      </c>
      <c r="H217" s="1">
        <v>17</v>
      </c>
    </row>
    <row r="218" spans="2:7" ht="12.75">
      <c r="B218" s="1">
        <v>23</v>
      </c>
      <c r="C218" s="1" t="s">
        <v>494</v>
      </c>
      <c r="D218" s="1" t="s">
        <v>495</v>
      </c>
      <c r="E218" s="1" t="s">
        <v>61</v>
      </c>
      <c r="F218" s="1" t="s">
        <v>62</v>
      </c>
      <c r="G218" s="1">
        <v>21</v>
      </c>
    </row>
    <row r="219" spans="2:7" ht="12.75">
      <c r="B219" s="1">
        <v>27</v>
      </c>
      <c r="C219" s="1" t="s">
        <v>494</v>
      </c>
      <c r="D219" s="1" t="s">
        <v>495</v>
      </c>
      <c r="E219" s="1" t="s">
        <v>61</v>
      </c>
      <c r="F219" s="1" t="s">
        <v>62</v>
      </c>
      <c r="G219" s="1">
        <v>25</v>
      </c>
    </row>
    <row r="220" spans="2:7" ht="12.75">
      <c r="B220" s="1">
        <v>31</v>
      </c>
      <c r="C220" s="1" t="s">
        <v>494</v>
      </c>
      <c r="D220" s="1" t="s">
        <v>495</v>
      </c>
      <c r="E220" s="1" t="s">
        <v>61</v>
      </c>
      <c r="F220" s="1" t="s">
        <v>62</v>
      </c>
      <c r="G220" s="1">
        <v>29</v>
      </c>
    </row>
    <row r="221" spans="2:8" ht="12.75">
      <c r="B221" s="1">
        <v>37</v>
      </c>
      <c r="C221" s="1" t="s">
        <v>338</v>
      </c>
      <c r="D221" s="1" t="s">
        <v>339</v>
      </c>
      <c r="E221" s="1" t="s">
        <v>60</v>
      </c>
      <c r="F221" s="1" t="s">
        <v>61</v>
      </c>
      <c r="G221" s="1" t="s">
        <v>62</v>
      </c>
      <c r="H221" s="1">
        <v>36</v>
      </c>
    </row>
    <row r="222" spans="2:8" ht="12.75">
      <c r="B222" s="1">
        <v>38</v>
      </c>
      <c r="C222" s="1" t="s">
        <v>338</v>
      </c>
      <c r="D222" s="1" t="s">
        <v>339</v>
      </c>
      <c r="E222" s="1" t="s">
        <v>60</v>
      </c>
      <c r="F222" s="1" t="s">
        <v>61</v>
      </c>
      <c r="G222" s="1" t="s">
        <v>62</v>
      </c>
      <c r="H222" s="1">
        <v>35</v>
      </c>
    </row>
    <row r="223" spans="2:8" ht="12.75">
      <c r="B223" s="1">
        <v>40</v>
      </c>
      <c r="C223" s="1" t="s">
        <v>338</v>
      </c>
      <c r="D223" s="1" t="s">
        <v>339</v>
      </c>
      <c r="E223" s="1" t="s">
        <v>60</v>
      </c>
      <c r="F223" s="1" t="s">
        <v>61</v>
      </c>
      <c r="G223" s="1" t="s">
        <v>62</v>
      </c>
      <c r="H223" s="1">
        <v>39</v>
      </c>
    </row>
    <row r="224" spans="2:8" ht="12.75">
      <c r="B224" s="1">
        <v>41</v>
      </c>
      <c r="C224" s="1" t="s">
        <v>338</v>
      </c>
      <c r="D224" s="1" t="s">
        <v>339</v>
      </c>
      <c r="E224" s="1" t="s">
        <v>60</v>
      </c>
      <c r="F224" s="1" t="s">
        <v>61</v>
      </c>
      <c r="G224" s="1" t="s">
        <v>62</v>
      </c>
      <c r="H224" s="1">
        <v>40</v>
      </c>
    </row>
    <row r="225" spans="2:8" ht="12.75">
      <c r="B225" s="1">
        <v>44</v>
      </c>
      <c r="C225" s="1" t="s">
        <v>338</v>
      </c>
      <c r="D225" s="1" t="s">
        <v>339</v>
      </c>
      <c r="E225" s="1" t="s">
        <v>60</v>
      </c>
      <c r="F225" s="1" t="s">
        <v>61</v>
      </c>
      <c r="G225" s="1" t="s">
        <v>62</v>
      </c>
      <c r="H225" s="1">
        <v>43</v>
      </c>
    </row>
    <row r="226" spans="2:8" ht="12.75">
      <c r="B226" s="1">
        <v>47</v>
      </c>
      <c r="C226" s="1" t="s">
        <v>338</v>
      </c>
      <c r="D226" s="1" t="s">
        <v>339</v>
      </c>
      <c r="E226" s="1" t="s">
        <v>60</v>
      </c>
      <c r="F226" s="1" t="s">
        <v>61</v>
      </c>
      <c r="G226" s="1" t="s">
        <v>62</v>
      </c>
      <c r="H226" s="1">
        <v>46</v>
      </c>
    </row>
    <row r="227" spans="2:8" ht="12.75">
      <c r="B227" s="1">
        <v>52</v>
      </c>
      <c r="C227" s="1" t="s">
        <v>338</v>
      </c>
      <c r="D227" s="1" t="s">
        <v>339</v>
      </c>
      <c r="E227" s="1" t="s">
        <v>60</v>
      </c>
      <c r="F227" s="1" t="s">
        <v>61</v>
      </c>
      <c r="G227" s="1" t="s">
        <v>62</v>
      </c>
      <c r="H227" s="1">
        <v>51</v>
      </c>
    </row>
    <row r="228" spans="2:8" ht="12.75">
      <c r="B228" s="1">
        <v>54</v>
      </c>
      <c r="C228" s="1" t="s">
        <v>338</v>
      </c>
      <c r="D228" s="1" t="s">
        <v>339</v>
      </c>
      <c r="E228" s="1" t="s">
        <v>60</v>
      </c>
      <c r="F228" s="1" t="s">
        <v>61</v>
      </c>
      <c r="G228" s="1" t="s">
        <v>62</v>
      </c>
      <c r="H228" s="1">
        <v>53</v>
      </c>
    </row>
    <row r="229" spans="2:8" ht="12.75">
      <c r="B229" s="1">
        <v>57</v>
      </c>
      <c r="C229" s="1" t="s">
        <v>338</v>
      </c>
      <c r="D229" s="1" t="s">
        <v>339</v>
      </c>
      <c r="E229" s="1" t="s">
        <v>60</v>
      </c>
      <c r="F229" s="1" t="s">
        <v>61</v>
      </c>
      <c r="G229" s="1" t="s">
        <v>62</v>
      </c>
      <c r="H229" s="1">
        <v>56</v>
      </c>
    </row>
    <row r="230" spans="2:8" ht="12.75">
      <c r="B230" s="1">
        <v>64</v>
      </c>
      <c r="C230" s="1" t="s">
        <v>338</v>
      </c>
      <c r="D230" s="1" t="s">
        <v>339</v>
      </c>
      <c r="E230" s="1" t="s">
        <v>60</v>
      </c>
      <c r="F230" s="1" t="s">
        <v>61</v>
      </c>
      <c r="G230" s="1" t="s">
        <v>62</v>
      </c>
      <c r="H230" s="1">
        <v>63</v>
      </c>
    </row>
    <row r="231" spans="2:8" ht="12.75">
      <c r="B231" s="1">
        <v>68</v>
      </c>
      <c r="C231" s="1" t="s">
        <v>338</v>
      </c>
      <c r="D231" s="1" t="s">
        <v>339</v>
      </c>
      <c r="E231" s="1" t="s">
        <v>60</v>
      </c>
      <c r="F231" s="1" t="s">
        <v>61</v>
      </c>
      <c r="G231" s="1" t="s">
        <v>62</v>
      </c>
      <c r="H231" s="1">
        <v>67</v>
      </c>
    </row>
    <row r="233" spans="2:4" ht="12.75">
      <c r="B233" s="1" t="s">
        <v>52</v>
      </c>
      <c r="C233" s="1" t="s">
        <v>58</v>
      </c>
      <c r="D233" s="1" t="s">
        <v>56</v>
      </c>
    </row>
    <row r="235" spans="2:11" ht="12.75">
      <c r="B235" s="1" t="s">
        <v>52</v>
      </c>
      <c r="C235" s="1" t="s">
        <v>58</v>
      </c>
      <c r="D235" s="1" t="s">
        <v>61</v>
      </c>
      <c r="E235" s="1" t="s">
        <v>194</v>
      </c>
      <c r="F235" s="1" t="s">
        <v>57</v>
      </c>
      <c r="G235" s="1" t="s">
        <v>58</v>
      </c>
      <c r="H235" s="1" t="s">
        <v>59</v>
      </c>
      <c r="I235" s="1" t="s">
        <v>60</v>
      </c>
      <c r="J235" s="1" t="s">
        <v>61</v>
      </c>
      <c r="K235" s="1">
        <v>9</v>
      </c>
    </row>
    <row r="236" ht="12.75">
      <c r="B236" s="1" t="s">
        <v>325</v>
      </c>
    </row>
    <row r="237" spans="2:9" ht="12.75">
      <c r="B237" s="1" t="s">
        <v>50</v>
      </c>
      <c r="C237" s="1" t="s">
        <v>17</v>
      </c>
      <c r="D237" s="1" t="s">
        <v>80</v>
      </c>
      <c r="E237" s="1" t="s">
        <v>81</v>
      </c>
      <c r="F237" s="1" t="s">
        <v>341</v>
      </c>
      <c r="G237" s="1" t="s">
        <v>326</v>
      </c>
      <c r="H237" s="1" t="s">
        <v>327</v>
      </c>
      <c r="I237" s="1" t="s">
        <v>328</v>
      </c>
    </row>
    <row r="238" spans="2:5" ht="12.75">
      <c r="B238" s="1" t="s">
        <v>325</v>
      </c>
      <c r="E238" s="4"/>
    </row>
    <row r="239" spans="2:8" ht="12.75">
      <c r="B239" s="1">
        <v>1</v>
      </c>
      <c r="C239" s="1">
        <v>38.149974</v>
      </c>
      <c r="D239" s="1">
        <v>56.739172</v>
      </c>
      <c r="E239" s="4">
        <v>-1050.030473</v>
      </c>
      <c r="F239" s="1">
        <v>-0.18293</v>
      </c>
      <c r="G239" s="1">
        <v>0.123</v>
      </c>
      <c r="H239" s="1">
        <v>-0.00039</v>
      </c>
    </row>
    <row r="240" spans="2:8" ht="12.75">
      <c r="B240" s="1">
        <v>2</v>
      </c>
      <c r="C240" s="1">
        <v>0</v>
      </c>
      <c r="D240" s="1">
        <v>0</v>
      </c>
      <c r="E240" s="4">
        <v>16700</v>
      </c>
      <c r="F240" s="1">
        <v>0</v>
      </c>
      <c r="G240" s="1">
        <v>0.123</v>
      </c>
      <c r="H240" s="1">
        <v>0</v>
      </c>
    </row>
    <row r="241" spans="2:8" ht="12.75">
      <c r="B241" s="1">
        <v>3</v>
      </c>
      <c r="C241" s="1">
        <v>0</v>
      </c>
      <c r="D241" s="1">
        <v>0</v>
      </c>
      <c r="E241" s="4">
        <v>16700</v>
      </c>
      <c r="F241" s="1">
        <v>0</v>
      </c>
      <c r="G241" s="1">
        <v>0</v>
      </c>
      <c r="H241" s="1">
        <v>0</v>
      </c>
    </row>
    <row r="242" spans="2:8" ht="12.75">
      <c r="B242" s="1">
        <v>4</v>
      </c>
      <c r="C242" s="1">
        <v>0</v>
      </c>
      <c r="D242" s="1">
        <v>0</v>
      </c>
      <c r="E242" s="1">
        <v>-1050.162</v>
      </c>
      <c r="F242" s="1">
        <v>0</v>
      </c>
      <c r="G242" s="1">
        <v>0</v>
      </c>
      <c r="H242" s="1">
        <v>0</v>
      </c>
    </row>
    <row r="243" spans="2:8" ht="12.75">
      <c r="B243" s="1">
        <v>5</v>
      </c>
      <c r="C243" s="1">
        <v>0</v>
      </c>
      <c r="D243" s="1">
        <v>0</v>
      </c>
      <c r="E243" s="1">
        <v>-3050.162</v>
      </c>
      <c r="F243" s="1">
        <v>0</v>
      </c>
      <c r="G243" s="1">
        <v>0</v>
      </c>
      <c r="H243" s="1">
        <v>0</v>
      </c>
    </row>
    <row r="244" spans="2:8" ht="12.75">
      <c r="B244" s="1">
        <v>6</v>
      </c>
      <c r="C244" s="1">
        <v>0</v>
      </c>
      <c r="D244" s="1">
        <v>0</v>
      </c>
      <c r="E244" s="1">
        <v>-1050.162</v>
      </c>
      <c r="F244" s="1">
        <v>0</v>
      </c>
      <c r="G244" s="1">
        <v>0</v>
      </c>
      <c r="H244" s="1">
        <v>0</v>
      </c>
    </row>
    <row r="245" spans="2:8" ht="12.75">
      <c r="B245" s="1" t="s">
        <v>235</v>
      </c>
      <c r="C245" s="1">
        <v>0</v>
      </c>
      <c r="D245" s="1">
        <v>0</v>
      </c>
      <c r="E245" s="1">
        <v>-2638.131</v>
      </c>
      <c r="F245" s="1">
        <v>0</v>
      </c>
      <c r="G245" s="1">
        <v>0</v>
      </c>
      <c r="H245" s="1">
        <v>0</v>
      </c>
    </row>
    <row r="246" spans="2:8" ht="12.75">
      <c r="B246" s="1">
        <v>8</v>
      </c>
      <c r="C246" s="1">
        <v>0</v>
      </c>
      <c r="D246" s="1">
        <v>0</v>
      </c>
      <c r="E246" s="1">
        <v>-1050.162</v>
      </c>
      <c r="F246" s="1">
        <v>0</v>
      </c>
      <c r="G246" s="1">
        <v>0</v>
      </c>
      <c r="H246" s="1">
        <v>0</v>
      </c>
    </row>
    <row r="247" spans="2:8" ht="12.75">
      <c r="B247" s="1">
        <v>9</v>
      </c>
      <c r="C247" s="1">
        <v>0</v>
      </c>
      <c r="D247" s="1">
        <v>0</v>
      </c>
      <c r="E247" s="1">
        <v>0</v>
      </c>
      <c r="F247" s="1">
        <v>0</v>
      </c>
      <c r="G247" s="1">
        <v>0</v>
      </c>
      <c r="H247" s="1">
        <v>0</v>
      </c>
    </row>
    <row r="248" spans="2:8" ht="12.75">
      <c r="B248" s="1">
        <v>10</v>
      </c>
      <c r="C248" s="1">
        <v>0</v>
      </c>
      <c r="D248" s="1">
        <v>-91.048</v>
      </c>
      <c r="E248" s="1">
        <v>0</v>
      </c>
      <c r="F248" s="1">
        <v>-1.9766</v>
      </c>
      <c r="G248" s="1">
        <v>0</v>
      </c>
      <c r="H248" s="1">
        <v>0</v>
      </c>
    </row>
    <row r="249" spans="2:8" ht="12.75">
      <c r="B249" s="1">
        <v>11</v>
      </c>
      <c r="C249" s="1">
        <v>0</v>
      </c>
      <c r="D249" s="1">
        <v>-243.065859</v>
      </c>
      <c r="E249" s="1">
        <v>78.379337</v>
      </c>
      <c r="F249" s="1">
        <v>-8.6832</v>
      </c>
      <c r="G249" s="1">
        <v>0</v>
      </c>
      <c r="H249" s="1">
        <v>0</v>
      </c>
    </row>
    <row r="250" spans="2:8" ht="12.75">
      <c r="B250" s="1">
        <v>12</v>
      </c>
      <c r="C250" s="1">
        <v>0</v>
      </c>
      <c r="D250" s="1">
        <v>-93.493436</v>
      </c>
      <c r="E250" s="1">
        <v>70.857814</v>
      </c>
      <c r="F250" s="1">
        <v>29.9534</v>
      </c>
      <c r="G250" s="1">
        <v>0</v>
      </c>
      <c r="H250" s="1">
        <v>0</v>
      </c>
    </row>
    <row r="251" spans="2:8" ht="12.75">
      <c r="B251" s="1">
        <v>13</v>
      </c>
      <c r="C251" s="1">
        <v>0</v>
      </c>
      <c r="D251" s="1">
        <v>-200.09302</v>
      </c>
      <c r="E251" s="1">
        <v>-114.125371</v>
      </c>
      <c r="F251" s="1">
        <v>17.9434</v>
      </c>
      <c r="G251" s="1">
        <v>0</v>
      </c>
      <c r="H251" s="1">
        <v>0</v>
      </c>
    </row>
    <row r="252" spans="2:8" ht="12.75">
      <c r="B252" s="1">
        <v>14</v>
      </c>
      <c r="C252" s="1">
        <v>0</v>
      </c>
      <c r="D252" s="1">
        <v>-200.09302</v>
      </c>
      <c r="E252" s="1">
        <v>-114.125371</v>
      </c>
      <c r="F252" s="1">
        <v>17.9434</v>
      </c>
      <c r="G252" s="1">
        <v>0</v>
      </c>
      <c r="H252" s="1">
        <v>0</v>
      </c>
    </row>
    <row r="253" spans="2:8" ht="12.75">
      <c r="B253" s="1">
        <v>15</v>
      </c>
      <c r="C253" s="1">
        <v>0</v>
      </c>
      <c r="D253" s="1">
        <v>-200.09302</v>
      </c>
      <c r="E253" s="1">
        <v>-114.125371</v>
      </c>
      <c r="F253" s="1">
        <v>17.9434</v>
      </c>
      <c r="G253" s="1">
        <v>0</v>
      </c>
      <c r="H253" s="1">
        <v>0</v>
      </c>
    </row>
    <row r="254" spans="2:8" ht="12.75">
      <c r="B254" s="1">
        <v>16</v>
      </c>
      <c r="C254" s="1">
        <v>0</v>
      </c>
      <c r="D254" s="1">
        <v>-200.09302</v>
      </c>
      <c r="E254" s="1">
        <v>-114.125371</v>
      </c>
      <c r="F254" s="1">
        <v>5.9334</v>
      </c>
      <c r="G254" s="1">
        <v>0</v>
      </c>
      <c r="H254" s="1">
        <v>0</v>
      </c>
    </row>
    <row r="255" spans="2:8" ht="12.75">
      <c r="B255" s="1">
        <v>17</v>
      </c>
      <c r="C255" s="1">
        <v>0</v>
      </c>
      <c r="D255" s="1">
        <v>-179.687314</v>
      </c>
      <c r="E255" s="1">
        <v>82.217104</v>
      </c>
      <c r="F255" s="1">
        <v>15.1454</v>
      </c>
      <c r="G255" s="1">
        <v>0</v>
      </c>
      <c r="H255" s="1">
        <v>0</v>
      </c>
    </row>
    <row r="256" spans="2:8" ht="12.75">
      <c r="B256" s="1">
        <v>18</v>
      </c>
      <c r="C256" s="1">
        <v>0</v>
      </c>
      <c r="D256" s="1">
        <v>-179.687314</v>
      </c>
      <c r="E256" s="1">
        <v>82.217104</v>
      </c>
      <c r="F256" s="1">
        <v>24.3574</v>
      </c>
      <c r="G256" s="1">
        <v>0</v>
      </c>
      <c r="H256" s="1">
        <v>0</v>
      </c>
    </row>
    <row r="257" spans="2:8" ht="12.75">
      <c r="B257" s="1">
        <v>19</v>
      </c>
      <c r="C257" s="1">
        <v>0</v>
      </c>
      <c r="D257" s="1">
        <v>-259.533222</v>
      </c>
      <c r="E257" s="1">
        <v>-94.150668</v>
      </c>
      <c r="F257" s="1">
        <v>0</v>
      </c>
      <c r="G257" s="1">
        <v>0</v>
      </c>
      <c r="H257" s="1">
        <v>0</v>
      </c>
    </row>
    <row r="258" spans="2:8" ht="12.75">
      <c r="B258" s="1">
        <v>20</v>
      </c>
      <c r="C258" s="1">
        <v>33.82</v>
      </c>
      <c r="D258" s="1">
        <v>-263.975222</v>
      </c>
      <c r="E258" s="1">
        <v>-104.150668</v>
      </c>
      <c r="F258" s="1">
        <v>0</v>
      </c>
      <c r="G258" s="1">
        <v>0</v>
      </c>
      <c r="H258" s="1">
        <v>74</v>
      </c>
    </row>
    <row r="259" spans="2:8" ht="12.75">
      <c r="B259" s="1">
        <v>21</v>
      </c>
      <c r="C259" s="1">
        <v>33.82</v>
      </c>
      <c r="D259" s="1">
        <v>-263.975222</v>
      </c>
      <c r="E259" s="1">
        <v>-104.150668</v>
      </c>
      <c r="F259" s="1">
        <v>15.4102</v>
      </c>
      <c r="G259" s="1">
        <v>-42.82135</v>
      </c>
      <c r="H259" s="1">
        <v>67.9265</v>
      </c>
    </row>
    <row r="260" spans="2:8" ht="12.75">
      <c r="B260" s="1">
        <v>22</v>
      </c>
      <c r="C260" s="1">
        <v>33.82</v>
      </c>
      <c r="D260" s="1">
        <v>-263.975222</v>
      </c>
      <c r="E260" s="1">
        <v>-104.150668</v>
      </c>
      <c r="F260" s="1">
        <v>39.32223</v>
      </c>
      <c r="G260" s="1">
        <v>-45.23104</v>
      </c>
      <c r="H260" s="1">
        <v>75.83281</v>
      </c>
    </row>
    <row r="261" spans="2:8" ht="12.75">
      <c r="B261" s="1">
        <v>23</v>
      </c>
      <c r="C261" s="1">
        <v>33.82</v>
      </c>
      <c r="D261" s="1">
        <v>-263.975222</v>
      </c>
      <c r="E261" s="1">
        <v>-104.150668</v>
      </c>
      <c r="F261" s="1">
        <v>15.4102</v>
      </c>
      <c r="G261" s="1">
        <v>-42.82135</v>
      </c>
      <c r="H261" s="1">
        <v>67.9265</v>
      </c>
    </row>
    <row r="262" spans="2:8" ht="12.75">
      <c r="B262" s="1">
        <v>24</v>
      </c>
      <c r="C262" s="1">
        <v>33.82</v>
      </c>
      <c r="D262" s="1">
        <v>-263.975222</v>
      </c>
      <c r="E262" s="1">
        <v>-104.150668</v>
      </c>
      <c r="F262" s="1">
        <v>105.93544</v>
      </c>
      <c r="G262" s="1">
        <v>-73.39516</v>
      </c>
      <c r="H262" s="1">
        <v>-15.30268</v>
      </c>
    </row>
    <row r="263" spans="2:8" ht="12.75">
      <c r="B263" s="1">
        <v>25</v>
      </c>
      <c r="C263" s="1">
        <v>141.695656</v>
      </c>
      <c r="D263" s="1">
        <v>-233.042376</v>
      </c>
      <c r="E263" s="1">
        <v>-112.982809</v>
      </c>
      <c r="F263" s="1">
        <v>105.93544</v>
      </c>
      <c r="G263" s="1">
        <v>-73.39516</v>
      </c>
      <c r="H263" s="1">
        <v>-15.30268</v>
      </c>
    </row>
    <row r="264" spans="2:8" ht="12.75">
      <c r="B264" s="1">
        <v>26</v>
      </c>
      <c r="C264" s="1">
        <v>141.695656</v>
      </c>
      <c r="D264" s="1">
        <v>-233.042376</v>
      </c>
      <c r="E264" s="1">
        <v>-112.982809</v>
      </c>
      <c r="F264" s="1">
        <v>138.95995</v>
      </c>
      <c r="G264" s="1">
        <v>-48.8373</v>
      </c>
      <c r="H264" s="1">
        <v>-47.8363</v>
      </c>
    </row>
    <row r="265" spans="2:8" ht="12.75">
      <c r="B265" s="1">
        <v>27</v>
      </c>
      <c r="C265" s="1">
        <v>141.695656</v>
      </c>
      <c r="D265" s="1">
        <v>-233.042376</v>
      </c>
      <c r="E265" s="1">
        <v>-112.982809</v>
      </c>
      <c r="F265" s="1">
        <v>105.93544</v>
      </c>
      <c r="G265" s="1">
        <v>-73.39516</v>
      </c>
      <c r="H265" s="1">
        <v>-15.30268</v>
      </c>
    </row>
    <row r="266" spans="2:8" ht="12.75">
      <c r="B266" s="1">
        <v>28</v>
      </c>
      <c r="C266" s="1">
        <v>170.856678</v>
      </c>
      <c r="D266" s="1">
        <v>-224.680587</v>
      </c>
      <c r="E266" s="1">
        <v>-115.370319</v>
      </c>
      <c r="F266" s="1">
        <v>17.88644</v>
      </c>
      <c r="G266" s="1">
        <v>-46.96602</v>
      </c>
      <c r="H266" s="1">
        <v>66.1775</v>
      </c>
    </row>
    <row r="267" spans="2:8" ht="12.75">
      <c r="B267" s="1">
        <v>29</v>
      </c>
      <c r="C267" s="1">
        <v>170.856678</v>
      </c>
      <c r="D267" s="1">
        <v>-224.680587</v>
      </c>
      <c r="E267" s="1">
        <v>-115.370319</v>
      </c>
      <c r="F267" s="1">
        <v>17.88644</v>
      </c>
      <c r="G267" s="1">
        <v>-46.96602</v>
      </c>
      <c r="H267" s="1">
        <v>66.1775</v>
      </c>
    </row>
    <row r="268" spans="2:8" ht="12.75">
      <c r="B268" s="1">
        <v>30</v>
      </c>
      <c r="C268" s="1">
        <v>170.856678</v>
      </c>
      <c r="D268" s="1">
        <v>-224.680587</v>
      </c>
      <c r="E268" s="1">
        <v>-115.370319</v>
      </c>
      <c r="F268" s="1">
        <v>26.32607</v>
      </c>
      <c r="G268" s="1">
        <v>136.53886</v>
      </c>
      <c r="H268" s="1">
        <v>-60.20592</v>
      </c>
    </row>
    <row r="269" spans="2:8" ht="12.75">
      <c r="B269" s="1">
        <v>31</v>
      </c>
      <c r="C269" s="1">
        <v>170.856678</v>
      </c>
      <c r="D269" s="1">
        <v>-224.680587</v>
      </c>
      <c r="E269" s="1">
        <v>-115.370319</v>
      </c>
      <c r="F269" s="1">
        <v>17.88644</v>
      </c>
      <c r="G269" s="1">
        <v>-46.96602</v>
      </c>
      <c r="H269" s="1">
        <v>66.1775</v>
      </c>
    </row>
    <row r="270" spans="2:8" ht="12.75">
      <c r="B270" s="1">
        <v>32</v>
      </c>
      <c r="C270" s="1">
        <v>170.856678</v>
      </c>
      <c r="D270" s="1">
        <v>-224.680587</v>
      </c>
      <c r="E270" s="1">
        <v>-115.370319</v>
      </c>
      <c r="F270" s="1">
        <v>0</v>
      </c>
      <c r="G270" s="1">
        <v>0</v>
      </c>
      <c r="H270" s="1">
        <v>74</v>
      </c>
    </row>
    <row r="271" spans="2:8" ht="12.75">
      <c r="B271" s="1">
        <v>33</v>
      </c>
      <c r="C271" s="1">
        <v>170.856678</v>
      </c>
      <c r="D271" s="1">
        <v>-224.680587</v>
      </c>
      <c r="E271" s="1">
        <v>-115.370319</v>
      </c>
      <c r="F271" s="1">
        <v>0</v>
      </c>
      <c r="G271" s="1">
        <v>0</v>
      </c>
      <c r="H271" s="1">
        <v>0</v>
      </c>
    </row>
    <row r="272" spans="2:8" ht="12.75">
      <c r="B272" s="1">
        <v>34</v>
      </c>
      <c r="C272" s="1">
        <v>170.856678</v>
      </c>
      <c r="D272" s="1">
        <v>-224.680587</v>
      </c>
      <c r="E272" s="1">
        <v>-115.370319</v>
      </c>
      <c r="F272" s="1">
        <v>10</v>
      </c>
      <c r="G272" s="1">
        <v>0</v>
      </c>
      <c r="H272" s="1">
        <v>0</v>
      </c>
    </row>
    <row r="273" spans="2:8" ht="12.75">
      <c r="B273" s="1">
        <v>35</v>
      </c>
      <c r="C273" s="1">
        <v>170.856678</v>
      </c>
      <c r="D273" s="1">
        <v>-234.578533</v>
      </c>
      <c r="E273" s="1">
        <v>-171.504361</v>
      </c>
      <c r="F273" s="1">
        <v>-10</v>
      </c>
      <c r="G273" s="1">
        <v>0</v>
      </c>
      <c r="H273" s="1">
        <v>0</v>
      </c>
    </row>
    <row r="274" spans="2:8" ht="12.75">
      <c r="B274" s="1">
        <v>36</v>
      </c>
      <c r="C274" s="1">
        <v>170.856678</v>
      </c>
      <c r="D274" s="1">
        <v>-234.578533</v>
      </c>
      <c r="E274" s="1">
        <v>-171.504361</v>
      </c>
      <c r="F274" s="1">
        <v>-10</v>
      </c>
      <c r="G274" s="1">
        <v>0</v>
      </c>
      <c r="H274" s="1">
        <v>-6.22</v>
      </c>
    </row>
    <row r="275" spans="2:8" ht="12.75">
      <c r="B275" s="1">
        <v>37</v>
      </c>
      <c r="C275" s="1">
        <v>170.856678</v>
      </c>
      <c r="D275" s="1">
        <v>-234.578533</v>
      </c>
      <c r="E275" s="1">
        <v>-171.504361</v>
      </c>
      <c r="F275" s="1">
        <v>-10</v>
      </c>
      <c r="G275" s="1">
        <v>0</v>
      </c>
      <c r="H275" s="1">
        <v>0</v>
      </c>
    </row>
    <row r="276" spans="2:8" ht="12.75">
      <c r="B276" s="1">
        <v>38</v>
      </c>
      <c r="C276" s="1">
        <v>170.856678</v>
      </c>
      <c r="D276" s="1">
        <v>-234.578533</v>
      </c>
      <c r="E276" s="1">
        <v>-171.504361</v>
      </c>
      <c r="F276" s="1">
        <v>-30</v>
      </c>
      <c r="G276" s="1">
        <v>0</v>
      </c>
      <c r="H276" s="1">
        <v>0</v>
      </c>
    </row>
    <row r="277" spans="2:8" ht="12.75">
      <c r="B277" s="1">
        <v>39</v>
      </c>
      <c r="C277" s="1">
        <v>170.856678</v>
      </c>
      <c r="D277" s="1">
        <v>-321.398533</v>
      </c>
      <c r="E277" s="1">
        <v>-21.12771</v>
      </c>
      <c r="F277" s="1">
        <v>0</v>
      </c>
      <c r="G277" s="1">
        <v>0</v>
      </c>
      <c r="H277" s="1">
        <v>0</v>
      </c>
    </row>
    <row r="278" spans="2:8" ht="12.75">
      <c r="B278" s="1">
        <v>40</v>
      </c>
      <c r="C278" s="1">
        <v>170.856678</v>
      </c>
      <c r="D278" s="1">
        <v>-321.398533</v>
      </c>
      <c r="E278" s="1">
        <v>-21.12771</v>
      </c>
      <c r="F278" s="1">
        <v>60</v>
      </c>
      <c r="G278" s="1">
        <v>0</v>
      </c>
      <c r="H278" s="1">
        <v>0</v>
      </c>
    </row>
    <row r="279" spans="2:8" ht="12.75">
      <c r="B279" s="1">
        <v>41</v>
      </c>
      <c r="C279" s="1">
        <v>170.856678</v>
      </c>
      <c r="D279" s="1">
        <v>-341.398533</v>
      </c>
      <c r="E279" s="1">
        <v>13.513306</v>
      </c>
      <c r="F279" s="1">
        <v>-30</v>
      </c>
      <c r="G279" s="1">
        <v>0</v>
      </c>
      <c r="H279" s="1">
        <v>0</v>
      </c>
    </row>
    <row r="280" spans="2:8" ht="12.75">
      <c r="B280" s="1">
        <v>42</v>
      </c>
      <c r="C280" s="1">
        <v>170.856678</v>
      </c>
      <c r="D280" s="1">
        <v>-341.398533</v>
      </c>
      <c r="E280" s="1">
        <v>13.513306</v>
      </c>
      <c r="F280" s="1">
        <v>-30</v>
      </c>
      <c r="G280" s="1">
        <v>0</v>
      </c>
      <c r="H280" s="1">
        <v>0</v>
      </c>
    </row>
    <row r="281" spans="2:8" ht="12.75">
      <c r="B281" s="1">
        <v>43</v>
      </c>
      <c r="C281" s="1">
        <v>170.856678</v>
      </c>
      <c r="D281" s="1">
        <v>-407.998533</v>
      </c>
      <c r="E281" s="1">
        <v>128.86789</v>
      </c>
      <c r="F281" s="1">
        <v>-15</v>
      </c>
      <c r="G281" s="1">
        <v>0</v>
      </c>
      <c r="H281" s="1">
        <v>0</v>
      </c>
    </row>
    <row r="282" spans="2:8" ht="12.75">
      <c r="B282" s="1">
        <v>44</v>
      </c>
      <c r="C282" s="1">
        <v>170.856678</v>
      </c>
      <c r="D282" s="1">
        <v>-407.998533</v>
      </c>
      <c r="E282" s="1">
        <v>128.86789</v>
      </c>
      <c r="F282" s="1">
        <v>0</v>
      </c>
      <c r="G282" s="1">
        <v>0</v>
      </c>
      <c r="H282" s="1">
        <v>0</v>
      </c>
    </row>
    <row r="283" spans="2:8" ht="12.75">
      <c r="B283" s="1">
        <v>45</v>
      </c>
      <c r="C283" s="1">
        <v>170.856678</v>
      </c>
      <c r="D283" s="1">
        <v>-407.998533</v>
      </c>
      <c r="E283" s="1">
        <v>-21.13211</v>
      </c>
      <c r="F283" s="1">
        <v>0</v>
      </c>
      <c r="G283" s="1">
        <v>0</v>
      </c>
      <c r="H283" s="1">
        <v>0</v>
      </c>
    </row>
    <row r="284" spans="2:8" ht="12.75">
      <c r="B284" s="1">
        <v>46</v>
      </c>
      <c r="C284" s="1">
        <v>170.856678</v>
      </c>
      <c r="D284" s="1">
        <v>-407.998533</v>
      </c>
      <c r="E284" s="1">
        <v>3.86789</v>
      </c>
      <c r="F284" s="1">
        <v>-45</v>
      </c>
      <c r="G284" s="1">
        <v>0</v>
      </c>
      <c r="H284" s="1">
        <v>0</v>
      </c>
    </row>
    <row r="285" spans="2:8" ht="12.75">
      <c r="B285" s="1">
        <v>47</v>
      </c>
      <c r="C285" s="1">
        <v>170.856678</v>
      </c>
      <c r="D285" s="1">
        <v>-407.998533</v>
      </c>
      <c r="E285" s="1">
        <v>3.86789</v>
      </c>
      <c r="F285" s="1">
        <v>-90</v>
      </c>
      <c r="G285" s="1">
        <v>0</v>
      </c>
      <c r="H285" s="1">
        <v>0</v>
      </c>
    </row>
    <row r="286" spans="2:8" ht="12.75">
      <c r="B286" s="1">
        <v>48</v>
      </c>
      <c r="C286" s="1">
        <v>170.856678</v>
      </c>
      <c r="D286" s="1">
        <v>-432.998533</v>
      </c>
      <c r="E286" s="1">
        <v>3.86789</v>
      </c>
      <c r="F286" s="1">
        <v>-90</v>
      </c>
      <c r="G286" s="1">
        <v>0</v>
      </c>
      <c r="H286" s="1">
        <v>0</v>
      </c>
    </row>
    <row r="287" spans="2:8" ht="12.75">
      <c r="B287" s="1">
        <v>49</v>
      </c>
      <c r="C287" s="1">
        <v>170.856678</v>
      </c>
      <c r="D287" s="1">
        <v>-432.998533</v>
      </c>
      <c r="E287" s="1">
        <v>3.86789</v>
      </c>
      <c r="F287" s="1">
        <v>-90</v>
      </c>
      <c r="G287" s="1">
        <v>0</v>
      </c>
      <c r="H287" s="1">
        <v>0</v>
      </c>
    </row>
    <row r="288" spans="2:8" ht="12.75">
      <c r="B288" s="1">
        <v>50</v>
      </c>
      <c r="C288" s="1">
        <v>170.856678</v>
      </c>
      <c r="D288" s="1">
        <v>-457.998533</v>
      </c>
      <c r="E288" s="1">
        <v>3.86789</v>
      </c>
      <c r="F288" s="1">
        <v>-135</v>
      </c>
      <c r="G288" s="1">
        <v>0</v>
      </c>
      <c r="H288" s="1">
        <v>0</v>
      </c>
    </row>
    <row r="289" spans="2:8" ht="12.75">
      <c r="B289" s="1">
        <v>51</v>
      </c>
      <c r="C289" s="1">
        <v>170.856678</v>
      </c>
      <c r="D289" s="1">
        <v>-457.998533</v>
      </c>
      <c r="E289" s="1">
        <v>3.86789</v>
      </c>
      <c r="F289" s="1">
        <v>-135</v>
      </c>
      <c r="G289" s="1">
        <v>-45</v>
      </c>
      <c r="H289" s="1">
        <v>0</v>
      </c>
    </row>
    <row r="290" spans="2:8" ht="12.75">
      <c r="B290" s="1">
        <v>52</v>
      </c>
      <c r="C290" s="1">
        <v>170.856678</v>
      </c>
      <c r="D290" s="1">
        <v>-457.998533</v>
      </c>
      <c r="E290" s="1">
        <v>3.86789</v>
      </c>
      <c r="F290" s="1">
        <v>-135</v>
      </c>
      <c r="G290" s="1">
        <v>0</v>
      </c>
      <c r="H290" s="4">
        <v>0</v>
      </c>
    </row>
    <row r="291" spans="2:8" ht="12.75">
      <c r="B291" s="1">
        <v>53</v>
      </c>
      <c r="C291" s="1">
        <v>170.856678</v>
      </c>
      <c r="D291" s="1">
        <v>-457.998533</v>
      </c>
      <c r="E291" s="1">
        <v>3.86789</v>
      </c>
      <c r="F291" s="1">
        <v>-135</v>
      </c>
      <c r="G291" s="1">
        <v>45</v>
      </c>
      <c r="H291" s="4">
        <v>0</v>
      </c>
    </row>
    <row r="292" spans="2:8" ht="12.75">
      <c r="B292" s="1">
        <v>54</v>
      </c>
      <c r="C292" s="1">
        <v>170.856678</v>
      </c>
      <c r="D292" s="1">
        <v>-457.998533</v>
      </c>
      <c r="E292" s="1">
        <v>3.86789</v>
      </c>
      <c r="F292" s="1">
        <v>180</v>
      </c>
      <c r="G292" s="1">
        <v>0</v>
      </c>
      <c r="H292" s="4">
        <v>-8.54E-07</v>
      </c>
    </row>
    <row r="293" spans="2:8" ht="12.75">
      <c r="B293" s="1">
        <v>55</v>
      </c>
      <c r="C293" s="1">
        <v>170.856678</v>
      </c>
      <c r="D293" s="1">
        <v>-457.998533</v>
      </c>
      <c r="E293" s="1">
        <v>-21.13211</v>
      </c>
      <c r="F293" s="1">
        <v>180</v>
      </c>
      <c r="G293" s="1">
        <v>0</v>
      </c>
      <c r="H293" s="4">
        <v>-7.39E-07</v>
      </c>
    </row>
    <row r="294" spans="2:8" ht="12.75">
      <c r="B294" s="1">
        <v>56</v>
      </c>
      <c r="C294" s="1">
        <v>170.856678</v>
      </c>
      <c r="D294" s="1">
        <v>-457.998533</v>
      </c>
      <c r="E294" s="1">
        <v>128.86789</v>
      </c>
      <c r="F294" s="1">
        <v>-165</v>
      </c>
      <c r="G294" s="1">
        <v>0</v>
      </c>
      <c r="H294" s="1">
        <v>0</v>
      </c>
    </row>
    <row r="295" spans="2:8" ht="12.75">
      <c r="B295" s="1">
        <v>57</v>
      </c>
      <c r="C295" s="1">
        <v>170.856678</v>
      </c>
      <c r="D295" s="1">
        <v>-457.998533</v>
      </c>
      <c r="E295" s="1">
        <v>128.86789</v>
      </c>
      <c r="F295" s="1">
        <v>-150</v>
      </c>
      <c r="G295" s="1">
        <v>0</v>
      </c>
      <c r="H295" s="1">
        <v>0</v>
      </c>
    </row>
    <row r="296" spans="2:8" ht="12.75">
      <c r="B296" s="1">
        <v>58</v>
      </c>
      <c r="C296" s="1">
        <v>170.856678</v>
      </c>
      <c r="D296" s="1">
        <v>-524.598533</v>
      </c>
      <c r="E296" s="1">
        <v>13.513306</v>
      </c>
      <c r="F296" s="1">
        <v>-150</v>
      </c>
      <c r="G296" s="1">
        <v>0</v>
      </c>
      <c r="H296" s="4">
        <v>0</v>
      </c>
    </row>
    <row r="297" spans="2:8" ht="12.75">
      <c r="B297" s="1">
        <v>59</v>
      </c>
      <c r="C297" s="1">
        <v>170.856678</v>
      </c>
      <c r="D297" s="1">
        <v>-524.598533</v>
      </c>
      <c r="E297" s="1">
        <v>13.513306</v>
      </c>
      <c r="F297" s="1">
        <v>-150</v>
      </c>
      <c r="G297" s="1">
        <v>0</v>
      </c>
      <c r="H297" s="1">
        <v>0</v>
      </c>
    </row>
    <row r="298" spans="2:8" ht="12.75">
      <c r="B298" s="1">
        <v>60</v>
      </c>
      <c r="C298" s="1">
        <v>170.856678</v>
      </c>
      <c r="D298" s="1">
        <v>-544.598533</v>
      </c>
      <c r="E298" s="1">
        <v>-21.12771</v>
      </c>
      <c r="F298" s="1">
        <v>180</v>
      </c>
      <c r="G298" s="1">
        <v>0</v>
      </c>
      <c r="H298" s="4">
        <v>-8.54E-07</v>
      </c>
    </row>
    <row r="299" spans="2:8" ht="12.75">
      <c r="B299" s="1">
        <v>61</v>
      </c>
      <c r="C299" s="1">
        <v>170.856678</v>
      </c>
      <c r="D299" s="1">
        <v>-544.598533</v>
      </c>
      <c r="E299" s="1">
        <v>-21.12771</v>
      </c>
      <c r="F299" s="1">
        <v>150</v>
      </c>
      <c r="G299" s="1">
        <v>0</v>
      </c>
      <c r="H299" s="1">
        <v>0</v>
      </c>
    </row>
    <row r="300" spans="2:8" ht="12.75">
      <c r="B300" s="1">
        <v>62</v>
      </c>
      <c r="C300" s="1">
        <v>170.856678</v>
      </c>
      <c r="D300" s="1">
        <v>-620.588533</v>
      </c>
      <c r="E300" s="1">
        <v>110.490831</v>
      </c>
      <c r="F300" s="1">
        <v>170</v>
      </c>
      <c r="G300" s="1">
        <v>0</v>
      </c>
      <c r="H300" s="1">
        <v>0</v>
      </c>
    </row>
    <row r="301" spans="2:8" ht="12.75">
      <c r="B301" s="1">
        <v>63</v>
      </c>
      <c r="C301" s="1">
        <v>170.856678</v>
      </c>
      <c r="D301" s="1">
        <v>-620.588533</v>
      </c>
      <c r="E301" s="1">
        <v>110.490831</v>
      </c>
      <c r="F301" s="1">
        <v>170</v>
      </c>
      <c r="G301" s="1">
        <v>0</v>
      </c>
      <c r="H301" s="1">
        <v>-1.79</v>
      </c>
    </row>
    <row r="302" spans="2:8" ht="12.75">
      <c r="B302" s="1">
        <v>64</v>
      </c>
      <c r="C302" s="1">
        <v>170.856678</v>
      </c>
      <c r="D302" s="1">
        <v>-620.588533</v>
      </c>
      <c r="E302" s="1">
        <v>110.490831</v>
      </c>
      <c r="F302" s="1">
        <v>170</v>
      </c>
      <c r="G302" s="1">
        <v>0</v>
      </c>
      <c r="H302" s="1">
        <v>0</v>
      </c>
    </row>
    <row r="303" spans="2:8" ht="12.75">
      <c r="B303" s="1">
        <v>65</v>
      </c>
      <c r="C303" s="1">
        <v>170.856678</v>
      </c>
      <c r="D303" s="1">
        <v>-620.588533</v>
      </c>
      <c r="E303" s="1">
        <v>110.490831</v>
      </c>
      <c r="F303" s="1">
        <v>-170</v>
      </c>
      <c r="G303" s="1">
        <v>0</v>
      </c>
      <c r="H303" s="1">
        <v>0</v>
      </c>
    </row>
    <row r="304" spans="2:8" ht="12.75">
      <c r="B304" s="1">
        <v>66</v>
      </c>
      <c r="C304" s="1">
        <v>170.856678</v>
      </c>
      <c r="D304" s="1">
        <v>-631.007424</v>
      </c>
      <c r="E304" s="1">
        <v>51.402366</v>
      </c>
      <c r="F304" s="1">
        <v>-170</v>
      </c>
      <c r="G304" s="1">
        <v>0</v>
      </c>
      <c r="H304" s="1">
        <v>0</v>
      </c>
    </row>
    <row r="305" spans="2:8" ht="12.75">
      <c r="B305" s="1">
        <v>67</v>
      </c>
      <c r="C305" s="1">
        <v>170.856678</v>
      </c>
      <c r="D305" s="1">
        <v>-636.663145</v>
      </c>
      <c r="E305" s="1">
        <v>19.327177</v>
      </c>
      <c r="F305" s="1">
        <v>-170</v>
      </c>
      <c r="G305" s="1">
        <v>45</v>
      </c>
      <c r="H305" s="1">
        <v>0</v>
      </c>
    </row>
    <row r="306" spans="2:8" ht="12.75">
      <c r="B306" s="1">
        <v>68</v>
      </c>
      <c r="C306" s="1">
        <v>170.856678</v>
      </c>
      <c r="D306" s="1">
        <v>-636.663145</v>
      </c>
      <c r="E306" s="1">
        <v>19.327177</v>
      </c>
      <c r="F306" s="1">
        <v>82.43122</v>
      </c>
      <c r="G306" s="1">
        <v>90</v>
      </c>
      <c r="H306" s="1">
        <v>-108.3757</v>
      </c>
    </row>
    <row r="307" spans="2:8" ht="12.75">
      <c r="B307" s="1">
        <v>69</v>
      </c>
      <c r="C307" s="1">
        <v>250.856678</v>
      </c>
      <c r="D307" s="1">
        <v>-636.663145</v>
      </c>
      <c r="E307" s="1">
        <v>19.327177</v>
      </c>
      <c r="F307" s="1">
        <v>82.43122</v>
      </c>
      <c r="G307" s="1">
        <v>90</v>
      </c>
      <c r="H307" s="1">
        <v>-108.3757</v>
      </c>
    </row>
    <row r="308" spans="2:8" ht="12.75">
      <c r="B308" s="1">
        <v>70</v>
      </c>
      <c r="C308" s="1">
        <v>250.856678</v>
      </c>
      <c r="D308" s="1">
        <v>-636.663145</v>
      </c>
      <c r="E308" s="1">
        <v>19.327177</v>
      </c>
      <c r="F308" s="1">
        <v>82.43122</v>
      </c>
      <c r="G308" s="1">
        <v>90</v>
      </c>
      <c r="H308" s="1">
        <v>-108.3757</v>
      </c>
    </row>
    <row r="310" spans="2:13" ht="12.75">
      <c r="B310" s="1" t="s">
        <v>342</v>
      </c>
      <c r="C310" s="1" t="s">
        <v>343</v>
      </c>
      <c r="D310" s="1" t="s">
        <v>344</v>
      </c>
      <c r="E310" s="1" t="s">
        <v>345</v>
      </c>
      <c r="F310" s="1" t="s">
        <v>346</v>
      </c>
      <c r="G310" s="1" t="s">
        <v>347</v>
      </c>
      <c r="H310" s="1" t="s">
        <v>348</v>
      </c>
      <c r="I310" s="1" t="s">
        <v>349</v>
      </c>
      <c r="J310" s="1" t="s">
        <v>350</v>
      </c>
      <c r="K310" s="1" t="s">
        <v>351</v>
      </c>
      <c r="L310" s="1" t="s">
        <v>352</v>
      </c>
      <c r="M310" s="1" t="s">
        <v>353</v>
      </c>
    </row>
    <row r="311" ht="12.75">
      <c r="B311" s="1" t="s">
        <v>39</v>
      </c>
    </row>
    <row r="312" ht="12.75">
      <c r="B312" s="1" t="s">
        <v>39</v>
      </c>
    </row>
    <row r="313" spans="2:4" ht="12.75">
      <c r="B313" s="1" t="s">
        <v>39</v>
      </c>
      <c r="C313" s="1" t="s">
        <v>85</v>
      </c>
      <c r="D313" s="1" t="s">
        <v>86</v>
      </c>
    </row>
  </sheetData>
  <printOptions/>
  <pageMargins left="0.57" right="0.35" top="0.72" bottom="0.54" header="0.5118110236220472" footer="0.3"/>
  <pageSetup fitToHeight="4" fitToWidth="1" horizontalDpi="600" verticalDpi="600" orientation="portrait" paperSize="9" scale="65" r:id="rId1"/>
  <headerFooter alignWithMargins="0">
    <oddHeader>&amp;L&amp;F, &amp;A&amp;R&amp;T, &amp;D</oddHeader>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J88"/>
  <sheetViews>
    <sheetView workbookViewId="0" topLeftCell="A44">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468</v>
      </c>
    </row>
    <row r="6" spans="2:3" ht="12.75">
      <c r="B6" s="1" t="s">
        <v>39</v>
      </c>
      <c r="C6" s="1" t="s">
        <v>48</v>
      </c>
    </row>
    <row r="7" spans="2:3" ht="12.75">
      <c r="B7" s="2" t="s">
        <v>469</v>
      </c>
      <c r="C7" s="3">
        <v>0.622662037037037</v>
      </c>
    </row>
    <row r="8" ht="12.75">
      <c r="B8" s="1" t="s">
        <v>39</v>
      </c>
    </row>
    <row r="9" spans="2:10" ht="12.75">
      <c r="B9" s="1" t="s">
        <v>39</v>
      </c>
      <c r="C9" s="1" t="s">
        <v>49</v>
      </c>
      <c r="D9" s="1">
        <v>2</v>
      </c>
      <c r="E9" s="1">
        <v>0</v>
      </c>
      <c r="F9" s="1">
        <v>0</v>
      </c>
      <c r="G9" s="1">
        <v>0</v>
      </c>
      <c r="H9" s="1" t="s">
        <v>50</v>
      </c>
      <c r="I9" s="1">
        <v>0</v>
      </c>
      <c r="J9" s="1" t="s">
        <v>51</v>
      </c>
    </row>
    <row r="10" spans="2:8" ht="12.75">
      <c r="B10" s="1" t="s">
        <v>44</v>
      </c>
      <c r="C10" s="1" t="s">
        <v>46</v>
      </c>
      <c r="D10" s="1" t="s">
        <v>47</v>
      </c>
      <c r="E10" s="1" t="s">
        <v>468</v>
      </c>
      <c r="F10" s="1">
        <v>247</v>
      </c>
      <c r="G10" s="2" t="s">
        <v>469</v>
      </c>
      <c r="H10" s="3">
        <v>0.622662037037037</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v>
      </c>
      <c r="G16" s="1" t="s">
        <v>67</v>
      </c>
      <c r="H16" s="1">
        <v>0</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0</v>
      </c>
      <c r="D23" s="1">
        <v>54.791802</v>
      </c>
      <c r="E23" s="1">
        <v>-1049.915639</v>
      </c>
      <c r="F23" s="1">
        <v>0</v>
      </c>
      <c r="G23" s="1">
        <v>-0.003192</v>
      </c>
    </row>
    <row r="24" spans="2:7" ht="12.75">
      <c r="B24" s="1">
        <v>2</v>
      </c>
      <c r="C24" s="1">
        <v>0</v>
      </c>
      <c r="D24" s="1">
        <v>-1.940157</v>
      </c>
      <c r="E24" s="1">
        <v>16721.1</v>
      </c>
      <c r="F24" s="1">
        <v>0</v>
      </c>
      <c r="G24" s="1">
        <v>-0.003192</v>
      </c>
    </row>
    <row r="25" spans="2:7" ht="12.75">
      <c r="B25" s="1">
        <v>3</v>
      </c>
      <c r="C25" s="1">
        <v>0</v>
      </c>
      <c r="D25" s="1">
        <v>-1.940157</v>
      </c>
      <c r="E25" s="1">
        <v>16721.1</v>
      </c>
      <c r="F25" s="1">
        <v>0</v>
      </c>
      <c r="G25" s="1">
        <v>-0.003192</v>
      </c>
    </row>
    <row r="26" spans="2:7" ht="12.75">
      <c r="B26" s="1">
        <v>4</v>
      </c>
      <c r="C26" s="1">
        <v>0</v>
      </c>
      <c r="D26" s="1">
        <v>54.792071</v>
      </c>
      <c r="E26" s="1">
        <v>-1050</v>
      </c>
      <c r="F26" s="1">
        <v>0</v>
      </c>
      <c r="G26" s="1">
        <v>-0.003192</v>
      </c>
    </row>
    <row r="27" spans="2:7" ht="12.75">
      <c r="B27" s="1">
        <v>5</v>
      </c>
      <c r="C27" s="1">
        <v>0</v>
      </c>
      <c r="D27" s="1">
        <v>61.176845</v>
      </c>
      <c r="E27" s="1">
        <v>-3050</v>
      </c>
      <c r="F27" s="1">
        <v>0</v>
      </c>
      <c r="G27" s="1">
        <v>-0.003192</v>
      </c>
    </row>
    <row r="28" spans="2:7" ht="12.75">
      <c r="B28" s="1">
        <v>6</v>
      </c>
      <c r="C28" s="1">
        <v>0</v>
      </c>
      <c r="D28" s="1">
        <v>54.793441</v>
      </c>
      <c r="E28" s="1">
        <v>-1050.428903</v>
      </c>
      <c r="F28" s="1">
        <v>0</v>
      </c>
      <c r="G28" s="1">
        <v>0.034514</v>
      </c>
    </row>
    <row r="29" spans="2:7" ht="12.75">
      <c r="B29" s="1">
        <v>7</v>
      </c>
      <c r="C29" s="1">
        <v>0</v>
      </c>
      <c r="D29" s="4">
        <v>7.11E-15</v>
      </c>
      <c r="E29" s="1">
        <v>-2637.998</v>
      </c>
      <c r="F29" s="1">
        <v>0</v>
      </c>
      <c r="G29" s="1">
        <v>-0.034514</v>
      </c>
    </row>
    <row r="30" spans="2:7" ht="12.75">
      <c r="B30" s="1">
        <v>8</v>
      </c>
      <c r="C30" s="1">
        <v>0</v>
      </c>
      <c r="D30" s="1">
        <v>-54.808244</v>
      </c>
      <c r="E30" s="1">
        <v>-1050</v>
      </c>
      <c r="F30" s="1">
        <v>0</v>
      </c>
      <c r="G30" s="1">
        <v>-0.034514</v>
      </c>
    </row>
    <row r="31" spans="2:7" ht="12.75">
      <c r="B31" s="1">
        <v>9</v>
      </c>
      <c r="C31" s="1">
        <v>0</v>
      </c>
      <c r="D31" s="1">
        <v>-90.137429</v>
      </c>
      <c r="E31" s="1">
        <v>-26.382552</v>
      </c>
      <c r="F31" s="1">
        <v>0</v>
      </c>
      <c r="G31" s="1">
        <v>-0.034514</v>
      </c>
    </row>
    <row r="32" spans="2:7" ht="12.75">
      <c r="B32" s="1">
        <v>10</v>
      </c>
      <c r="C32" s="1">
        <v>0</v>
      </c>
      <c r="D32" s="1">
        <v>-91.047997</v>
      </c>
      <c r="E32" s="4">
        <v>8.98E-08</v>
      </c>
      <c r="F32" s="1">
        <v>0</v>
      </c>
      <c r="G32" s="1">
        <v>-0.034514</v>
      </c>
    </row>
    <row r="33" spans="2:7" ht="12.75">
      <c r="B33" s="1">
        <v>11</v>
      </c>
      <c r="C33" s="1">
        <v>0</v>
      </c>
      <c r="D33" s="1">
        <v>-93.493606</v>
      </c>
      <c r="E33" s="1">
        <v>70.85834</v>
      </c>
      <c r="F33" s="1">
        <v>0</v>
      </c>
      <c r="G33" s="1">
        <v>0.576269</v>
      </c>
    </row>
    <row r="34" spans="2:7" ht="12.75">
      <c r="B34" s="1">
        <v>12</v>
      </c>
      <c r="C34" s="1">
        <v>0</v>
      </c>
      <c r="D34" s="1">
        <v>-93.493791</v>
      </c>
      <c r="E34" s="1">
        <v>70.858019</v>
      </c>
      <c r="F34" s="1">
        <v>0</v>
      </c>
      <c r="G34" s="1">
        <v>0.576269</v>
      </c>
    </row>
    <row r="35" spans="2:7" ht="12.75">
      <c r="B35" s="1">
        <v>13</v>
      </c>
      <c r="C35" s="1">
        <v>0</v>
      </c>
      <c r="D35" s="1">
        <v>-200.09386</v>
      </c>
      <c r="E35" s="1">
        <v>-114.125099</v>
      </c>
      <c r="F35" s="1">
        <v>0</v>
      </c>
      <c r="G35" s="1">
        <v>0.576269</v>
      </c>
    </row>
    <row r="36" spans="2:7" ht="12.75">
      <c r="B36" s="1">
        <v>14</v>
      </c>
      <c r="C36" s="1">
        <v>0</v>
      </c>
      <c r="D36" s="1">
        <v>-200.09386</v>
      </c>
      <c r="E36" s="1">
        <v>-114.125099</v>
      </c>
      <c r="F36" s="1">
        <v>0</v>
      </c>
      <c r="G36" s="1">
        <v>0.103927</v>
      </c>
    </row>
    <row r="37" spans="2:7" ht="12.75">
      <c r="B37" s="1">
        <v>15</v>
      </c>
      <c r="C37" s="1">
        <v>0</v>
      </c>
      <c r="D37" s="1">
        <v>-200.09386</v>
      </c>
      <c r="E37" s="1">
        <v>-114.125099</v>
      </c>
      <c r="F37" s="1">
        <v>0</v>
      </c>
      <c r="G37" s="1">
        <v>0.103927</v>
      </c>
    </row>
    <row r="38" spans="2:7" ht="12.75">
      <c r="B38" s="1">
        <v>16</v>
      </c>
      <c r="C38" s="1">
        <v>0</v>
      </c>
      <c r="D38" s="1">
        <v>-200.093879</v>
      </c>
      <c r="E38" s="1">
        <v>-114.125281</v>
      </c>
      <c r="F38" s="1">
        <v>0</v>
      </c>
      <c r="G38" s="1">
        <v>0.103927</v>
      </c>
    </row>
    <row r="39" spans="2:7" ht="12.75">
      <c r="B39" s="1">
        <v>17</v>
      </c>
      <c r="C39" s="1">
        <v>0</v>
      </c>
      <c r="D39" s="1">
        <v>-179.688568</v>
      </c>
      <c r="E39" s="1">
        <v>82.217443</v>
      </c>
      <c r="F39" s="1">
        <v>0</v>
      </c>
      <c r="G39" s="1">
        <v>0.452716</v>
      </c>
    </row>
    <row r="40" spans="2:7" ht="12.75">
      <c r="B40" s="1">
        <v>18</v>
      </c>
      <c r="C40" s="1">
        <v>0</v>
      </c>
      <c r="D40" s="1">
        <v>-179.688483</v>
      </c>
      <c r="E40" s="1">
        <v>82.217633</v>
      </c>
      <c r="F40" s="1">
        <v>0</v>
      </c>
      <c r="G40" s="1">
        <v>0.452716</v>
      </c>
    </row>
    <row r="41" spans="2:7" ht="12.75">
      <c r="B41" s="1">
        <v>19</v>
      </c>
      <c r="C41" s="1">
        <v>0</v>
      </c>
      <c r="D41" s="1">
        <v>-259.533206</v>
      </c>
      <c r="E41" s="1">
        <v>-94.150666</v>
      </c>
      <c r="F41" s="1">
        <v>0</v>
      </c>
      <c r="G41" s="1">
        <v>0.452716</v>
      </c>
    </row>
    <row r="42" spans="2:7" ht="12.75">
      <c r="B42" s="1">
        <v>20</v>
      </c>
      <c r="C42" s="1">
        <v>0</v>
      </c>
      <c r="D42" s="1">
        <v>-259.533208</v>
      </c>
      <c r="E42" s="1">
        <v>-94.15067</v>
      </c>
      <c r="F42" s="1">
        <v>0</v>
      </c>
      <c r="G42" s="1">
        <v>-0.098795</v>
      </c>
    </row>
    <row r="43" spans="2:7" ht="12.75">
      <c r="B43" s="1">
        <v>21</v>
      </c>
      <c r="C43" s="1">
        <v>0</v>
      </c>
      <c r="D43" s="1">
        <v>-259.533209</v>
      </c>
      <c r="E43" s="1">
        <v>-94.150667</v>
      </c>
      <c r="F43" s="1">
        <v>0</v>
      </c>
      <c r="G43" s="1">
        <v>-0.098795</v>
      </c>
    </row>
    <row r="44" spans="2:7" ht="12.75">
      <c r="B44" s="1">
        <v>22</v>
      </c>
      <c r="C44" s="1">
        <v>0</v>
      </c>
      <c r="D44" s="1">
        <v>-279.481485</v>
      </c>
      <c r="E44" s="1">
        <v>107.765764</v>
      </c>
      <c r="F44" s="1">
        <v>0</v>
      </c>
      <c r="G44" s="1">
        <v>0.80798</v>
      </c>
    </row>
    <row r="45" spans="2:7" ht="12.75">
      <c r="B45" s="1">
        <v>23</v>
      </c>
      <c r="C45" s="1">
        <v>0</v>
      </c>
      <c r="D45" s="1">
        <v>-279.481843</v>
      </c>
      <c r="E45" s="1">
        <v>107.76532</v>
      </c>
      <c r="F45" s="1">
        <v>0</v>
      </c>
      <c r="G45" s="1">
        <v>0.80798</v>
      </c>
    </row>
    <row r="46" spans="2:7" ht="12.75">
      <c r="B46" s="1">
        <v>24</v>
      </c>
      <c r="C46" s="1">
        <v>0</v>
      </c>
      <c r="D46" s="1">
        <v>-397.634151</v>
      </c>
      <c r="E46" s="1">
        <v>-38.46633</v>
      </c>
      <c r="F46" s="1">
        <v>0</v>
      </c>
      <c r="G46" s="1">
        <v>-1.078323</v>
      </c>
    </row>
    <row r="47" spans="2:7" ht="12.75">
      <c r="B47" s="1">
        <v>25</v>
      </c>
      <c r="C47" s="1">
        <v>0</v>
      </c>
      <c r="D47" s="1">
        <v>-397.634808</v>
      </c>
      <c r="E47" s="1">
        <v>-38.465722</v>
      </c>
      <c r="F47" s="1">
        <v>0</v>
      </c>
      <c r="G47" s="1">
        <v>-1.078323</v>
      </c>
    </row>
    <row r="48" spans="2:7" ht="12.75">
      <c r="B48" s="1">
        <v>26</v>
      </c>
      <c r="C48" s="1">
        <v>0</v>
      </c>
      <c r="D48" s="1">
        <v>-448.961193</v>
      </c>
      <c r="E48" s="1">
        <v>9.13262</v>
      </c>
      <c r="F48" s="1">
        <v>0</v>
      </c>
      <c r="G48" s="1">
        <v>-1.078323</v>
      </c>
    </row>
    <row r="49" spans="2:7" ht="12.75">
      <c r="B49" s="1">
        <v>27</v>
      </c>
      <c r="C49" s="1">
        <v>0</v>
      </c>
      <c r="D49" s="1">
        <v>-544.281002</v>
      </c>
      <c r="E49" s="1">
        <v>97.528965</v>
      </c>
      <c r="F49" s="1">
        <v>0</v>
      </c>
      <c r="G49" s="1">
        <v>-0.125588</v>
      </c>
    </row>
    <row r="50" spans="2:7" ht="12.75">
      <c r="B50" s="1">
        <v>28</v>
      </c>
      <c r="C50" s="1">
        <v>0</v>
      </c>
      <c r="D50" s="1">
        <v>-544.280897</v>
      </c>
      <c r="E50" s="1">
        <v>97.528125</v>
      </c>
      <c r="F50" s="1">
        <v>0</v>
      </c>
      <c r="G50" s="1">
        <v>-0.125588</v>
      </c>
    </row>
    <row r="51" spans="2:7" ht="12.75">
      <c r="B51" s="1">
        <v>29</v>
      </c>
      <c r="C51" s="1">
        <v>0</v>
      </c>
      <c r="D51" s="1">
        <v>-504.405979</v>
      </c>
      <c r="E51" s="1">
        <v>-219.977766</v>
      </c>
      <c r="F51" s="1">
        <v>0</v>
      </c>
      <c r="G51" s="1">
        <v>-0.125588</v>
      </c>
    </row>
    <row r="52" spans="2:7" ht="12.75">
      <c r="B52" s="1">
        <v>30</v>
      </c>
      <c r="C52" s="1">
        <v>0</v>
      </c>
      <c r="D52" s="1">
        <v>-504.405979</v>
      </c>
      <c r="E52" s="1">
        <v>-219.977766</v>
      </c>
      <c r="F52" s="1">
        <v>0</v>
      </c>
      <c r="G52" s="1">
        <v>-0.125588</v>
      </c>
    </row>
    <row r="53" spans="2:7" ht="12.75">
      <c r="B53" s="1">
        <v>31</v>
      </c>
      <c r="C53" s="1">
        <v>0</v>
      </c>
      <c r="D53" s="1">
        <v>-527.45872</v>
      </c>
      <c r="E53" s="1">
        <v>-36.419239</v>
      </c>
      <c r="F53" s="1">
        <v>0</v>
      </c>
      <c r="G53" s="1">
        <v>-0.937717</v>
      </c>
    </row>
    <row r="54" spans="2:7" ht="12.75">
      <c r="B54" s="1">
        <v>32</v>
      </c>
      <c r="C54" s="1">
        <v>0</v>
      </c>
      <c r="D54" s="1">
        <v>-523.862577</v>
      </c>
      <c r="E54" s="1">
        <v>-40.254237</v>
      </c>
      <c r="F54" s="1">
        <v>0</v>
      </c>
      <c r="G54" s="1">
        <v>-0.937717</v>
      </c>
    </row>
    <row r="55" spans="2:7" ht="12.75">
      <c r="B55" s="1">
        <v>33</v>
      </c>
      <c r="C55" s="1">
        <v>0</v>
      </c>
      <c r="D55" s="1">
        <v>-531.054864</v>
      </c>
      <c r="E55" s="1">
        <v>-32.584242</v>
      </c>
      <c r="F55" s="1">
        <v>0</v>
      </c>
      <c r="G55" s="1">
        <v>-0.937717</v>
      </c>
    </row>
    <row r="56" spans="2:7" ht="12.75">
      <c r="B56" s="1">
        <v>34</v>
      </c>
      <c r="C56" s="1">
        <v>0</v>
      </c>
      <c r="D56" s="1">
        <v>-527.45872</v>
      </c>
      <c r="E56" s="1">
        <v>-36.419239</v>
      </c>
      <c r="F56" s="1">
        <v>0</v>
      </c>
      <c r="G56" s="1">
        <v>-0.937717</v>
      </c>
    </row>
    <row r="57" spans="2:7" ht="12.75">
      <c r="B57" s="1">
        <v>35</v>
      </c>
      <c r="C57" s="1">
        <v>0</v>
      </c>
      <c r="D57" s="1">
        <v>-527.459019</v>
      </c>
      <c r="E57" s="1">
        <v>-36.418921</v>
      </c>
      <c r="F57" s="1">
        <v>0</v>
      </c>
      <c r="G57" s="1">
        <v>-0.937717</v>
      </c>
    </row>
    <row r="58" spans="2:7" ht="12.75">
      <c r="B58" s="1">
        <v>36</v>
      </c>
      <c r="C58" s="4">
        <v>1.82E-14</v>
      </c>
      <c r="D58" s="1">
        <v>-619.802462</v>
      </c>
      <c r="E58" s="1">
        <v>62.057922</v>
      </c>
      <c r="F58" s="4">
        <v>201000</v>
      </c>
      <c r="G58" s="1">
        <v>1.06654</v>
      </c>
    </row>
    <row r="59" spans="2:7" ht="12.75">
      <c r="B59" s="1">
        <v>37</v>
      </c>
      <c r="C59" s="4">
        <v>-3.85E-15</v>
      </c>
      <c r="D59" s="1">
        <v>-619.802462</v>
      </c>
      <c r="E59" s="1">
        <v>62.057922</v>
      </c>
      <c r="F59" s="4">
        <v>201000</v>
      </c>
      <c r="G59" s="1">
        <v>1.06654</v>
      </c>
    </row>
    <row r="60" spans="2:7" ht="12.75">
      <c r="B60" s="1">
        <v>38</v>
      </c>
      <c r="C60" s="1">
        <v>-50</v>
      </c>
      <c r="D60" s="1">
        <v>-619.802728</v>
      </c>
      <c r="E60" s="1">
        <v>62.057673</v>
      </c>
      <c r="F60" s="4">
        <v>201000</v>
      </c>
      <c r="G60" s="1">
        <v>1.06654</v>
      </c>
    </row>
    <row r="61" spans="2:7" ht="12.75">
      <c r="B61" s="1">
        <v>39</v>
      </c>
      <c r="C61" s="1">
        <v>-34.14</v>
      </c>
      <c r="D61" s="1">
        <v>-619.802643</v>
      </c>
      <c r="E61" s="1">
        <v>62.057752</v>
      </c>
      <c r="F61" s="4">
        <v>201000</v>
      </c>
      <c r="G61" s="1">
        <v>1.06654</v>
      </c>
    </row>
    <row r="62" spans="2:7" ht="12.75">
      <c r="B62" s="1">
        <v>40</v>
      </c>
      <c r="C62" s="1">
        <v>-29.14</v>
      </c>
      <c r="D62" s="1">
        <v>-619.802617</v>
      </c>
      <c r="E62" s="1">
        <v>62.057777</v>
      </c>
      <c r="F62" s="4">
        <v>201000</v>
      </c>
      <c r="G62" s="1">
        <v>1.06654</v>
      </c>
    </row>
    <row r="63" spans="2:7" ht="12.75">
      <c r="B63" s="1">
        <v>41</v>
      </c>
      <c r="C63" s="1">
        <v>-34.14</v>
      </c>
      <c r="D63" s="1">
        <v>-619.802643</v>
      </c>
      <c r="E63" s="1">
        <v>62.057752</v>
      </c>
      <c r="F63" s="4">
        <v>201000</v>
      </c>
      <c r="G63" s="1">
        <v>1.06654</v>
      </c>
    </row>
    <row r="64" spans="2:7" ht="12.75">
      <c r="B64" s="1">
        <v>42</v>
      </c>
      <c r="C64" s="4">
        <v>1.82E-14</v>
      </c>
      <c r="D64" s="1">
        <v>-619.802462</v>
      </c>
      <c r="E64" s="1">
        <v>62.057922</v>
      </c>
      <c r="F64" s="4">
        <v>3.23E-16</v>
      </c>
      <c r="G64" s="1">
        <v>-0.937717</v>
      </c>
    </row>
    <row r="65" spans="2:7" ht="12.75">
      <c r="B65" s="1">
        <v>43</v>
      </c>
      <c r="C65" s="4">
        <v>-3.44E-15</v>
      </c>
      <c r="D65" s="1">
        <v>-619.802462</v>
      </c>
      <c r="E65" s="1">
        <v>62.057922</v>
      </c>
      <c r="F65" s="4">
        <v>2.42E-16</v>
      </c>
      <c r="G65" s="1">
        <v>-0.937717</v>
      </c>
    </row>
    <row r="66" spans="2:7" ht="12.75">
      <c r="B66" s="1">
        <v>44</v>
      </c>
      <c r="C66" s="4">
        <v>-2.72E-14</v>
      </c>
      <c r="D66" s="1">
        <v>-527.45872</v>
      </c>
      <c r="E66" s="1">
        <v>-36.419239</v>
      </c>
      <c r="F66" s="4">
        <v>-2.74E-16</v>
      </c>
      <c r="G66" s="1">
        <v>-0.125588</v>
      </c>
    </row>
    <row r="67" spans="2:7" ht="12.75">
      <c r="B67" s="1">
        <v>45</v>
      </c>
      <c r="C67" s="4">
        <v>-2.72E-14</v>
      </c>
      <c r="D67" s="1">
        <v>-527.458666</v>
      </c>
      <c r="E67" s="1">
        <v>-36.419673</v>
      </c>
      <c r="F67" s="4">
        <v>-2.74E-16</v>
      </c>
      <c r="G67" s="1">
        <v>-0.125588</v>
      </c>
    </row>
    <row r="68" spans="2:7" ht="12.75">
      <c r="B68" s="1">
        <v>46</v>
      </c>
      <c r="C68" s="4">
        <v>-4.41E-16</v>
      </c>
      <c r="D68" s="1">
        <v>-514.997754</v>
      </c>
      <c r="E68" s="1">
        <v>-135.640264</v>
      </c>
      <c r="F68" s="1">
        <v>-1.201118</v>
      </c>
      <c r="G68" s="1">
        <v>-0.125607</v>
      </c>
    </row>
    <row r="69" spans="2:7" ht="12.75">
      <c r="B69" s="1">
        <v>47</v>
      </c>
      <c r="C69" s="1">
        <v>4.226183</v>
      </c>
      <c r="D69" s="1">
        <v>-514.555801</v>
      </c>
      <c r="E69" s="1">
        <v>-139.158805</v>
      </c>
      <c r="F69" s="1">
        <v>-1.201118</v>
      </c>
      <c r="G69" s="1">
        <v>-0.125607</v>
      </c>
    </row>
    <row r="70" spans="2:7" ht="12.75">
      <c r="B70" s="1">
        <v>48</v>
      </c>
      <c r="C70" s="1">
        <v>-4.226183</v>
      </c>
      <c r="D70" s="1">
        <v>-515.439707</v>
      </c>
      <c r="E70" s="1">
        <v>-132.121723</v>
      </c>
      <c r="F70" s="1">
        <v>-1.201118</v>
      </c>
      <c r="G70" s="1">
        <v>-0.125607</v>
      </c>
    </row>
    <row r="71" spans="2:7" ht="12.75">
      <c r="B71" s="1">
        <v>49</v>
      </c>
      <c r="C71" s="4">
        <v>-5E-16</v>
      </c>
      <c r="D71" s="1">
        <v>-514.997754</v>
      </c>
      <c r="E71" s="1">
        <v>-135.640264</v>
      </c>
      <c r="F71" s="1">
        <v>-1.201118</v>
      </c>
      <c r="G71" s="1">
        <v>-0.125607</v>
      </c>
    </row>
    <row r="72" spans="2:7" ht="12.75">
      <c r="B72" s="1">
        <v>50</v>
      </c>
      <c r="C72" s="4">
        <v>-4.92E-15</v>
      </c>
      <c r="D72" s="1">
        <v>-514.997754</v>
      </c>
      <c r="E72" s="1">
        <v>-135.640264</v>
      </c>
      <c r="F72" s="1">
        <v>-1.201118</v>
      </c>
      <c r="G72" s="1">
        <v>-0.125607</v>
      </c>
    </row>
    <row r="73" spans="2:7" ht="12.75">
      <c r="B73" s="1">
        <v>51</v>
      </c>
      <c r="C73" s="1">
        <v>-65.113778</v>
      </c>
      <c r="D73" s="1">
        <v>-521.807023</v>
      </c>
      <c r="E73" s="1">
        <v>-81.429289</v>
      </c>
      <c r="F73" s="1">
        <v>-1.201118</v>
      </c>
      <c r="G73" s="1">
        <v>-0.125607</v>
      </c>
    </row>
    <row r="74" spans="2:7" ht="12.75">
      <c r="B74" s="1">
        <v>52</v>
      </c>
      <c r="C74" s="1">
        <v>-58.6024</v>
      </c>
      <c r="D74" s="1">
        <v>-521.126096</v>
      </c>
      <c r="E74" s="1">
        <v>-86.850387</v>
      </c>
      <c r="F74" s="1">
        <v>-1.201118</v>
      </c>
      <c r="G74" s="1">
        <v>-0.125607</v>
      </c>
    </row>
    <row r="75" spans="2:7" ht="12.75">
      <c r="B75" s="1">
        <v>53</v>
      </c>
      <c r="C75" s="1">
        <v>-54.772178</v>
      </c>
      <c r="D75" s="1">
        <v>-520.725551</v>
      </c>
      <c r="E75" s="1">
        <v>-90.039268</v>
      </c>
      <c r="F75" s="1">
        <v>-1.201118</v>
      </c>
      <c r="G75" s="1">
        <v>-0.125607</v>
      </c>
    </row>
    <row r="76" spans="2:7" ht="12.75">
      <c r="B76" s="1">
        <v>54</v>
      </c>
      <c r="C76" s="1">
        <v>-58.6024</v>
      </c>
      <c r="D76" s="1">
        <v>-521.126096</v>
      </c>
      <c r="E76" s="1">
        <v>-86.850387</v>
      </c>
      <c r="F76" s="1">
        <v>-1.201118</v>
      </c>
      <c r="G76" s="1">
        <v>-0.125607</v>
      </c>
    </row>
    <row r="77" spans="2:7" ht="12.75">
      <c r="B77" s="1">
        <v>55</v>
      </c>
      <c r="C77" s="4">
        <v>-1.48E-14</v>
      </c>
      <c r="D77" s="1">
        <v>-514.997754</v>
      </c>
      <c r="E77" s="1">
        <v>-135.640264</v>
      </c>
      <c r="F77" s="4">
        <v>-3.55E-16</v>
      </c>
      <c r="G77" s="1">
        <v>-0.125588</v>
      </c>
    </row>
    <row r="78" spans="2:7" ht="12.75">
      <c r="B78" s="1">
        <v>56</v>
      </c>
      <c r="C78" s="4">
        <v>-1.56E-14</v>
      </c>
      <c r="D78" s="1">
        <v>-514.997754</v>
      </c>
      <c r="E78" s="1">
        <v>-135.640264</v>
      </c>
      <c r="F78" s="4">
        <v>-2.47E-16</v>
      </c>
      <c r="G78" s="1">
        <v>-0.125588</v>
      </c>
    </row>
    <row r="79" spans="2:7" ht="12.75">
      <c r="B79" s="1">
        <v>57</v>
      </c>
      <c r="C79" s="4">
        <v>-4.78E-15</v>
      </c>
      <c r="D79" s="1">
        <v>-509.514911</v>
      </c>
      <c r="E79" s="1">
        <v>-179.297659</v>
      </c>
      <c r="F79" s="4">
        <v>-2E-11</v>
      </c>
      <c r="G79" s="4">
        <v>-58265.83511</v>
      </c>
    </row>
    <row r="80" spans="2:7" ht="12.75">
      <c r="B80" s="1">
        <v>58</v>
      </c>
      <c r="C80" s="4">
        <v>-4.78E-15</v>
      </c>
      <c r="D80" s="1">
        <v>-509.515249</v>
      </c>
      <c r="E80" s="1">
        <v>-179.297659</v>
      </c>
      <c r="F80" s="4">
        <v>-2E-11</v>
      </c>
      <c r="G80" s="4">
        <v>-58265.83511</v>
      </c>
    </row>
    <row r="81" spans="2:7" ht="12.75">
      <c r="B81" s="1">
        <v>59</v>
      </c>
      <c r="C81" s="4">
        <v>9.28E-15</v>
      </c>
      <c r="D81" s="1">
        <v>-468.515249</v>
      </c>
      <c r="E81" s="1">
        <v>-179.298363</v>
      </c>
      <c r="F81" s="4">
        <v>-2E-11</v>
      </c>
      <c r="G81" s="4">
        <v>-58265.83511</v>
      </c>
    </row>
    <row r="82" spans="2:7" ht="12.75">
      <c r="B82" s="1">
        <v>60</v>
      </c>
      <c r="C82" s="4">
        <v>6.2E-15</v>
      </c>
      <c r="D82" s="1">
        <v>-477.505249</v>
      </c>
      <c r="E82" s="1">
        <v>-179.298209</v>
      </c>
      <c r="F82" s="4">
        <v>-2E-11</v>
      </c>
      <c r="G82" s="4">
        <v>-58265.83511</v>
      </c>
    </row>
    <row r="83" spans="2:7" ht="12.75">
      <c r="B83" s="1">
        <v>61</v>
      </c>
      <c r="C83" s="4">
        <v>4.48E-15</v>
      </c>
      <c r="D83" s="1">
        <v>-482.505249</v>
      </c>
      <c r="E83" s="1">
        <v>-179.298123</v>
      </c>
      <c r="F83" s="4">
        <v>-2E-11</v>
      </c>
      <c r="G83" s="4">
        <v>-58265.83511</v>
      </c>
    </row>
    <row r="84" spans="2:7" ht="12.75">
      <c r="B84" s="1">
        <v>62</v>
      </c>
      <c r="C84" s="4">
        <v>6.2E-15</v>
      </c>
      <c r="D84" s="1">
        <v>-477.505249</v>
      </c>
      <c r="E84" s="1">
        <v>-179.298209</v>
      </c>
      <c r="F84" s="4">
        <v>-2E-11</v>
      </c>
      <c r="G84" s="4">
        <v>-58265.83511</v>
      </c>
    </row>
    <row r="85" spans="2:5" ht="12.75">
      <c r="B85" s="1">
        <v>63</v>
      </c>
      <c r="C85" s="4">
        <v>9.28E-15</v>
      </c>
      <c r="D85" s="1">
        <v>-468.515249</v>
      </c>
      <c r="E85" s="1">
        <v>-179.298363</v>
      </c>
    </row>
    <row r="86" ht="12.75">
      <c r="B86" s="1" t="s">
        <v>39</v>
      </c>
    </row>
    <row r="87" ht="12.75">
      <c r="B87" s="1" t="s">
        <v>39</v>
      </c>
    </row>
    <row r="88" spans="2:4" ht="12.75">
      <c r="B88" s="1" t="s">
        <v>39</v>
      </c>
      <c r="C88" s="1" t="s">
        <v>85</v>
      </c>
      <c r="D88" s="1" t="s">
        <v>86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J95"/>
  <sheetViews>
    <sheetView workbookViewId="0" topLeftCell="A1">
      <selection activeCell="L28" sqref="L2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474</v>
      </c>
      <c r="J4" s="1" t="s">
        <v>501</v>
      </c>
    </row>
    <row r="6" spans="2:3" ht="12.75">
      <c r="B6" s="1" t="s">
        <v>39</v>
      </c>
      <c r="C6" s="1" t="s">
        <v>48</v>
      </c>
    </row>
    <row r="7" spans="2:3" ht="12.75">
      <c r="B7" s="2">
        <v>36775</v>
      </c>
      <c r="C7" s="3">
        <v>0.41528935185185184</v>
      </c>
    </row>
    <row r="8" ht="12.75">
      <c r="B8" s="1" t="s">
        <v>39</v>
      </c>
    </row>
    <row r="9" spans="2:10" ht="12.75">
      <c r="B9" s="1" t="s">
        <v>39</v>
      </c>
      <c r="C9" s="1" t="s">
        <v>49</v>
      </c>
      <c r="D9" s="1">
        <v>2</v>
      </c>
      <c r="E9" s="1">
        <v>0</v>
      </c>
      <c r="F9" s="1">
        <v>0</v>
      </c>
      <c r="G9" s="1">
        <v>0</v>
      </c>
      <c r="H9" s="1" t="s">
        <v>50</v>
      </c>
      <c r="I9" s="1">
        <v>0</v>
      </c>
      <c r="J9" s="1" t="s">
        <v>51</v>
      </c>
    </row>
    <row r="10" spans="2:8" ht="12.75">
      <c r="B10" s="1" t="s">
        <v>44</v>
      </c>
      <c r="C10" s="1" t="s">
        <v>46</v>
      </c>
      <c r="D10" s="1" t="s">
        <v>474</v>
      </c>
      <c r="E10" s="1" t="s">
        <v>501</v>
      </c>
      <c r="F10" s="1">
        <v>216</v>
      </c>
      <c r="G10" s="2">
        <v>36775</v>
      </c>
      <c r="H10" s="3">
        <v>0.41528935185185184</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v>
      </c>
      <c r="G16" s="1" t="s">
        <v>67</v>
      </c>
      <c r="H16" s="1">
        <v>0</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36.846967</v>
      </c>
      <c r="D23" s="1">
        <v>54.801254</v>
      </c>
      <c r="E23" s="1">
        <v>-1050.039457</v>
      </c>
      <c r="F23" s="1">
        <v>-0.002147</v>
      </c>
      <c r="G23" s="1">
        <v>-0.003193</v>
      </c>
    </row>
    <row r="24" spans="2:7" ht="12.75">
      <c r="B24" s="1">
        <v>2</v>
      </c>
      <c r="C24" s="1">
        <v>-1.30302</v>
      </c>
      <c r="D24" s="1">
        <v>-1.937938</v>
      </c>
      <c r="E24" s="1">
        <v>16720.9352</v>
      </c>
      <c r="F24" s="1">
        <v>-0.002147</v>
      </c>
      <c r="G24" s="1">
        <v>-0.003193</v>
      </c>
    </row>
    <row r="25" spans="2:7" ht="12.75">
      <c r="B25" s="1">
        <v>3</v>
      </c>
      <c r="C25" s="1">
        <v>-1.303026</v>
      </c>
      <c r="D25" s="1">
        <v>-1.937947</v>
      </c>
      <c r="E25" s="1">
        <v>16720.938</v>
      </c>
      <c r="F25" s="1">
        <v>-0.002147</v>
      </c>
      <c r="G25" s="1">
        <v>-0.003193</v>
      </c>
    </row>
    <row r="26" spans="2:7" ht="12.75">
      <c r="B26" s="1">
        <v>4</v>
      </c>
      <c r="C26" s="1">
        <v>36.84723</v>
      </c>
      <c r="D26" s="1">
        <v>54.801645</v>
      </c>
      <c r="E26" s="1">
        <v>-1050.162</v>
      </c>
      <c r="F26" s="1">
        <v>-0.002147</v>
      </c>
      <c r="G26" s="1">
        <v>-0.003193</v>
      </c>
    </row>
    <row r="27" spans="2:7" ht="12.75">
      <c r="B27" s="1">
        <v>5</v>
      </c>
      <c r="C27" s="1">
        <v>41.140746</v>
      </c>
      <c r="D27" s="1">
        <v>61.187248</v>
      </c>
      <c r="E27" s="1">
        <v>-3050.162</v>
      </c>
      <c r="F27" s="1">
        <v>-0.002147</v>
      </c>
      <c r="G27" s="1">
        <v>-0.003193</v>
      </c>
    </row>
    <row r="28" spans="2:7" ht="12.75">
      <c r="B28" s="1">
        <v>6</v>
      </c>
      <c r="C28" s="1">
        <v>36.848567</v>
      </c>
      <c r="D28" s="1">
        <v>54.803634</v>
      </c>
      <c r="E28" s="1">
        <v>-1050.785036</v>
      </c>
      <c r="F28" s="1">
        <v>0.023214</v>
      </c>
      <c r="G28" s="1">
        <v>0.034525</v>
      </c>
    </row>
    <row r="29" spans="2:7" ht="12.75">
      <c r="B29" s="1">
        <v>7</v>
      </c>
      <c r="C29" s="4">
        <v>3.77E-13</v>
      </c>
      <c r="D29" s="4">
        <v>-3.62E-13</v>
      </c>
      <c r="E29" s="1">
        <v>-2638.131</v>
      </c>
      <c r="F29" s="1">
        <v>-0.023214</v>
      </c>
      <c r="G29" s="1">
        <v>-0.034525</v>
      </c>
    </row>
    <row r="30" spans="2:7" ht="12.75">
      <c r="B30" s="1">
        <v>8</v>
      </c>
      <c r="C30" s="1">
        <v>-36.86303</v>
      </c>
      <c r="D30" s="1">
        <v>-54.825145</v>
      </c>
      <c r="E30" s="1">
        <v>-1050.162</v>
      </c>
      <c r="F30" s="1">
        <v>-0.023214</v>
      </c>
      <c r="G30" s="1">
        <v>-0.034525</v>
      </c>
    </row>
    <row r="31" spans="2:7" ht="12.75">
      <c r="B31" s="1">
        <v>9</v>
      </c>
      <c r="C31" s="1">
        <v>-60.320777</v>
      </c>
      <c r="D31" s="1">
        <v>-89.713062</v>
      </c>
      <c r="E31" s="1">
        <v>-39.659771</v>
      </c>
      <c r="F31" s="1">
        <v>-0.023214</v>
      </c>
      <c r="G31" s="1">
        <v>-0.034525</v>
      </c>
    </row>
    <row r="32" spans="2:7" ht="12.75">
      <c r="B32" s="1">
        <v>10</v>
      </c>
      <c r="C32" s="1">
        <v>-61.241409</v>
      </c>
      <c r="D32" s="1">
        <v>-91.082288</v>
      </c>
      <c r="E32" s="4">
        <v>-0.001183</v>
      </c>
      <c r="F32" s="1">
        <v>-0.023214</v>
      </c>
      <c r="G32" s="1">
        <v>-0.034525</v>
      </c>
    </row>
    <row r="33" spans="2:7" ht="12.75">
      <c r="B33" s="1">
        <v>11</v>
      </c>
      <c r="C33" s="1">
        <v>-62.761232</v>
      </c>
      <c r="D33" s="1">
        <v>-93.342669</v>
      </c>
      <c r="E33" s="1">
        <v>65.469052</v>
      </c>
      <c r="F33" s="1">
        <v>-0.350914</v>
      </c>
      <c r="G33" s="1">
        <v>0.596191</v>
      </c>
    </row>
    <row r="34" spans="2:7" ht="12.75">
      <c r="B34" s="1">
        <v>12</v>
      </c>
      <c r="C34" s="1">
        <v>-64.145984</v>
      </c>
      <c r="D34" s="1">
        <v>-90.990021</v>
      </c>
      <c r="E34" s="1">
        <v>69.415181</v>
      </c>
      <c r="F34" s="1">
        <v>-0.350914</v>
      </c>
      <c r="G34" s="1">
        <v>0.596191</v>
      </c>
    </row>
    <row r="35" spans="2:7" ht="12.75">
      <c r="B35" s="1">
        <v>13</v>
      </c>
      <c r="C35" s="1">
        <v>0.23026</v>
      </c>
      <c r="D35" s="1">
        <v>-200.363128</v>
      </c>
      <c r="E35" s="1">
        <v>-114.037902</v>
      </c>
      <c r="F35" s="1">
        <v>-0.350914</v>
      </c>
      <c r="G35" s="1">
        <v>0.596191</v>
      </c>
    </row>
    <row r="36" spans="2:7" ht="12.75">
      <c r="B36" s="1">
        <v>14</v>
      </c>
      <c r="C36" s="1">
        <v>0.23026</v>
      </c>
      <c r="D36" s="1">
        <v>-200.363128</v>
      </c>
      <c r="E36" s="1">
        <v>-114.037902</v>
      </c>
      <c r="F36" s="1">
        <v>0.302602</v>
      </c>
      <c r="G36" s="1">
        <v>0.088962</v>
      </c>
    </row>
    <row r="37" spans="2:7" ht="12.75">
      <c r="B37" s="1">
        <v>15</v>
      </c>
      <c r="C37" s="1">
        <v>0.23026</v>
      </c>
      <c r="D37" s="1">
        <v>-200.363128</v>
      </c>
      <c r="E37" s="1">
        <v>-114.037902</v>
      </c>
      <c r="F37" s="1">
        <v>0.302602</v>
      </c>
      <c r="G37" s="1">
        <v>0.088962</v>
      </c>
    </row>
    <row r="38" spans="2:7" ht="12.75">
      <c r="B38" s="1">
        <v>16</v>
      </c>
      <c r="C38" s="1">
        <v>0.212451</v>
      </c>
      <c r="D38" s="1">
        <v>-200.368364</v>
      </c>
      <c r="E38" s="1">
        <v>-114.096754</v>
      </c>
      <c r="F38" s="1">
        <v>0.302602</v>
      </c>
      <c r="G38" s="1">
        <v>0.088962</v>
      </c>
    </row>
    <row r="39" spans="2:7" ht="12.75">
      <c r="B39" s="1">
        <v>17</v>
      </c>
      <c r="C39" s="1">
        <v>58.002151</v>
      </c>
      <c r="D39" s="1">
        <v>-183.378714</v>
      </c>
      <c r="E39" s="1">
        <v>76.879249</v>
      </c>
      <c r="F39" s="1">
        <v>0.133588</v>
      </c>
      <c r="G39" s="1">
        <v>0.445235</v>
      </c>
    </row>
    <row r="40" spans="2:7" ht="12.75">
      <c r="B40" s="1">
        <v>18</v>
      </c>
      <c r="C40" s="1">
        <v>58.7814</v>
      </c>
      <c r="D40" s="1">
        <v>-180.781552</v>
      </c>
      <c r="E40" s="1">
        <v>82.712492</v>
      </c>
      <c r="F40" s="1">
        <v>0.133588</v>
      </c>
      <c r="G40" s="1">
        <v>0.445235</v>
      </c>
    </row>
    <row r="41" spans="2:7" ht="12.75">
      <c r="B41" s="1">
        <v>19</v>
      </c>
      <c r="C41" s="1">
        <v>35.15469</v>
      </c>
      <c r="D41" s="1">
        <v>-259.52714</v>
      </c>
      <c r="E41" s="1">
        <v>-94.150668</v>
      </c>
      <c r="F41" s="1">
        <v>0.133588</v>
      </c>
      <c r="G41" s="1">
        <v>0.445235</v>
      </c>
    </row>
    <row r="42" spans="2:7" ht="12.75">
      <c r="B42" s="1">
        <v>20</v>
      </c>
      <c r="C42" s="1">
        <v>33.818815</v>
      </c>
      <c r="D42" s="1">
        <v>-263.979485</v>
      </c>
      <c r="E42" s="1">
        <v>-104.150668</v>
      </c>
      <c r="F42" s="1">
        <v>0.133588</v>
      </c>
      <c r="G42" s="1">
        <v>0.445235</v>
      </c>
    </row>
    <row r="43" spans="2:7" ht="12.75">
      <c r="B43" s="1">
        <v>21</v>
      </c>
      <c r="C43" s="1">
        <v>33.819062</v>
      </c>
      <c r="D43" s="1">
        <v>-263.978662</v>
      </c>
      <c r="E43" s="1">
        <v>-104.148819</v>
      </c>
      <c r="F43" s="1">
        <v>0.133588</v>
      </c>
      <c r="G43" s="1">
        <v>0.445235</v>
      </c>
    </row>
    <row r="44" spans="2:7" ht="12.75">
      <c r="B44" s="1">
        <v>22</v>
      </c>
      <c r="C44" s="1">
        <v>33.819252</v>
      </c>
      <c r="D44" s="1">
        <v>-263.978028</v>
      </c>
      <c r="E44" s="1">
        <v>-104.147395</v>
      </c>
      <c r="F44" s="1">
        <v>-12.208409</v>
      </c>
      <c r="G44" s="1">
        <v>-3.500795</v>
      </c>
    </row>
    <row r="45" spans="2:7" ht="12.75">
      <c r="B45" s="1">
        <v>23</v>
      </c>
      <c r="C45" s="1">
        <v>33.817394</v>
      </c>
      <c r="D45" s="1">
        <v>-263.978561</v>
      </c>
      <c r="E45" s="1">
        <v>-104.147243</v>
      </c>
      <c r="F45" s="1">
        <v>-12.208409</v>
      </c>
      <c r="G45" s="1">
        <v>-3.500795</v>
      </c>
    </row>
    <row r="46" spans="2:7" ht="12.75">
      <c r="B46" s="1">
        <v>24</v>
      </c>
      <c r="C46" s="1">
        <v>33.820924</v>
      </c>
      <c r="D46" s="1">
        <v>-263.977549</v>
      </c>
      <c r="E46" s="1">
        <v>-104.147532</v>
      </c>
      <c r="F46" s="1">
        <v>-12.208409</v>
      </c>
      <c r="G46" s="1">
        <v>-3.500795</v>
      </c>
    </row>
    <row r="47" spans="2:7" ht="12.75">
      <c r="B47" s="1">
        <v>25</v>
      </c>
      <c r="C47" s="1">
        <v>141.696068</v>
      </c>
      <c r="D47" s="1">
        <v>-233.044057</v>
      </c>
      <c r="E47" s="1">
        <v>-112.983667</v>
      </c>
      <c r="F47" s="1">
        <v>-12.208409</v>
      </c>
      <c r="G47" s="1">
        <v>-3.500795</v>
      </c>
    </row>
    <row r="48" spans="2:7" ht="12.75">
      <c r="B48" s="1">
        <v>26</v>
      </c>
      <c r="C48" s="1">
        <v>141.696058</v>
      </c>
      <c r="D48" s="1">
        <v>-233.04406</v>
      </c>
      <c r="E48" s="1">
        <v>-112.983666</v>
      </c>
      <c r="F48" s="1">
        <v>-12.208409</v>
      </c>
      <c r="G48" s="1">
        <v>-3.500795</v>
      </c>
    </row>
    <row r="49" spans="2:7" ht="12.75">
      <c r="B49" s="1">
        <v>27</v>
      </c>
      <c r="C49" s="1">
        <v>141.696068</v>
      </c>
      <c r="D49" s="1">
        <v>-233.044057</v>
      </c>
      <c r="E49" s="1">
        <v>-112.983667</v>
      </c>
      <c r="F49" s="1">
        <v>-12.208409</v>
      </c>
      <c r="G49" s="1">
        <v>-3.500795</v>
      </c>
    </row>
    <row r="50" spans="2:7" ht="12.75">
      <c r="B50" s="1">
        <v>28</v>
      </c>
      <c r="C50" s="1">
        <v>170.858814</v>
      </c>
      <c r="D50" s="1">
        <v>-224.68156</v>
      </c>
      <c r="E50" s="1">
        <v>-115.372409</v>
      </c>
      <c r="F50" s="1">
        <v>-12.208409</v>
      </c>
      <c r="G50" s="1">
        <v>-3.500795</v>
      </c>
    </row>
    <row r="51" spans="2:7" ht="12.75">
      <c r="B51" s="1">
        <v>29</v>
      </c>
      <c r="C51" s="1">
        <v>170.858814</v>
      </c>
      <c r="D51" s="1">
        <v>-224.68156</v>
      </c>
      <c r="E51" s="1">
        <v>-115.372409</v>
      </c>
      <c r="F51" s="1">
        <v>-12.208409</v>
      </c>
      <c r="G51" s="1">
        <v>-3.500795</v>
      </c>
    </row>
    <row r="52" spans="2:7" ht="12.75">
      <c r="B52" s="1">
        <v>30</v>
      </c>
      <c r="C52" s="1">
        <v>170.859094</v>
      </c>
      <c r="D52" s="1">
        <v>-224.68148</v>
      </c>
      <c r="E52" s="1">
        <v>-115.372432</v>
      </c>
      <c r="F52" s="4">
        <v>-1.4E-05</v>
      </c>
      <c r="G52" s="1">
        <v>0.176326</v>
      </c>
    </row>
    <row r="53" spans="2:7" ht="12.75">
      <c r="B53" s="1">
        <v>31</v>
      </c>
      <c r="C53" s="1">
        <v>170.859094</v>
      </c>
      <c r="D53" s="1">
        <v>-224.681533</v>
      </c>
      <c r="E53" s="1">
        <v>-115.372733</v>
      </c>
      <c r="F53" s="4">
        <v>-1.4E-05</v>
      </c>
      <c r="G53" s="1">
        <v>0.176326</v>
      </c>
    </row>
    <row r="54" spans="2:7" ht="12.75">
      <c r="B54" s="1">
        <v>32</v>
      </c>
      <c r="C54" s="1">
        <v>170.859094</v>
      </c>
      <c r="D54" s="1">
        <v>-224.681107</v>
      </c>
      <c r="E54" s="1">
        <v>-115.370319</v>
      </c>
      <c r="F54" s="4">
        <v>-1.4E-05</v>
      </c>
      <c r="G54" s="1">
        <v>0.176326</v>
      </c>
    </row>
    <row r="55" spans="2:7" ht="12.75">
      <c r="B55" s="1">
        <v>33</v>
      </c>
      <c r="C55" s="1">
        <v>170.859094</v>
      </c>
      <c r="D55" s="1">
        <v>-224.681107</v>
      </c>
      <c r="E55" s="1">
        <v>-115.370319</v>
      </c>
      <c r="F55" s="4">
        <v>-1.4E-05</v>
      </c>
      <c r="G55" s="1">
        <v>0.176326</v>
      </c>
    </row>
    <row r="56" spans="2:7" ht="12.75">
      <c r="B56" s="1">
        <v>34</v>
      </c>
      <c r="C56" s="1">
        <v>170.859094</v>
      </c>
      <c r="D56" s="1">
        <v>-224.681091</v>
      </c>
      <c r="E56" s="1">
        <v>-115.37023</v>
      </c>
      <c r="F56" s="4">
        <v>-1.4E-05</v>
      </c>
      <c r="G56" s="1">
        <v>0.176326</v>
      </c>
    </row>
    <row r="57" spans="2:7" ht="12.75">
      <c r="B57" s="1">
        <v>35</v>
      </c>
      <c r="C57" s="1">
        <v>170.859883</v>
      </c>
      <c r="D57" s="1">
        <v>-234.57904</v>
      </c>
      <c r="E57" s="1">
        <v>-171.50445</v>
      </c>
      <c r="F57" s="4">
        <v>-1.4E-05</v>
      </c>
      <c r="G57" s="1">
        <v>0.176326</v>
      </c>
    </row>
    <row r="58" spans="2:7" ht="12.75">
      <c r="B58" s="1">
        <v>36</v>
      </c>
      <c r="C58" s="4">
        <v>170.859883</v>
      </c>
      <c r="D58" s="1">
        <v>-234.57904</v>
      </c>
      <c r="E58" s="1">
        <v>-171.50445</v>
      </c>
      <c r="F58" s="4">
        <v>-1.83E-05</v>
      </c>
      <c r="G58" s="1">
        <v>-0.577344</v>
      </c>
    </row>
    <row r="59" spans="2:7" ht="12.75">
      <c r="B59" s="1">
        <v>37</v>
      </c>
      <c r="C59" s="4">
        <v>170.859883</v>
      </c>
      <c r="D59" s="1">
        <v>-234.57904</v>
      </c>
      <c r="E59" s="1">
        <v>-171.50445</v>
      </c>
      <c r="F59" s="4">
        <v>-1.83E-05</v>
      </c>
      <c r="G59" s="1">
        <v>-0.577344</v>
      </c>
    </row>
    <row r="60" spans="2:7" ht="12.75">
      <c r="B60" s="1">
        <v>38</v>
      </c>
      <c r="C60" s="1">
        <v>170.859883</v>
      </c>
      <c r="D60" s="1">
        <v>-234.578952</v>
      </c>
      <c r="E60" s="1">
        <v>-171.504602</v>
      </c>
      <c r="F60" s="4">
        <v>-1.83E-05</v>
      </c>
      <c r="G60" s="1">
        <v>-0.577344</v>
      </c>
    </row>
    <row r="61" spans="2:7" ht="12.75">
      <c r="B61" s="1">
        <v>39</v>
      </c>
      <c r="C61" s="1">
        <v>170.857126</v>
      </c>
      <c r="D61" s="1">
        <v>-321.398179</v>
      </c>
      <c r="E61" s="1">
        <v>-21.12771</v>
      </c>
      <c r="F61" s="4">
        <v>1.83E-05</v>
      </c>
      <c r="G61" s="1">
        <v>0.577344</v>
      </c>
    </row>
    <row r="62" spans="2:7" ht="12.75">
      <c r="B62" s="1">
        <v>40</v>
      </c>
      <c r="C62" s="1">
        <v>170.857126</v>
      </c>
      <c r="D62" s="1">
        <v>-321.398267</v>
      </c>
      <c r="E62" s="1">
        <v>-21.127863</v>
      </c>
      <c r="F62" s="4">
        <v>1.83E-05</v>
      </c>
      <c r="G62" s="1">
        <v>0.577344</v>
      </c>
    </row>
    <row r="63" spans="2:7" ht="12.75">
      <c r="B63" s="1">
        <v>41</v>
      </c>
      <c r="C63" s="1">
        <v>170.856491</v>
      </c>
      <c r="D63" s="1">
        <v>-341.398109</v>
      </c>
      <c r="E63" s="1">
        <v>-55.768971</v>
      </c>
      <c r="F63" s="4">
        <v>1.83E-05</v>
      </c>
      <c r="G63" s="1">
        <v>0.577344</v>
      </c>
    </row>
    <row r="64" spans="2:7" ht="12.75">
      <c r="B64" s="1">
        <v>42</v>
      </c>
      <c r="C64" s="4">
        <v>170.856491</v>
      </c>
      <c r="D64" s="1">
        <v>-341.398109</v>
      </c>
      <c r="E64" s="1">
        <v>-55.768971</v>
      </c>
      <c r="F64" s="4">
        <v>1.83E-05</v>
      </c>
      <c r="G64" s="1">
        <v>0.577344</v>
      </c>
    </row>
    <row r="65" spans="2:7" ht="12.75">
      <c r="B65" s="1">
        <v>43</v>
      </c>
      <c r="C65" s="4">
        <v>170.854376</v>
      </c>
      <c r="D65" s="1">
        <v>-407.997437</v>
      </c>
      <c r="E65" s="1">
        <v>-171.123603</v>
      </c>
      <c r="F65" s="4">
        <v>1.26E-06</v>
      </c>
      <c r="G65" s="4">
        <v>-4.19E-06</v>
      </c>
    </row>
    <row r="66" spans="2:7" ht="12.75">
      <c r="B66" s="1">
        <v>44</v>
      </c>
      <c r="C66" s="4">
        <v>170.854376</v>
      </c>
      <c r="D66" s="1">
        <v>-407.997437</v>
      </c>
      <c r="E66" s="1">
        <v>-171.12331</v>
      </c>
      <c r="F66" s="4">
        <v>1.26E-06</v>
      </c>
      <c r="G66" s="4">
        <v>-4.19E-06</v>
      </c>
    </row>
    <row r="67" spans="2:7" ht="12.75">
      <c r="B67" s="1">
        <v>45</v>
      </c>
      <c r="C67" s="4">
        <v>168.534517</v>
      </c>
      <c r="D67" s="4">
        <v>1000000</v>
      </c>
      <c r="E67" s="1">
        <v>-21.12331</v>
      </c>
      <c r="F67" s="4">
        <v>0.000806</v>
      </c>
      <c r="G67" s="1">
        <v>-0.000746</v>
      </c>
    </row>
    <row r="68" spans="2:7" ht="12.75">
      <c r="B68" s="1">
        <v>46</v>
      </c>
      <c r="C68" s="4">
        <v>170.854534</v>
      </c>
      <c r="D68" s="1">
        <v>-407.997961</v>
      </c>
      <c r="E68" s="1">
        <v>-46.123882</v>
      </c>
      <c r="F68" s="1">
        <v>0.30052</v>
      </c>
      <c r="G68" s="4">
        <v>-239000</v>
      </c>
    </row>
    <row r="69" spans="2:7" ht="12.75">
      <c r="B69" s="1">
        <v>47</v>
      </c>
      <c r="C69" s="1">
        <v>170.854534</v>
      </c>
      <c r="D69" s="1">
        <v>-407.998533</v>
      </c>
      <c r="E69" s="4">
        <v>-46.123882</v>
      </c>
      <c r="F69" s="1">
        <v>0.30052</v>
      </c>
      <c r="G69" s="4">
        <v>-239000</v>
      </c>
    </row>
    <row r="70" spans="2:7" ht="12.75">
      <c r="B70" s="1">
        <v>48</v>
      </c>
      <c r="C70" s="1">
        <v>170.854565</v>
      </c>
      <c r="D70" s="1">
        <v>-432.998533</v>
      </c>
      <c r="E70" s="1">
        <v>-46.123777</v>
      </c>
      <c r="F70" s="1">
        <v>0.30052</v>
      </c>
      <c r="G70" s="4">
        <v>-239000</v>
      </c>
    </row>
    <row r="71" spans="2:7" ht="12.75">
      <c r="B71" s="1">
        <v>49</v>
      </c>
      <c r="C71" s="4">
        <v>170.854565</v>
      </c>
      <c r="D71" s="1">
        <v>-432.998533</v>
      </c>
      <c r="E71" s="1">
        <v>-46.123777</v>
      </c>
      <c r="F71" s="1">
        <v>0.30052</v>
      </c>
      <c r="G71" s="4">
        <v>-239000</v>
      </c>
    </row>
    <row r="72" spans="2:7" ht="12.75">
      <c r="B72" s="1">
        <v>50</v>
      </c>
      <c r="C72" s="4">
        <v>168.546847</v>
      </c>
      <c r="D72" s="4">
        <v>-708000</v>
      </c>
      <c r="E72" s="4">
        <v>-707000</v>
      </c>
      <c r="F72" s="1">
        <v>1.080066</v>
      </c>
      <c r="G72" s="1">
        <v>-1340.341805</v>
      </c>
    </row>
    <row r="73" spans="2:7" ht="12.75">
      <c r="B73" s="1">
        <v>51</v>
      </c>
      <c r="C73" s="1">
        <v>170.858759</v>
      </c>
      <c r="D73" s="1">
        <v>-457.998896</v>
      </c>
      <c r="E73" s="1">
        <v>-46.126616</v>
      </c>
      <c r="F73" s="4">
        <v>1.26E-06</v>
      </c>
      <c r="G73" s="4">
        <v>-4.19E-06</v>
      </c>
    </row>
    <row r="74" spans="2:7" ht="12.75">
      <c r="B74" s="1">
        <v>52</v>
      </c>
      <c r="C74" s="1">
        <v>-1857.546822</v>
      </c>
      <c r="D74" s="4">
        <v>-708000</v>
      </c>
      <c r="E74" s="4">
        <v>-707000</v>
      </c>
      <c r="F74" s="1">
        <v>1.417942</v>
      </c>
      <c r="G74" s="1">
        <v>1.002283</v>
      </c>
    </row>
    <row r="75" spans="2:7" ht="12.75">
      <c r="B75" s="1">
        <v>53</v>
      </c>
      <c r="C75" s="1">
        <v>170.854597</v>
      </c>
      <c r="D75" s="1">
        <v>-457.995952</v>
      </c>
      <c r="E75" s="1">
        <v>-46.123672</v>
      </c>
      <c r="F75" s="4">
        <v>-1.414228</v>
      </c>
      <c r="G75" s="4">
        <v>1.000004</v>
      </c>
    </row>
    <row r="76" spans="2:7" ht="12.75">
      <c r="B76" s="1">
        <v>54</v>
      </c>
      <c r="C76" s="1">
        <v>168.554662</v>
      </c>
      <c r="D76" s="4">
        <v>-1000000</v>
      </c>
      <c r="E76" s="1">
        <v>-46.122592</v>
      </c>
      <c r="F76" s="1">
        <v>-0.000806</v>
      </c>
      <c r="G76" s="1">
        <v>-0.000746</v>
      </c>
    </row>
    <row r="77" spans="2:7" ht="12.75">
      <c r="B77" s="1">
        <v>55</v>
      </c>
      <c r="C77" s="4">
        <v>168.534517</v>
      </c>
      <c r="D77" s="4">
        <v>-1000000</v>
      </c>
      <c r="E77" s="1">
        <v>-21.122592</v>
      </c>
      <c r="F77" s="4">
        <v>-0.000806</v>
      </c>
      <c r="G77" s="1">
        <v>-0.000746</v>
      </c>
    </row>
    <row r="78" spans="2:7" ht="12.75">
      <c r="B78" s="1">
        <v>56</v>
      </c>
      <c r="C78" s="4">
        <v>170.858602</v>
      </c>
      <c r="D78" s="1">
        <v>-457.998372</v>
      </c>
      <c r="E78" s="1">
        <v>-171.123266</v>
      </c>
      <c r="F78" s="4">
        <v>-1.8E-05</v>
      </c>
      <c r="G78" s="1">
        <v>-0.577346</v>
      </c>
    </row>
    <row r="79" spans="2:7" ht="12.75">
      <c r="B79" s="1">
        <v>57</v>
      </c>
      <c r="C79" s="4">
        <v>170.858602</v>
      </c>
      <c r="D79" s="1">
        <v>-457.998394</v>
      </c>
      <c r="E79" s="1">
        <v>-171.123229</v>
      </c>
      <c r="F79" s="4">
        <v>-1.8E-05</v>
      </c>
      <c r="G79" s="1">
        <v>-0.577346</v>
      </c>
    </row>
    <row r="80" spans="2:7" ht="12.75">
      <c r="B80" s="1">
        <v>58</v>
      </c>
      <c r="C80" s="4">
        <v>170.85653</v>
      </c>
      <c r="D80" s="1">
        <v>-524.598058</v>
      </c>
      <c r="E80" s="1">
        <v>-55.768452</v>
      </c>
      <c r="F80" s="4">
        <v>-1.8E-05</v>
      </c>
      <c r="G80" s="1">
        <v>-0.577346</v>
      </c>
    </row>
    <row r="81" spans="2:7" ht="12.75">
      <c r="B81" s="1">
        <v>59</v>
      </c>
      <c r="C81" s="4">
        <v>170.85653</v>
      </c>
      <c r="D81" s="1">
        <v>-524.598058</v>
      </c>
      <c r="E81" s="1">
        <v>-55.768452</v>
      </c>
      <c r="F81" s="4">
        <v>-1.8E-05</v>
      </c>
      <c r="G81" s="1">
        <v>-0.577346</v>
      </c>
    </row>
    <row r="82" spans="2:7" ht="12.75">
      <c r="B82" s="1">
        <v>60</v>
      </c>
      <c r="C82" s="4">
        <v>170.855908</v>
      </c>
      <c r="D82" s="1">
        <v>-544.597766</v>
      </c>
      <c r="E82" s="1">
        <v>-21.12771</v>
      </c>
      <c r="F82" s="4">
        <v>1.8E-05</v>
      </c>
      <c r="G82" s="1">
        <v>0.577346</v>
      </c>
    </row>
    <row r="83" spans="2:7" ht="12.75">
      <c r="B83" s="1">
        <v>61</v>
      </c>
      <c r="C83" s="4">
        <v>170.855908</v>
      </c>
      <c r="D83" s="1">
        <v>-544.597958</v>
      </c>
      <c r="E83" s="1">
        <v>-21.128042</v>
      </c>
      <c r="F83" s="4">
        <v>1.8E-05</v>
      </c>
      <c r="G83" s="1">
        <v>0.577346</v>
      </c>
    </row>
    <row r="84" spans="2:7" ht="12.75">
      <c r="B84" s="1">
        <v>62</v>
      </c>
      <c r="C84" s="4">
        <v>170.853544</v>
      </c>
      <c r="D84" s="1">
        <v>-620.587374</v>
      </c>
      <c r="E84" s="1">
        <v>-152.746455</v>
      </c>
      <c r="F84" s="4">
        <v>1.8E-05</v>
      </c>
      <c r="G84" s="1">
        <v>0.577346</v>
      </c>
    </row>
    <row r="85" spans="2:7" ht="12.75">
      <c r="B85" s="1">
        <v>63</v>
      </c>
      <c r="C85" s="4">
        <v>170.853544</v>
      </c>
      <c r="D85" s="1">
        <v>-620.587374</v>
      </c>
      <c r="E85" s="1">
        <v>-152.746455</v>
      </c>
      <c r="F85" s="4">
        <v>1.95E-05</v>
      </c>
      <c r="G85" s="1">
        <v>-0.176336</v>
      </c>
    </row>
    <row r="86" spans="2:7" ht="12.75">
      <c r="B86" s="1">
        <v>64</v>
      </c>
      <c r="C86" s="1">
        <v>170.853544</v>
      </c>
      <c r="D86" s="1">
        <v>-620.587374</v>
      </c>
      <c r="E86" s="1">
        <v>-152.746455</v>
      </c>
      <c r="F86" s="4">
        <v>1.95E-05</v>
      </c>
      <c r="G86" s="1">
        <v>-0.176336</v>
      </c>
    </row>
    <row r="87" spans="2:7" ht="12.75">
      <c r="B87" s="1">
        <v>65</v>
      </c>
      <c r="C87" s="1">
        <v>170.853544</v>
      </c>
      <c r="D87" s="1">
        <v>-620.587444</v>
      </c>
      <c r="E87" s="1">
        <v>-152.746058</v>
      </c>
      <c r="F87" s="4">
        <v>1.95E-05</v>
      </c>
      <c r="G87" s="1">
        <v>-0.176336</v>
      </c>
    </row>
    <row r="88" spans="2:7" ht="12.75">
      <c r="B88" s="1">
        <v>66</v>
      </c>
      <c r="C88" s="1">
        <v>170.854694</v>
      </c>
      <c r="D88" s="1">
        <v>-631.006879</v>
      </c>
      <c r="E88" s="1">
        <v>-93.657689</v>
      </c>
      <c r="F88" s="4">
        <v>1.95E-05</v>
      </c>
      <c r="G88" s="1">
        <v>-0.176336</v>
      </c>
    </row>
    <row r="89" spans="2:7" ht="12.75">
      <c r="B89" s="1">
        <v>67</v>
      </c>
      <c r="C89" s="1">
        <v>170.855319</v>
      </c>
      <c r="D89" s="1">
        <v>-636.662659</v>
      </c>
      <c r="E89" s="1">
        <v>-61.583891</v>
      </c>
      <c r="F89" s="4">
        <v>57841.55084</v>
      </c>
      <c r="G89" s="1">
        <v>-0.717173</v>
      </c>
    </row>
    <row r="90" spans="2:7" ht="12.75">
      <c r="B90" s="1">
        <v>68</v>
      </c>
      <c r="C90" s="1">
        <v>170.856678</v>
      </c>
      <c r="D90" s="1">
        <v>-636.662659</v>
      </c>
      <c r="E90" s="1">
        <v>-61.583891</v>
      </c>
      <c r="F90" s="4">
        <v>57841.55084</v>
      </c>
      <c r="G90" s="1">
        <v>-0.717173</v>
      </c>
    </row>
    <row r="91" spans="2:7" ht="12.75">
      <c r="B91" s="1">
        <v>69</v>
      </c>
      <c r="C91" s="1">
        <v>250.856678</v>
      </c>
      <c r="D91" s="1">
        <v>-636.663651</v>
      </c>
      <c r="E91" s="1">
        <v>-61.582508</v>
      </c>
      <c r="F91" s="4">
        <v>57841.55084</v>
      </c>
      <c r="G91" s="1">
        <v>-0.717173</v>
      </c>
    </row>
    <row r="92" spans="2:5" ht="12.75">
      <c r="B92" s="1">
        <v>70</v>
      </c>
      <c r="C92" s="1">
        <v>250.856678</v>
      </c>
      <c r="D92" s="1">
        <v>-636.663651</v>
      </c>
      <c r="E92" s="1">
        <v>-61.582508</v>
      </c>
    </row>
    <row r="93" ht="12.75">
      <c r="B93" s="1" t="s">
        <v>39</v>
      </c>
    </row>
    <row r="94" ht="12.75">
      <c r="B94" s="1" t="s">
        <v>39</v>
      </c>
    </row>
    <row r="95" spans="2:4" ht="12.75">
      <c r="B95" s="1" t="s">
        <v>39</v>
      </c>
      <c r="C95" s="1" t="s">
        <v>85</v>
      </c>
      <c r="D95" s="1" t="s">
        <v>86</v>
      </c>
    </row>
  </sheetData>
  <printOptions/>
  <pageMargins left="0.7874015748031497" right="0.7874015748031497" top="0.71" bottom="0.62" header="0.5118110236220472" footer="0.3"/>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workbookViewId="0" topLeftCell="A1">
      <selection activeCell="C16" sqref="C16"/>
    </sheetView>
  </sheetViews>
  <sheetFormatPr defaultColWidth="12" defaultRowHeight="12.75"/>
  <cols>
    <col min="1" max="1" width="20.66015625" style="75" customWidth="1"/>
    <col min="2" max="2" width="12" style="76" customWidth="1"/>
    <col min="3" max="3" width="71.33203125" style="77" customWidth="1"/>
    <col min="4" max="16384" width="12" style="1" customWidth="1"/>
  </cols>
  <sheetData>
    <row r="1" spans="1:3" s="5" customFormat="1" ht="12.75">
      <c r="A1" s="72" t="s">
        <v>413</v>
      </c>
      <c r="B1" s="73" t="s">
        <v>414</v>
      </c>
      <c r="C1" s="74" t="s">
        <v>415</v>
      </c>
    </row>
    <row r="2" spans="1:2" ht="12.75">
      <c r="A2" s="75" t="s">
        <v>416</v>
      </c>
      <c r="B2" s="76">
        <v>210700</v>
      </c>
    </row>
    <row r="3" spans="1:3" ht="25.5">
      <c r="A3" s="75" t="s">
        <v>417</v>
      </c>
      <c r="B3" s="76">
        <v>240800</v>
      </c>
      <c r="C3" s="77" t="s">
        <v>418</v>
      </c>
    </row>
    <row r="4" spans="1:3" ht="12.75">
      <c r="A4" s="75" t="s">
        <v>419</v>
      </c>
      <c r="B4" s="76">
        <v>240800</v>
      </c>
      <c r="C4" s="77" t="s">
        <v>420</v>
      </c>
    </row>
    <row r="5" spans="1:3" ht="12.75">
      <c r="A5" s="75" t="s">
        <v>421</v>
      </c>
      <c r="B5" s="76">
        <v>10900</v>
      </c>
      <c r="C5" s="77" t="s">
        <v>422</v>
      </c>
    </row>
    <row r="6" spans="1:3" ht="12.75">
      <c r="A6" s="75" t="s">
        <v>423</v>
      </c>
      <c r="B6" s="76">
        <v>171000</v>
      </c>
      <c r="C6" s="77" t="s">
        <v>424</v>
      </c>
    </row>
    <row r="7" ht="12.75">
      <c r="A7" s="75" t="s">
        <v>425</v>
      </c>
    </row>
    <row r="8" spans="1:3" ht="12.75">
      <c r="A8" s="75" t="s">
        <v>426</v>
      </c>
      <c r="B8" s="76">
        <v>141100</v>
      </c>
      <c r="C8" s="77" t="s">
        <v>427</v>
      </c>
    </row>
    <row r="9" ht="12.75">
      <c r="A9" s="75" t="s">
        <v>428</v>
      </c>
    </row>
    <row r="10" spans="1:3" ht="12.75">
      <c r="A10" s="75" t="s">
        <v>429</v>
      </c>
      <c r="B10" s="76">
        <v>160101</v>
      </c>
      <c r="C10" s="77" t="s">
        <v>430</v>
      </c>
    </row>
    <row r="11" spans="1:3" ht="12.75">
      <c r="A11" s="75" t="s">
        <v>453</v>
      </c>
      <c r="B11" s="76">
        <v>200301</v>
      </c>
      <c r="C11" s="77" t="s">
        <v>454</v>
      </c>
    </row>
    <row r="12" spans="1:3" ht="25.5">
      <c r="A12" s="75" t="s">
        <v>462</v>
      </c>
      <c r="B12" s="76">
        <v>230301</v>
      </c>
      <c r="C12" s="77" t="s">
        <v>461</v>
      </c>
    </row>
    <row r="13" spans="1:3" ht="25.5">
      <c r="A13" s="75" t="s">
        <v>465</v>
      </c>
      <c r="B13" s="76">
        <v>260301</v>
      </c>
      <c r="C13" s="77" t="s">
        <v>466</v>
      </c>
    </row>
    <row r="14" spans="1:3" ht="12.75">
      <c r="A14" s="75" t="s">
        <v>467</v>
      </c>
      <c r="B14" s="76">
        <v>110501</v>
      </c>
      <c r="C14" s="77" t="s">
        <v>471</v>
      </c>
    </row>
    <row r="15" spans="1:3" ht="12.75">
      <c r="A15" s="75" t="s">
        <v>472</v>
      </c>
      <c r="B15" s="76">
        <v>130601</v>
      </c>
      <c r="C15" s="77" t="s">
        <v>473</v>
      </c>
    </row>
    <row r="16" spans="1:3" ht="25.5">
      <c r="A16" s="75" t="s">
        <v>600</v>
      </c>
      <c r="C16" s="77" t="s">
        <v>603</v>
      </c>
    </row>
    <row r="17" spans="1:3" ht="12.75">
      <c r="A17" s="75" t="s">
        <v>601</v>
      </c>
      <c r="B17" s="76">
        <v>200701</v>
      </c>
      <c r="C17" s="77" t="s">
        <v>602</v>
      </c>
    </row>
  </sheetData>
  <printOptions/>
  <pageMargins left="0.7874015748031497" right="0.68" top="0.984251968503937" bottom="0.984251968503937" header="0.5118110236220472" footer="0.5118110236220472"/>
  <pageSetup fitToHeight="1" fitToWidth="1" horizontalDpi="600" verticalDpi="600" orientation="portrait" paperSize="9" scale="93" r:id="rId1"/>
  <headerFooter alignWithMargins="0">
    <oddHeader>&amp;L&amp;F, &amp;A&amp;R&amp;T, &amp;D</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J95"/>
  <sheetViews>
    <sheetView workbookViewId="0" topLeftCell="A1">
      <selection activeCell="M27" sqref="M27"/>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474</v>
      </c>
      <c r="J4" s="1" t="s">
        <v>496</v>
      </c>
    </row>
    <row r="6" spans="2:3" ht="12.75">
      <c r="B6" s="1" t="s">
        <v>39</v>
      </c>
      <c r="C6" s="1" t="s">
        <v>48</v>
      </c>
    </row>
    <row r="7" spans="2:3" ht="12.75">
      <c r="B7" s="2">
        <v>36965</v>
      </c>
      <c r="C7" s="3">
        <v>0.4826736111111111</v>
      </c>
    </row>
    <row r="8" ht="12.75">
      <c r="B8" s="1" t="s">
        <v>39</v>
      </c>
    </row>
    <row r="9" spans="2:10" ht="12.75">
      <c r="B9" s="1" t="s">
        <v>39</v>
      </c>
      <c r="C9" s="1" t="s">
        <v>49</v>
      </c>
      <c r="D9" s="1">
        <v>2</v>
      </c>
      <c r="E9" s="1">
        <v>0</v>
      </c>
      <c r="F9" s="1">
        <v>0</v>
      </c>
      <c r="G9" s="1">
        <v>0</v>
      </c>
      <c r="H9" s="1" t="s">
        <v>50</v>
      </c>
      <c r="I9" s="1">
        <v>0</v>
      </c>
      <c r="J9" s="1" t="s">
        <v>51</v>
      </c>
    </row>
    <row r="10" spans="2:8" ht="12.75">
      <c r="B10" s="1" t="s">
        <v>44</v>
      </c>
      <c r="C10" s="1" t="s">
        <v>46</v>
      </c>
      <c r="D10" s="1" t="s">
        <v>474</v>
      </c>
      <c r="E10" s="1" t="s">
        <v>496</v>
      </c>
      <c r="F10" s="1">
        <v>242</v>
      </c>
      <c r="G10" s="2">
        <v>36965</v>
      </c>
      <c r="H10" s="3">
        <v>0.4826736111111111</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v>
      </c>
      <c r="G16" s="1" t="s">
        <v>67</v>
      </c>
      <c r="H16" s="1">
        <v>0</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36.846967</v>
      </c>
      <c r="D23" s="1">
        <v>54.801254</v>
      </c>
      <c r="E23" s="1">
        <v>-1050.039457</v>
      </c>
      <c r="F23" s="1">
        <v>-0.002147</v>
      </c>
      <c r="G23" s="1">
        <v>-0.003193</v>
      </c>
    </row>
    <row r="24" spans="2:7" ht="12.75">
      <c r="B24" s="1">
        <v>2</v>
      </c>
      <c r="C24" s="1">
        <v>-1.30302</v>
      </c>
      <c r="D24" s="1">
        <v>-1.937938</v>
      </c>
      <c r="E24" s="1">
        <v>16720.9352</v>
      </c>
      <c r="F24" s="1">
        <v>-0.002147</v>
      </c>
      <c r="G24" s="1">
        <v>-0.003193</v>
      </c>
    </row>
    <row r="25" spans="2:7" ht="12.75">
      <c r="B25" s="1">
        <v>3</v>
      </c>
      <c r="C25" s="1">
        <v>-1.303026</v>
      </c>
      <c r="D25" s="1">
        <v>-1.937947</v>
      </c>
      <c r="E25" s="1">
        <v>16720.938</v>
      </c>
      <c r="F25" s="1">
        <v>-0.002147</v>
      </c>
      <c r="G25" s="1">
        <v>-0.003193</v>
      </c>
    </row>
    <row r="26" spans="2:7" ht="12.75">
      <c r="B26" s="1">
        <v>4</v>
      </c>
      <c r="C26" s="1">
        <v>36.84723</v>
      </c>
      <c r="D26" s="1">
        <v>54.801645</v>
      </c>
      <c r="E26" s="1">
        <v>-1050.162</v>
      </c>
      <c r="F26" s="1">
        <v>-0.002147</v>
      </c>
      <c r="G26" s="1">
        <v>-0.003193</v>
      </c>
    </row>
    <row r="27" spans="2:7" ht="12.75">
      <c r="B27" s="1">
        <v>5</v>
      </c>
      <c r="C27" s="1">
        <v>41.140746</v>
      </c>
      <c r="D27" s="1">
        <v>61.187248</v>
      </c>
      <c r="E27" s="1">
        <v>-3050.162</v>
      </c>
      <c r="F27" s="1">
        <v>-0.002147</v>
      </c>
      <c r="G27" s="1">
        <v>-0.003193</v>
      </c>
    </row>
    <row r="28" spans="2:7" ht="12.75">
      <c r="B28" s="1">
        <v>6</v>
      </c>
      <c r="C28" s="1">
        <v>36.848567</v>
      </c>
      <c r="D28" s="1">
        <v>54.803634</v>
      </c>
      <c r="E28" s="1">
        <v>-1050.785036</v>
      </c>
      <c r="F28" s="1">
        <v>0.023214</v>
      </c>
      <c r="G28" s="1">
        <v>0.034525</v>
      </c>
    </row>
    <row r="29" spans="2:7" ht="12.75">
      <c r="B29" s="1">
        <v>7</v>
      </c>
      <c r="C29" s="4">
        <v>3.77E-13</v>
      </c>
      <c r="D29" s="4">
        <v>-3.62E-13</v>
      </c>
      <c r="E29" s="1">
        <v>-2638.131</v>
      </c>
      <c r="F29" s="1">
        <v>-0.023214</v>
      </c>
      <c r="G29" s="1">
        <v>-0.034525</v>
      </c>
    </row>
    <row r="30" spans="2:7" ht="12.75">
      <c r="B30" s="1">
        <v>8</v>
      </c>
      <c r="C30" s="1">
        <v>-36.86303</v>
      </c>
      <c r="D30" s="1">
        <v>-54.825145</v>
      </c>
      <c r="E30" s="1">
        <v>-1050.162</v>
      </c>
      <c r="F30" s="1">
        <v>-0.023214</v>
      </c>
      <c r="G30" s="1">
        <v>-0.034525</v>
      </c>
    </row>
    <row r="31" spans="2:7" ht="12.75">
      <c r="B31" s="1">
        <v>9</v>
      </c>
      <c r="C31" s="1">
        <v>-60.320777</v>
      </c>
      <c r="D31" s="1">
        <v>-89.713062</v>
      </c>
      <c r="E31" s="1">
        <v>-39.659771</v>
      </c>
      <c r="F31" s="1">
        <v>-0.023214</v>
      </c>
      <c r="G31" s="1">
        <v>-0.034525</v>
      </c>
    </row>
    <row r="32" spans="2:7" ht="12.75">
      <c r="B32" s="1">
        <v>10</v>
      </c>
      <c r="C32" s="1">
        <v>-61.241409</v>
      </c>
      <c r="D32" s="1">
        <v>-91.082288</v>
      </c>
      <c r="E32" s="1">
        <v>-0.001183</v>
      </c>
      <c r="F32" s="1">
        <v>-0.023214</v>
      </c>
      <c r="G32" s="1">
        <v>-0.034525</v>
      </c>
    </row>
    <row r="33" spans="2:7" ht="12.75">
      <c r="B33" s="1">
        <v>11</v>
      </c>
      <c r="C33" s="1">
        <v>-62.761232</v>
      </c>
      <c r="D33" s="1">
        <v>-93.342669</v>
      </c>
      <c r="E33" s="1">
        <v>65.469052</v>
      </c>
      <c r="F33" s="1">
        <v>-0.350914</v>
      </c>
      <c r="G33" s="1">
        <v>0.596191</v>
      </c>
    </row>
    <row r="34" spans="2:7" ht="12.75">
      <c r="B34" s="1">
        <v>12</v>
      </c>
      <c r="C34" s="1">
        <v>-64.145984</v>
      </c>
      <c r="D34" s="1">
        <v>-90.990021</v>
      </c>
      <c r="E34" s="1">
        <v>69.415181</v>
      </c>
      <c r="F34" s="1">
        <v>-0.350914</v>
      </c>
      <c r="G34" s="1">
        <v>0.596191</v>
      </c>
    </row>
    <row r="35" spans="2:7" ht="12.75">
      <c r="B35" s="1">
        <v>13</v>
      </c>
      <c r="C35" s="1">
        <v>0.23026</v>
      </c>
      <c r="D35" s="1">
        <v>-200.363128</v>
      </c>
      <c r="E35" s="1">
        <v>-114.037902</v>
      </c>
      <c r="F35" s="1">
        <v>-0.350914</v>
      </c>
      <c r="G35" s="1">
        <v>0.596191</v>
      </c>
    </row>
    <row r="36" spans="2:7" ht="12.75">
      <c r="B36" s="1">
        <v>14</v>
      </c>
      <c r="C36" s="1">
        <v>0.23026</v>
      </c>
      <c r="D36" s="1">
        <v>-200.363128</v>
      </c>
      <c r="E36" s="1">
        <v>-114.037902</v>
      </c>
      <c r="F36" s="1">
        <v>0.302602</v>
      </c>
      <c r="G36" s="1">
        <v>0.088962</v>
      </c>
    </row>
    <row r="37" spans="2:7" ht="12.75">
      <c r="B37" s="1">
        <v>15</v>
      </c>
      <c r="C37" s="1">
        <v>0.23026</v>
      </c>
      <c r="D37" s="1">
        <v>-200.363128</v>
      </c>
      <c r="E37" s="1">
        <v>-114.037902</v>
      </c>
      <c r="F37" s="1">
        <v>0.302602</v>
      </c>
      <c r="G37" s="1">
        <v>0.088962</v>
      </c>
    </row>
    <row r="38" spans="2:7" ht="12.75">
      <c r="B38" s="1">
        <v>16</v>
      </c>
      <c r="C38" s="1">
        <v>0.212451</v>
      </c>
      <c r="D38" s="1">
        <v>-200.368364</v>
      </c>
      <c r="E38" s="1">
        <v>-114.096754</v>
      </c>
      <c r="F38" s="1">
        <v>0.302602</v>
      </c>
      <c r="G38" s="1">
        <v>0.088962</v>
      </c>
    </row>
    <row r="39" spans="2:7" ht="12.75">
      <c r="B39" s="1">
        <v>17</v>
      </c>
      <c r="C39" s="1">
        <v>58.002151</v>
      </c>
      <c r="D39" s="1">
        <v>-183.378714</v>
      </c>
      <c r="E39" s="1">
        <v>76.879249</v>
      </c>
      <c r="F39" s="1">
        <v>0.133588</v>
      </c>
      <c r="G39" s="1">
        <v>0.445235</v>
      </c>
    </row>
    <row r="40" spans="2:7" ht="12.75">
      <c r="B40" s="1">
        <v>18</v>
      </c>
      <c r="C40" s="1">
        <v>58.7814</v>
      </c>
      <c r="D40" s="1">
        <v>-180.781552</v>
      </c>
      <c r="E40" s="1">
        <v>82.712492</v>
      </c>
      <c r="F40" s="1">
        <v>0.133588</v>
      </c>
      <c r="G40" s="1">
        <v>0.445235</v>
      </c>
    </row>
    <row r="41" spans="2:7" ht="12.75">
      <c r="B41" s="1">
        <v>19</v>
      </c>
      <c r="C41" s="1">
        <v>35.15469</v>
      </c>
      <c r="D41" s="1">
        <v>-259.52714</v>
      </c>
      <c r="E41" s="1">
        <v>-94.150668</v>
      </c>
      <c r="F41" s="1">
        <v>0.133588</v>
      </c>
      <c r="G41" s="1">
        <v>0.445235</v>
      </c>
    </row>
    <row r="42" spans="2:7" ht="12.75">
      <c r="B42" s="1">
        <v>20</v>
      </c>
      <c r="C42" s="1">
        <v>33.818815</v>
      </c>
      <c r="D42" s="1">
        <v>-263.979485</v>
      </c>
      <c r="E42" s="1">
        <v>-104.150668</v>
      </c>
      <c r="F42" s="1">
        <v>0.133588</v>
      </c>
      <c r="G42" s="1">
        <v>0.445235</v>
      </c>
    </row>
    <row r="43" spans="2:7" ht="12.75">
      <c r="B43" s="1">
        <v>21</v>
      </c>
      <c r="C43" s="1">
        <v>33.819062</v>
      </c>
      <c r="D43" s="1">
        <v>-263.978662</v>
      </c>
      <c r="E43" s="1">
        <v>-104.148819</v>
      </c>
      <c r="F43" s="1">
        <v>0.133588</v>
      </c>
      <c r="G43" s="1">
        <v>0.445235</v>
      </c>
    </row>
    <row r="44" spans="2:7" ht="12.75">
      <c r="B44" s="1">
        <v>22</v>
      </c>
      <c r="C44" s="1">
        <v>33.819252</v>
      </c>
      <c r="D44" s="1">
        <v>-263.978028</v>
      </c>
      <c r="E44" s="1">
        <v>-104.147395</v>
      </c>
      <c r="F44" s="1">
        <v>-12.208409</v>
      </c>
      <c r="G44" s="1">
        <v>-3.500795</v>
      </c>
    </row>
    <row r="45" spans="2:7" ht="12.75">
      <c r="B45" s="1">
        <v>23</v>
      </c>
      <c r="C45" s="1">
        <v>33.817394</v>
      </c>
      <c r="D45" s="1">
        <v>-263.978561</v>
      </c>
      <c r="E45" s="1">
        <v>-104.147243</v>
      </c>
      <c r="F45" s="1">
        <v>-12.208409</v>
      </c>
      <c r="G45" s="1">
        <v>-3.500795</v>
      </c>
    </row>
    <row r="46" spans="2:7" ht="12.75">
      <c r="B46" s="1">
        <v>24</v>
      </c>
      <c r="C46" s="1">
        <v>33.820924</v>
      </c>
      <c r="D46" s="1">
        <v>-263.977549</v>
      </c>
      <c r="E46" s="1">
        <v>-104.147532</v>
      </c>
      <c r="F46" s="1">
        <v>-12.208409</v>
      </c>
      <c r="G46" s="1">
        <v>-3.500795</v>
      </c>
    </row>
    <row r="47" spans="2:7" ht="12.75">
      <c r="B47" s="1">
        <v>25</v>
      </c>
      <c r="C47" s="1">
        <v>141.696068</v>
      </c>
      <c r="D47" s="1">
        <v>-233.044057</v>
      </c>
      <c r="E47" s="1">
        <v>-112.983667</v>
      </c>
      <c r="F47" s="1">
        <v>-12.208409</v>
      </c>
      <c r="G47" s="1">
        <v>-3.500795</v>
      </c>
    </row>
    <row r="48" spans="2:7" ht="12.75">
      <c r="B48" s="1">
        <v>26</v>
      </c>
      <c r="C48" s="1">
        <v>141.696058</v>
      </c>
      <c r="D48" s="1">
        <v>-233.04406</v>
      </c>
      <c r="E48" s="1">
        <v>-112.983666</v>
      </c>
      <c r="F48" s="1">
        <v>-12.208409</v>
      </c>
      <c r="G48" s="1">
        <v>-3.500795</v>
      </c>
    </row>
    <row r="49" spans="2:7" ht="12.75">
      <c r="B49" s="1">
        <v>27</v>
      </c>
      <c r="C49" s="1">
        <v>141.696068</v>
      </c>
      <c r="D49" s="1">
        <v>-233.044057</v>
      </c>
      <c r="E49" s="1">
        <v>-112.983667</v>
      </c>
      <c r="F49" s="1">
        <v>-12.208409</v>
      </c>
      <c r="G49" s="1">
        <v>-3.500795</v>
      </c>
    </row>
    <row r="50" spans="2:7" ht="12.75">
      <c r="B50" s="1">
        <v>28</v>
      </c>
      <c r="C50" s="1">
        <v>170.858814</v>
      </c>
      <c r="D50" s="1">
        <v>-224.68156</v>
      </c>
      <c r="E50" s="1">
        <v>-115.372409</v>
      </c>
      <c r="F50" s="1">
        <v>-12.208409</v>
      </c>
      <c r="G50" s="1">
        <v>-3.500795</v>
      </c>
    </row>
    <row r="51" spans="2:7" ht="12.75">
      <c r="B51" s="1">
        <v>29</v>
      </c>
      <c r="C51" s="1">
        <v>170.858814</v>
      </c>
      <c r="D51" s="1">
        <v>-224.68156</v>
      </c>
      <c r="E51" s="1">
        <v>-115.372409</v>
      </c>
      <c r="F51" s="1">
        <v>-12.208409</v>
      </c>
      <c r="G51" s="1">
        <v>-3.500795</v>
      </c>
    </row>
    <row r="52" spans="2:7" ht="12.75">
      <c r="B52" s="1">
        <v>30</v>
      </c>
      <c r="C52" s="1">
        <v>170.859094</v>
      </c>
      <c r="D52" s="1">
        <v>-224.68148</v>
      </c>
      <c r="E52" s="1">
        <v>-115.372432</v>
      </c>
      <c r="F52" s="4">
        <v>-1.4E-05</v>
      </c>
      <c r="G52" s="1">
        <v>0.176326</v>
      </c>
    </row>
    <row r="53" spans="2:7" ht="12.75">
      <c r="B53" s="1">
        <v>31</v>
      </c>
      <c r="C53" s="1">
        <v>170.859094</v>
      </c>
      <c r="D53" s="1">
        <v>-224.681533</v>
      </c>
      <c r="E53" s="1">
        <v>-115.372733</v>
      </c>
      <c r="F53" s="4">
        <v>-1.4E-05</v>
      </c>
      <c r="G53" s="1">
        <v>0.176326</v>
      </c>
    </row>
    <row r="54" spans="2:7" ht="12.75">
      <c r="B54" s="1">
        <v>32</v>
      </c>
      <c r="C54" s="1">
        <v>170.859094</v>
      </c>
      <c r="D54" s="1">
        <v>-224.681107</v>
      </c>
      <c r="E54" s="1">
        <v>-115.370319</v>
      </c>
      <c r="F54" s="4">
        <v>-1.4E-05</v>
      </c>
      <c r="G54" s="1">
        <v>0.176326</v>
      </c>
    </row>
    <row r="55" spans="2:7" ht="12.75">
      <c r="B55" s="1">
        <v>33</v>
      </c>
      <c r="C55" s="1">
        <v>170.859094</v>
      </c>
      <c r="D55" s="1">
        <v>-224.681107</v>
      </c>
      <c r="E55" s="1">
        <v>-115.370319</v>
      </c>
      <c r="F55" s="4">
        <v>-1.4E-05</v>
      </c>
      <c r="G55" s="1">
        <v>0.176326</v>
      </c>
    </row>
    <row r="56" spans="2:7" ht="12.75">
      <c r="B56" s="1">
        <v>34</v>
      </c>
      <c r="C56" s="1">
        <v>170.859094</v>
      </c>
      <c r="D56" s="1">
        <v>-224.681091</v>
      </c>
      <c r="E56" s="1">
        <v>-115.37023</v>
      </c>
      <c r="F56" s="4">
        <v>-1.4E-05</v>
      </c>
      <c r="G56" s="1">
        <v>0.176326</v>
      </c>
    </row>
    <row r="57" spans="2:7" ht="12.75">
      <c r="B57" s="1">
        <v>35</v>
      </c>
      <c r="C57" s="1">
        <v>170.859883</v>
      </c>
      <c r="D57" s="1">
        <v>-234.57904</v>
      </c>
      <c r="E57" s="1">
        <v>-171.50445</v>
      </c>
      <c r="F57" s="4">
        <v>-1.4E-05</v>
      </c>
      <c r="G57" s="1">
        <v>0.176326</v>
      </c>
    </row>
    <row r="58" spans="2:7" ht="12.75">
      <c r="B58" s="1">
        <v>36</v>
      </c>
      <c r="C58" s="1">
        <v>170.859883</v>
      </c>
      <c r="D58" s="1">
        <v>-234.57904</v>
      </c>
      <c r="E58" s="1">
        <v>-171.50445</v>
      </c>
      <c r="F58" s="4">
        <v>-1.83E-05</v>
      </c>
      <c r="G58" s="1">
        <v>-0.577344</v>
      </c>
    </row>
    <row r="59" spans="2:7" ht="12.75">
      <c r="B59" s="1">
        <v>37</v>
      </c>
      <c r="C59" s="1">
        <v>170.859883</v>
      </c>
      <c r="D59" s="1">
        <v>-234.57904</v>
      </c>
      <c r="E59" s="1">
        <v>-171.50445</v>
      </c>
      <c r="F59" s="4">
        <v>-1.83E-05</v>
      </c>
      <c r="G59" s="1">
        <v>-0.577344</v>
      </c>
    </row>
    <row r="60" spans="2:7" ht="12.75">
      <c r="B60" s="1">
        <v>38</v>
      </c>
      <c r="C60" s="1">
        <v>170.859883</v>
      </c>
      <c r="D60" s="1">
        <v>-234.578952</v>
      </c>
      <c r="E60" s="1">
        <v>-171.504602</v>
      </c>
      <c r="F60" s="4">
        <v>-1.83E-05</v>
      </c>
      <c r="G60" s="1">
        <v>-0.577344</v>
      </c>
    </row>
    <row r="61" spans="2:7" ht="12.75">
      <c r="B61" s="1">
        <v>39</v>
      </c>
      <c r="C61" s="1">
        <v>170.857126</v>
      </c>
      <c r="D61" s="1">
        <v>-321.398179</v>
      </c>
      <c r="E61" s="1">
        <v>-21.12771</v>
      </c>
      <c r="F61" s="4">
        <v>-1.83E-05</v>
      </c>
      <c r="G61" s="1">
        <v>-0.577344</v>
      </c>
    </row>
    <row r="62" spans="2:7" ht="12.75">
      <c r="B62" s="1">
        <v>40</v>
      </c>
      <c r="C62" s="1">
        <v>170.857126</v>
      </c>
      <c r="D62" s="1">
        <v>-321.398267</v>
      </c>
      <c r="E62" s="1">
        <v>-21.127556</v>
      </c>
      <c r="F62" s="4">
        <v>-1.83E-05</v>
      </c>
      <c r="G62" s="1">
        <v>-0.577344</v>
      </c>
    </row>
    <row r="63" spans="2:7" ht="12.75">
      <c r="B63" s="1">
        <v>41</v>
      </c>
      <c r="C63" s="1">
        <v>170.856491</v>
      </c>
      <c r="D63" s="1">
        <v>-341.398109</v>
      </c>
      <c r="E63" s="1">
        <v>13.513551</v>
      </c>
      <c r="F63" s="4">
        <v>-1.83E-05</v>
      </c>
      <c r="G63" s="1">
        <v>-0.577344</v>
      </c>
    </row>
    <row r="64" spans="2:7" ht="12.75">
      <c r="B64" s="1">
        <v>42</v>
      </c>
      <c r="C64" s="1">
        <v>170.856491</v>
      </c>
      <c r="D64" s="1">
        <v>-341.398109</v>
      </c>
      <c r="E64" s="1">
        <v>13.513551</v>
      </c>
      <c r="F64" s="4">
        <v>-1.83E-05</v>
      </c>
      <c r="G64" s="1">
        <v>-0.577344</v>
      </c>
    </row>
    <row r="65" spans="2:7" ht="12.75">
      <c r="B65" s="1">
        <v>43</v>
      </c>
      <c r="C65" s="1">
        <v>170.854376</v>
      </c>
      <c r="D65" s="1">
        <v>-407.997437</v>
      </c>
      <c r="E65" s="1">
        <v>128.868184</v>
      </c>
      <c r="F65" s="4">
        <v>-1.26E-06</v>
      </c>
      <c r="G65" s="4">
        <v>4.19E-06</v>
      </c>
    </row>
    <row r="66" spans="2:7" ht="12.75">
      <c r="B66" s="1">
        <v>44</v>
      </c>
      <c r="C66" s="1">
        <v>170.854376</v>
      </c>
      <c r="D66" s="1">
        <v>-407.997437</v>
      </c>
      <c r="E66" s="1">
        <v>128.86789</v>
      </c>
      <c r="F66" s="4">
        <v>-1.26E-06</v>
      </c>
      <c r="G66" s="4">
        <v>4.19E-06</v>
      </c>
    </row>
    <row r="67" spans="2:7" ht="12.75">
      <c r="B67" s="1">
        <v>45</v>
      </c>
      <c r="C67" s="1">
        <v>168.534517</v>
      </c>
      <c r="D67" s="4">
        <v>1000000</v>
      </c>
      <c r="E67" s="1">
        <v>-21.13211</v>
      </c>
      <c r="F67" s="1">
        <v>-0.000806</v>
      </c>
      <c r="G67" s="1">
        <v>0.000746</v>
      </c>
    </row>
    <row r="68" spans="2:7" ht="12.75">
      <c r="B68" s="1">
        <v>46</v>
      </c>
      <c r="C68" s="1">
        <v>170.854534</v>
      </c>
      <c r="D68" s="1">
        <v>-407.997961</v>
      </c>
      <c r="E68" s="1">
        <v>3.868462</v>
      </c>
      <c r="F68" s="1">
        <v>-0.30052</v>
      </c>
      <c r="G68" s="4">
        <v>239000</v>
      </c>
    </row>
    <row r="69" spans="2:7" ht="12.75">
      <c r="B69" s="1">
        <v>47</v>
      </c>
      <c r="C69" s="1">
        <v>170.854534</v>
      </c>
      <c r="D69" s="1">
        <v>-407.998533</v>
      </c>
      <c r="E69" s="1">
        <v>3.868462</v>
      </c>
      <c r="F69" s="1">
        <v>-0.30052</v>
      </c>
      <c r="G69" s="4">
        <v>239000</v>
      </c>
    </row>
    <row r="70" spans="2:7" ht="12.75">
      <c r="B70" s="1">
        <v>48</v>
      </c>
      <c r="C70" s="1">
        <v>170.854565</v>
      </c>
      <c r="D70" s="1">
        <v>-432.998533</v>
      </c>
      <c r="E70" s="1">
        <v>3.868358</v>
      </c>
      <c r="F70" s="1">
        <v>-0.30052</v>
      </c>
      <c r="G70" s="4">
        <v>239000</v>
      </c>
    </row>
    <row r="71" spans="2:7" ht="12.75">
      <c r="B71" s="1">
        <v>49</v>
      </c>
      <c r="C71" s="1">
        <v>170.854565</v>
      </c>
      <c r="D71" s="1">
        <v>-432.998533</v>
      </c>
      <c r="E71" s="1">
        <v>3.868358</v>
      </c>
      <c r="F71" s="1">
        <v>-0.30052</v>
      </c>
      <c r="G71" s="4">
        <v>239000</v>
      </c>
    </row>
    <row r="72" spans="2:7" ht="12.75">
      <c r="B72" s="1">
        <v>50</v>
      </c>
      <c r="C72" s="1">
        <v>168.546847</v>
      </c>
      <c r="D72" s="4">
        <v>-708000</v>
      </c>
      <c r="E72" s="4">
        <v>707000</v>
      </c>
      <c r="F72" s="1">
        <v>-1.080066</v>
      </c>
      <c r="G72" s="1">
        <v>1340.341805</v>
      </c>
    </row>
    <row r="73" spans="2:7" ht="12.75">
      <c r="B73" s="1">
        <v>51</v>
      </c>
      <c r="C73" s="1">
        <v>170.858759</v>
      </c>
      <c r="D73" s="1">
        <v>-457.998896</v>
      </c>
      <c r="E73" s="1">
        <v>3.871196</v>
      </c>
      <c r="F73" s="4">
        <v>-1.26E-06</v>
      </c>
      <c r="G73" s="4">
        <v>4.19E-06</v>
      </c>
    </row>
    <row r="74" spans="2:7" ht="12.75">
      <c r="B74" s="1">
        <v>52</v>
      </c>
      <c r="C74" s="1">
        <v>-1857.546822</v>
      </c>
      <c r="D74" s="4">
        <v>-708000</v>
      </c>
      <c r="E74" s="4">
        <v>707000</v>
      </c>
      <c r="F74" s="1">
        <v>-1.417942</v>
      </c>
      <c r="G74" s="1">
        <v>-1.002283</v>
      </c>
    </row>
    <row r="75" spans="2:7" ht="12.75">
      <c r="B75" s="1">
        <v>53</v>
      </c>
      <c r="C75" s="1">
        <v>170.854597</v>
      </c>
      <c r="D75" s="1">
        <v>-457.995952</v>
      </c>
      <c r="E75" s="1">
        <v>3.868253</v>
      </c>
      <c r="F75" s="1">
        <v>1.414228</v>
      </c>
      <c r="G75" s="1">
        <v>-1.000004</v>
      </c>
    </row>
    <row r="76" spans="2:7" ht="12.75">
      <c r="B76" s="1">
        <v>54</v>
      </c>
      <c r="C76" s="1">
        <v>168.554662</v>
      </c>
      <c r="D76" s="4">
        <v>-1000000</v>
      </c>
      <c r="E76" s="1">
        <v>3.867173</v>
      </c>
      <c r="F76" s="1">
        <v>0.000806</v>
      </c>
      <c r="G76" s="1">
        <v>0.000746</v>
      </c>
    </row>
    <row r="77" spans="2:7" ht="12.75">
      <c r="B77" s="1">
        <v>55</v>
      </c>
      <c r="C77" s="1">
        <v>168.534517</v>
      </c>
      <c r="D77" s="4">
        <v>-1000000</v>
      </c>
      <c r="E77" s="1">
        <v>-21.132827</v>
      </c>
      <c r="F77" s="1">
        <v>0.000806</v>
      </c>
      <c r="G77" s="1">
        <v>0.000746</v>
      </c>
    </row>
    <row r="78" spans="2:7" ht="12.75">
      <c r="B78" s="1">
        <v>56</v>
      </c>
      <c r="C78" s="1">
        <v>170.858602</v>
      </c>
      <c r="D78" s="1">
        <v>-457.998372</v>
      </c>
      <c r="E78" s="1">
        <v>128.867847</v>
      </c>
      <c r="F78" s="4">
        <v>1.8E-05</v>
      </c>
      <c r="G78" s="1">
        <v>0.577346</v>
      </c>
    </row>
    <row r="79" spans="2:7" ht="12.75">
      <c r="B79" s="1">
        <v>57</v>
      </c>
      <c r="C79" s="1">
        <v>170.858602</v>
      </c>
      <c r="D79" s="1">
        <v>-457.998394</v>
      </c>
      <c r="E79" s="1">
        <v>128.86781</v>
      </c>
      <c r="F79" s="4">
        <v>1.8E-05</v>
      </c>
      <c r="G79" s="1">
        <v>0.577346</v>
      </c>
    </row>
    <row r="80" spans="2:7" ht="12.75">
      <c r="B80" s="1">
        <v>58</v>
      </c>
      <c r="C80" s="1">
        <v>170.85653</v>
      </c>
      <c r="D80" s="1">
        <v>-524.598058</v>
      </c>
      <c r="E80" s="1">
        <v>13.513032</v>
      </c>
      <c r="F80" s="4">
        <v>1.8E-05</v>
      </c>
      <c r="G80" s="1">
        <v>0.577346</v>
      </c>
    </row>
    <row r="81" spans="2:7" ht="12.75">
      <c r="B81" s="1">
        <v>59</v>
      </c>
      <c r="C81" s="1">
        <v>170.85653</v>
      </c>
      <c r="D81" s="1">
        <v>-524.598058</v>
      </c>
      <c r="E81" s="1">
        <v>13.513032</v>
      </c>
      <c r="F81" s="4">
        <v>1.8E-05</v>
      </c>
      <c r="G81" s="1">
        <v>0.577346</v>
      </c>
    </row>
    <row r="82" spans="2:7" ht="12.75">
      <c r="B82" s="1">
        <v>60</v>
      </c>
      <c r="C82" s="1">
        <v>170.855908</v>
      </c>
      <c r="D82" s="1">
        <v>-544.597766</v>
      </c>
      <c r="E82" s="1">
        <v>-21.12771</v>
      </c>
      <c r="F82" s="4">
        <v>-1.8E-05</v>
      </c>
      <c r="G82" s="1">
        <v>-0.577346</v>
      </c>
    </row>
    <row r="83" spans="2:7" ht="12.75">
      <c r="B83" s="1">
        <v>61</v>
      </c>
      <c r="C83" s="1">
        <v>170.855908</v>
      </c>
      <c r="D83" s="1">
        <v>-544.597958</v>
      </c>
      <c r="E83" s="1">
        <v>-21.127377</v>
      </c>
      <c r="F83" s="4">
        <v>-1.8E-05</v>
      </c>
      <c r="G83" s="1">
        <v>-0.577346</v>
      </c>
    </row>
    <row r="84" spans="2:7" ht="12.75">
      <c r="B84" s="1">
        <v>62</v>
      </c>
      <c r="C84" s="1">
        <v>170.853544</v>
      </c>
      <c r="D84" s="1">
        <v>-620.587374</v>
      </c>
      <c r="E84" s="1">
        <v>110.491036</v>
      </c>
      <c r="F84" s="4">
        <v>-1.8E-05</v>
      </c>
      <c r="G84" s="1">
        <v>-0.577346</v>
      </c>
    </row>
    <row r="85" spans="2:7" ht="12.75">
      <c r="B85" s="1">
        <v>63</v>
      </c>
      <c r="C85" s="1">
        <v>170.853544</v>
      </c>
      <c r="D85" s="1">
        <v>-620.587374</v>
      </c>
      <c r="E85" s="1">
        <v>110.491035</v>
      </c>
      <c r="F85" s="4">
        <v>-1.95E-05</v>
      </c>
      <c r="G85" s="1">
        <v>0.176336</v>
      </c>
    </row>
    <row r="86" spans="2:7" ht="12.75">
      <c r="B86" s="1">
        <v>64</v>
      </c>
      <c r="C86" s="1">
        <v>170.853544</v>
      </c>
      <c r="D86" s="1">
        <v>-620.587374</v>
      </c>
      <c r="E86" s="1">
        <v>110.491036</v>
      </c>
      <c r="F86" s="4">
        <v>-1.95E-05</v>
      </c>
      <c r="G86" s="1">
        <v>0.176336</v>
      </c>
    </row>
    <row r="87" spans="2:7" ht="12.75">
      <c r="B87" s="1">
        <v>65</v>
      </c>
      <c r="C87" s="1">
        <v>170.853544</v>
      </c>
      <c r="D87" s="1">
        <v>-620.587444</v>
      </c>
      <c r="E87" s="1">
        <v>110.490639</v>
      </c>
      <c r="F87" s="4">
        <v>-1.95E-05</v>
      </c>
      <c r="G87" s="1">
        <v>0.176336</v>
      </c>
    </row>
    <row r="88" spans="2:7" ht="12.75">
      <c r="B88" s="1">
        <v>66</v>
      </c>
      <c r="C88" s="1">
        <v>170.854694</v>
      </c>
      <c r="D88" s="1">
        <v>-631.006879</v>
      </c>
      <c r="E88" s="1">
        <v>51.40227</v>
      </c>
      <c r="F88" s="4">
        <v>-1.95E-05</v>
      </c>
      <c r="G88" s="1">
        <v>0.176336</v>
      </c>
    </row>
    <row r="89" spans="2:7" ht="12.75">
      <c r="B89" s="1">
        <v>67</v>
      </c>
      <c r="C89" s="1">
        <v>170.855319</v>
      </c>
      <c r="D89" s="1">
        <v>-636.662659</v>
      </c>
      <c r="E89" s="1">
        <v>19.328471</v>
      </c>
      <c r="F89" s="1">
        <v>-57841.55084</v>
      </c>
      <c r="G89" s="1">
        <v>0.717173</v>
      </c>
    </row>
    <row r="90" spans="2:7" ht="12.75">
      <c r="B90" s="1">
        <v>68</v>
      </c>
      <c r="C90" s="1">
        <v>170.856678</v>
      </c>
      <c r="D90" s="1">
        <v>-636.662659</v>
      </c>
      <c r="E90" s="1">
        <v>19.328471</v>
      </c>
      <c r="F90" s="1">
        <v>-57841.55083</v>
      </c>
      <c r="G90" s="1">
        <v>0.717173</v>
      </c>
    </row>
    <row r="91" spans="2:7" ht="12.75">
      <c r="B91" s="1">
        <v>69</v>
      </c>
      <c r="C91" s="1">
        <v>250.856678</v>
      </c>
      <c r="D91" s="1">
        <v>-636.663651</v>
      </c>
      <c r="E91" s="1">
        <v>19.327088</v>
      </c>
      <c r="F91" s="1">
        <v>-57841.55083</v>
      </c>
      <c r="G91" s="1">
        <v>0.717173</v>
      </c>
    </row>
    <row r="92" spans="2:5" ht="12.75">
      <c r="B92" s="1">
        <v>70</v>
      </c>
      <c r="C92" s="1">
        <v>250.856678</v>
      </c>
      <c r="D92" s="1">
        <v>-636.663651</v>
      </c>
      <c r="E92" s="1">
        <v>19.327088</v>
      </c>
    </row>
    <row r="93" ht="12.75">
      <c r="B93" s="1" t="s">
        <v>39</v>
      </c>
    </row>
    <row r="94" ht="12.75">
      <c r="B94" s="1" t="s">
        <v>39</v>
      </c>
    </row>
    <row r="95" spans="2:4" ht="12.75">
      <c r="B95" s="1" t="s">
        <v>39</v>
      </c>
      <c r="C95" s="1" t="s">
        <v>85</v>
      </c>
      <c r="D95" s="1" t="s">
        <v>86</v>
      </c>
    </row>
  </sheetData>
  <printOptions/>
  <pageMargins left="0.7874015748031497" right="0.7874015748031497" top="0.69" bottom="0.56" header="0.5118110236220472" footer="0.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410</v>
      </c>
    </row>
    <row r="6" spans="2:3" ht="12.75">
      <c r="B6" s="1" t="s">
        <v>39</v>
      </c>
      <c r="C6" s="1" t="s">
        <v>48</v>
      </c>
    </row>
    <row r="7" spans="2:3" ht="12.75">
      <c r="B7" s="2">
        <v>36907</v>
      </c>
      <c r="C7" s="3">
        <v>0.7617476851851852</v>
      </c>
    </row>
    <row r="8" ht="12.75">
      <c r="B8" s="1" t="s">
        <v>39</v>
      </c>
    </row>
    <row r="9" spans="2:10" ht="12.75">
      <c r="B9" s="1" t="s">
        <v>39</v>
      </c>
      <c r="C9" s="1" t="s">
        <v>49</v>
      </c>
      <c r="D9" s="1">
        <v>2</v>
      </c>
      <c r="E9" s="1" t="s">
        <v>87</v>
      </c>
      <c r="F9" s="1">
        <v>0</v>
      </c>
      <c r="G9" s="1">
        <v>0</v>
      </c>
      <c r="H9" s="1" t="s">
        <v>50</v>
      </c>
      <c r="I9" s="1" t="s">
        <v>88</v>
      </c>
      <c r="J9" s="1" t="s">
        <v>51</v>
      </c>
    </row>
    <row r="10" spans="2:8" ht="12.75">
      <c r="B10" s="1" t="s">
        <v>44</v>
      </c>
      <c r="C10" s="1" t="s">
        <v>46</v>
      </c>
      <c r="D10" s="1" t="s">
        <v>47</v>
      </c>
      <c r="E10" s="1" t="s">
        <v>410</v>
      </c>
      <c r="F10" s="1">
        <v>238</v>
      </c>
      <c r="G10" s="2">
        <v>36907</v>
      </c>
      <c r="H10" s="3">
        <v>0.7617476851851852</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-0.2026</v>
      </c>
      <c r="G16" s="1" t="s">
        <v>67</v>
      </c>
      <c r="H16" s="1">
        <v>-2.2892</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11.427556</v>
      </c>
      <c r="D23" s="1">
        <v>55.801639</v>
      </c>
      <c r="E23" s="1">
        <v>-1050.074415</v>
      </c>
      <c r="F23" s="1">
        <v>-0.000666</v>
      </c>
      <c r="G23" s="1">
        <v>-0.003252</v>
      </c>
    </row>
    <row r="24" spans="2:7" ht="12.75">
      <c r="B24" s="1">
        <v>2</v>
      </c>
      <c r="C24" s="1">
        <v>-0.406484</v>
      </c>
      <c r="D24" s="1">
        <v>-1.984891</v>
      </c>
      <c r="E24" s="1">
        <v>16720.938</v>
      </c>
      <c r="F24" s="1">
        <v>-0.000666</v>
      </c>
      <c r="G24" s="1">
        <v>-0.003252</v>
      </c>
    </row>
    <row r="25" spans="2:7" ht="12.75">
      <c r="B25" s="1">
        <v>3</v>
      </c>
      <c r="C25" s="1">
        <v>-0.406484</v>
      </c>
      <c r="D25" s="1">
        <v>-1.984891</v>
      </c>
      <c r="E25" s="1">
        <v>16720.938</v>
      </c>
      <c r="F25" s="1">
        <v>-0.000666</v>
      </c>
      <c r="G25" s="1">
        <v>-0.003252</v>
      </c>
    </row>
    <row r="26" spans="2:7" ht="12.75">
      <c r="B26" s="1">
        <v>4</v>
      </c>
      <c r="C26" s="1">
        <v>11.427614</v>
      </c>
      <c r="D26" s="1">
        <v>55.801923</v>
      </c>
      <c r="E26" s="1">
        <v>-1050.162</v>
      </c>
      <c r="F26" s="1">
        <v>-0.000666</v>
      </c>
      <c r="G26" s="1">
        <v>-0.003252</v>
      </c>
    </row>
    <row r="27" spans="2:7" ht="12.75">
      <c r="B27" s="1">
        <v>5</v>
      </c>
      <c r="C27" s="1">
        <v>12.75945</v>
      </c>
      <c r="D27" s="1">
        <v>62.305383</v>
      </c>
      <c r="E27" s="1">
        <v>-3050.162</v>
      </c>
      <c r="F27" s="1">
        <v>-0.000666</v>
      </c>
      <c r="G27" s="1">
        <v>-0.003252</v>
      </c>
    </row>
    <row r="28" spans="2:7" ht="12.75">
      <c r="B28" s="1">
        <v>6</v>
      </c>
      <c r="C28" s="1">
        <v>11.427923</v>
      </c>
      <c r="D28" s="1">
        <v>55.803431</v>
      </c>
      <c r="E28" s="1">
        <v>-1050.625517</v>
      </c>
      <c r="F28" s="1">
        <v>0.007199</v>
      </c>
      <c r="G28" s="1">
        <v>0.035152</v>
      </c>
    </row>
    <row r="29" spans="2:7" ht="12.75">
      <c r="B29" s="1">
        <v>7</v>
      </c>
      <c r="C29" s="4">
        <v>3.55E-15</v>
      </c>
      <c r="D29" s="4">
        <v>1.42E-14</v>
      </c>
      <c r="E29" s="1">
        <v>-2638.131</v>
      </c>
      <c r="F29" s="1">
        <v>-0.007199</v>
      </c>
      <c r="G29" s="1">
        <v>-0.035152</v>
      </c>
    </row>
    <row r="30" spans="2:7" ht="12.75">
      <c r="B30" s="1">
        <v>8</v>
      </c>
      <c r="C30" s="1">
        <v>-11.431259</v>
      </c>
      <c r="D30" s="1">
        <v>-55.819724</v>
      </c>
      <c r="E30" s="1">
        <v>-1050.162</v>
      </c>
      <c r="F30" s="1">
        <v>-0.007199</v>
      </c>
      <c r="G30" s="1">
        <v>-0.035152</v>
      </c>
    </row>
    <row r="31" spans="2:7" ht="12.75">
      <c r="B31" s="1">
        <v>9</v>
      </c>
      <c r="C31" s="1">
        <v>-18.784562</v>
      </c>
      <c r="D31" s="1">
        <v>-91.72647</v>
      </c>
      <c r="E31" s="1">
        <v>-28.68079</v>
      </c>
      <c r="F31" s="1">
        <v>-0.007199</v>
      </c>
      <c r="G31" s="1">
        <v>-0.035152</v>
      </c>
    </row>
    <row r="32" spans="2:7" ht="12.75">
      <c r="B32" s="1">
        <v>10</v>
      </c>
      <c r="C32" s="1">
        <v>-18.990607</v>
      </c>
      <c r="D32" s="1">
        <v>-92.732603</v>
      </c>
      <c r="E32" s="1">
        <v>-0.058139</v>
      </c>
      <c r="F32" s="1">
        <v>-0.007199</v>
      </c>
      <c r="G32" s="1">
        <v>-0.035152</v>
      </c>
    </row>
    <row r="33" spans="2:7" ht="12.75">
      <c r="B33" s="1">
        <v>11</v>
      </c>
      <c r="C33" s="1">
        <v>-19.500476</v>
      </c>
      <c r="D33" s="1">
        <v>-95.222336</v>
      </c>
      <c r="E33" s="1">
        <v>70.770194</v>
      </c>
      <c r="F33" s="1">
        <v>-0.105458</v>
      </c>
      <c r="G33" s="1">
        <v>0.56735</v>
      </c>
    </row>
    <row r="34" spans="2:7" ht="12.75">
      <c r="B34" s="1">
        <v>12</v>
      </c>
      <c r="C34" s="1">
        <v>-19.586621</v>
      </c>
      <c r="D34" s="1">
        <v>-94.75889</v>
      </c>
      <c r="E34" s="1">
        <v>71.587053</v>
      </c>
      <c r="F34" s="1">
        <v>-0.105458</v>
      </c>
      <c r="G34" s="1">
        <v>0.56735</v>
      </c>
    </row>
    <row r="35" spans="2:7" ht="12.75">
      <c r="B35" s="1">
        <v>13</v>
      </c>
      <c r="C35" s="1">
        <v>-0.002619</v>
      </c>
      <c r="D35" s="1">
        <v>-200.11827</v>
      </c>
      <c r="E35" s="1">
        <v>-114.117194</v>
      </c>
      <c r="F35" s="1">
        <v>-0.105458</v>
      </c>
      <c r="G35" s="1">
        <v>0.56735</v>
      </c>
    </row>
    <row r="36" spans="2:7" ht="12.75">
      <c r="B36" s="1">
        <v>14</v>
      </c>
      <c r="C36" s="1">
        <v>-0.002619</v>
      </c>
      <c r="D36" s="1">
        <v>-200.11827</v>
      </c>
      <c r="E36" s="1">
        <v>-114.117194</v>
      </c>
      <c r="F36" s="1">
        <v>0.092284</v>
      </c>
      <c r="G36" s="1">
        <v>0.110726</v>
      </c>
    </row>
    <row r="37" spans="2:7" ht="12.75">
      <c r="B37" s="1">
        <v>15</v>
      </c>
      <c r="C37" s="1">
        <v>-0.002619</v>
      </c>
      <c r="D37" s="1">
        <v>-200.11827</v>
      </c>
      <c r="E37" s="1">
        <v>-114.117194</v>
      </c>
      <c r="F37" s="1">
        <v>0.092284</v>
      </c>
      <c r="G37" s="1">
        <v>0.110726</v>
      </c>
    </row>
    <row r="38" spans="2:7" ht="12.75">
      <c r="B38" s="1">
        <v>16</v>
      </c>
      <c r="C38" s="1">
        <v>-0.003126</v>
      </c>
      <c r="D38" s="1">
        <v>-200.118878</v>
      </c>
      <c r="E38" s="1">
        <v>-114.122683</v>
      </c>
      <c r="F38" s="1">
        <v>0.092284</v>
      </c>
      <c r="G38" s="1">
        <v>0.110726</v>
      </c>
    </row>
    <row r="39" spans="2:7" ht="12.75">
      <c r="B39" s="1">
        <v>17</v>
      </c>
      <c r="C39" s="1">
        <v>18.0297</v>
      </c>
      <c r="D39" s="1">
        <v>-178.482563</v>
      </c>
      <c r="E39" s="1">
        <v>81.282101</v>
      </c>
      <c r="F39" s="1">
        <v>0.040144</v>
      </c>
      <c r="G39" s="1">
        <v>0.455486</v>
      </c>
    </row>
    <row r="40" spans="2:7" ht="12.75">
      <c r="B40" s="1">
        <v>18</v>
      </c>
      <c r="C40" s="1">
        <v>18.042666</v>
      </c>
      <c r="D40" s="1">
        <v>-178.335449</v>
      </c>
      <c r="E40" s="1">
        <v>81.605082</v>
      </c>
      <c r="F40" s="1">
        <v>0.040144</v>
      </c>
      <c r="G40" s="1">
        <v>0.455486</v>
      </c>
    </row>
    <row r="41" spans="2:7" ht="12.75">
      <c r="B41" s="1">
        <v>19</v>
      </c>
      <c r="C41" s="1">
        <v>10.994499</v>
      </c>
      <c r="D41" s="1">
        <v>-258.30578</v>
      </c>
      <c r="E41" s="1">
        <v>-93.966358</v>
      </c>
      <c r="F41" s="1">
        <v>0.040144</v>
      </c>
      <c r="G41" s="1">
        <v>0.455486</v>
      </c>
    </row>
    <row r="42" spans="2:7" ht="12.75">
      <c r="B42" s="1">
        <v>20</v>
      </c>
      <c r="C42" s="1">
        <v>10.973657</v>
      </c>
      <c r="D42" s="1">
        <v>-258.542261</v>
      </c>
      <c r="E42" s="1">
        <v>-94.485541</v>
      </c>
      <c r="F42" s="1">
        <v>0.022597</v>
      </c>
      <c r="G42" s="1">
        <v>-0.094222</v>
      </c>
    </row>
    <row r="43" spans="2:7" ht="12.75">
      <c r="B43" s="1">
        <v>21</v>
      </c>
      <c r="C43" s="1">
        <v>10.983347</v>
      </c>
      <c r="D43" s="1">
        <v>-258.582662</v>
      </c>
      <c r="E43" s="1">
        <v>-94.056751</v>
      </c>
      <c r="F43" s="1">
        <v>0.022597</v>
      </c>
      <c r="G43" s="1">
        <v>-0.094222</v>
      </c>
    </row>
    <row r="44" spans="2:7" ht="12.75">
      <c r="B44" s="1">
        <v>22</v>
      </c>
      <c r="C44" s="1">
        <v>15.521875</v>
      </c>
      <c r="D44" s="1">
        <v>-277.506548</v>
      </c>
      <c r="E44" s="1">
        <v>106.787347</v>
      </c>
      <c r="F44" s="1">
        <v>0.08344</v>
      </c>
      <c r="G44" s="1">
        <v>0.82359</v>
      </c>
    </row>
    <row r="45" spans="2:7" ht="12.75">
      <c r="B45" s="1">
        <v>23</v>
      </c>
      <c r="C45" s="1">
        <v>15.490912</v>
      </c>
      <c r="D45" s="1">
        <v>-277.812169</v>
      </c>
      <c r="E45" s="1">
        <v>106.416262</v>
      </c>
      <c r="F45" s="1">
        <v>0.08344</v>
      </c>
      <c r="G45" s="1">
        <v>0.82359</v>
      </c>
    </row>
    <row r="46" spans="2:7" ht="12.75">
      <c r="B46" s="1">
        <v>24</v>
      </c>
      <c r="C46" s="1">
        <v>3.403216</v>
      </c>
      <c r="D46" s="1">
        <v>-397.122812</v>
      </c>
      <c r="E46" s="1">
        <v>-38.450296</v>
      </c>
      <c r="F46" s="1">
        <v>-0.069661</v>
      </c>
      <c r="G46" s="1">
        <v>-1.088966</v>
      </c>
    </row>
    <row r="47" spans="2:7" ht="12.75">
      <c r="B47" s="1">
        <v>25</v>
      </c>
      <c r="C47" s="1">
        <v>3.386021</v>
      </c>
      <c r="D47" s="1">
        <v>-397.391603</v>
      </c>
      <c r="E47" s="1">
        <v>-38.203465</v>
      </c>
      <c r="F47" s="1">
        <v>-0.069661</v>
      </c>
      <c r="G47" s="1">
        <v>-1.088966</v>
      </c>
    </row>
    <row r="48" spans="2:7" ht="12.75">
      <c r="B48" s="1">
        <v>26</v>
      </c>
      <c r="C48" s="1">
        <v>0.087781</v>
      </c>
      <c r="D48" s="1">
        <v>-448.950976</v>
      </c>
      <c r="E48" s="1">
        <v>9.143638</v>
      </c>
      <c r="F48" s="1">
        <v>-0.069661</v>
      </c>
      <c r="G48" s="1">
        <v>-1.088966</v>
      </c>
    </row>
    <row r="49" spans="2:7" ht="12.75">
      <c r="B49" s="1">
        <v>27</v>
      </c>
      <c r="C49" s="1">
        <v>-6.04551</v>
      </c>
      <c r="D49" s="1">
        <v>-544.828974</v>
      </c>
      <c r="E49" s="1">
        <v>97.188646</v>
      </c>
      <c r="F49" s="1">
        <v>0.014846</v>
      </c>
      <c r="G49" s="1">
        <v>-0.124712</v>
      </c>
    </row>
    <row r="50" spans="2:7" ht="12.75">
      <c r="B50" s="1">
        <v>28</v>
      </c>
      <c r="C50" s="1">
        <v>-6.041554</v>
      </c>
      <c r="D50" s="1">
        <v>-544.862206</v>
      </c>
      <c r="E50" s="1">
        <v>97.455115</v>
      </c>
      <c r="F50" s="1">
        <v>0.014846</v>
      </c>
      <c r="G50" s="1">
        <v>-0.124712</v>
      </c>
    </row>
    <row r="51" spans="2:7" ht="12.75">
      <c r="B51" s="1">
        <v>29</v>
      </c>
      <c r="C51" s="1">
        <v>-10.755735</v>
      </c>
      <c r="D51" s="1">
        <v>-505.261042</v>
      </c>
      <c r="E51" s="1">
        <v>-220.085158</v>
      </c>
      <c r="F51" s="1">
        <v>0.014846</v>
      </c>
      <c r="G51" s="1">
        <v>-0.124712</v>
      </c>
    </row>
    <row r="52" spans="2:7" ht="12.75">
      <c r="B52" s="1">
        <v>30</v>
      </c>
      <c r="C52" s="1">
        <v>-10.755735</v>
      </c>
      <c r="D52" s="1">
        <v>-505.261042</v>
      </c>
      <c r="E52" s="1">
        <v>-220.085158</v>
      </c>
      <c r="F52" s="1">
        <v>0.014846</v>
      </c>
      <c r="G52" s="1">
        <v>-0.124712</v>
      </c>
    </row>
    <row r="53" spans="2:7" ht="12.75">
      <c r="B53" s="1">
        <v>31</v>
      </c>
      <c r="C53" s="1">
        <v>-8.033705</v>
      </c>
      <c r="D53" s="1">
        <v>-528.127272</v>
      </c>
      <c r="E53" s="1">
        <v>-36.733246</v>
      </c>
      <c r="F53" s="1">
        <v>-0.020212</v>
      </c>
      <c r="G53" s="1">
        <v>-0.939339</v>
      </c>
    </row>
    <row r="54" spans="2:7" ht="12.75">
      <c r="B54" s="1">
        <v>32</v>
      </c>
      <c r="C54" s="1">
        <v>-7.956233</v>
      </c>
      <c r="D54" s="1">
        <v>-524.526814</v>
      </c>
      <c r="E54" s="1">
        <v>-40.566217</v>
      </c>
      <c r="F54" s="1">
        <v>-0.020212</v>
      </c>
      <c r="G54" s="1">
        <v>-0.939339</v>
      </c>
    </row>
    <row r="55" spans="2:7" ht="12.75">
      <c r="B55" s="1">
        <v>33</v>
      </c>
      <c r="C55" s="1">
        <v>-8.111177</v>
      </c>
      <c r="D55" s="1">
        <v>-531.727731</v>
      </c>
      <c r="E55" s="1">
        <v>-32.900276</v>
      </c>
      <c r="F55" s="1">
        <v>-0.020212</v>
      </c>
      <c r="G55" s="1">
        <v>-0.939339</v>
      </c>
    </row>
    <row r="56" spans="2:7" ht="12.75">
      <c r="B56" s="1">
        <v>34</v>
      </c>
      <c r="C56" s="1">
        <v>-8.033705</v>
      </c>
      <c r="D56" s="1">
        <v>-528.127272</v>
      </c>
      <c r="E56" s="1">
        <v>-36.733246</v>
      </c>
      <c r="F56" s="1">
        <v>-0.020212</v>
      </c>
      <c r="G56" s="1">
        <v>-0.939339</v>
      </c>
    </row>
    <row r="57" spans="2:7" ht="12.75">
      <c r="B57" s="1">
        <v>35</v>
      </c>
      <c r="C57" s="1">
        <v>-8.030349</v>
      </c>
      <c r="D57" s="1">
        <v>-527.971302</v>
      </c>
      <c r="E57" s="1">
        <v>-36.89929</v>
      </c>
      <c r="F57" s="1">
        <v>-0.020212</v>
      </c>
      <c r="G57" s="1">
        <v>-0.939339</v>
      </c>
    </row>
    <row r="58" spans="2:7" ht="12.75">
      <c r="B58" s="1">
        <v>36</v>
      </c>
      <c r="C58" s="1">
        <v>-10.168951</v>
      </c>
      <c r="D58" s="1">
        <v>-627.36187</v>
      </c>
      <c r="E58" s="1">
        <v>68.909762</v>
      </c>
      <c r="F58" s="1">
        <v>-98.506828</v>
      </c>
      <c r="G58" s="1">
        <v>-1.055117</v>
      </c>
    </row>
    <row r="59" spans="2:7" ht="12.75">
      <c r="B59" s="1">
        <v>37</v>
      </c>
      <c r="C59" s="4">
        <v>3.59E-09</v>
      </c>
      <c r="D59" s="1">
        <v>-627.252949</v>
      </c>
      <c r="E59" s="1">
        <v>68.806531</v>
      </c>
      <c r="F59" s="1">
        <v>-98.506828</v>
      </c>
      <c r="G59" s="1">
        <v>-1.055117</v>
      </c>
    </row>
    <row r="60" spans="2:7" ht="12.75">
      <c r="B60" s="1">
        <v>38</v>
      </c>
      <c r="C60" s="1">
        <v>-50</v>
      </c>
      <c r="D60" s="1">
        <v>-627.788504</v>
      </c>
      <c r="E60" s="1">
        <v>69.31411</v>
      </c>
      <c r="F60" s="1">
        <v>-98.506828</v>
      </c>
      <c r="G60" s="1">
        <v>-1.055117</v>
      </c>
    </row>
    <row r="61" spans="2:7" ht="12.75">
      <c r="B61" s="1">
        <v>39</v>
      </c>
      <c r="C61" s="1">
        <v>-34.14</v>
      </c>
      <c r="D61" s="1">
        <v>-627.618626</v>
      </c>
      <c r="E61" s="1">
        <v>69.153106</v>
      </c>
      <c r="F61" s="1">
        <v>-98.506828</v>
      </c>
      <c r="G61" s="1">
        <v>-1.055117</v>
      </c>
    </row>
    <row r="62" spans="2:7" ht="12.75">
      <c r="B62" s="1">
        <v>40</v>
      </c>
      <c r="C62" s="1">
        <v>-29.14</v>
      </c>
      <c r="D62" s="1">
        <v>-627.565071</v>
      </c>
      <c r="E62" s="1">
        <v>69.102348</v>
      </c>
      <c r="F62" s="1">
        <v>-98.506828</v>
      </c>
      <c r="G62" s="1">
        <v>-1.055117</v>
      </c>
    </row>
    <row r="63" spans="2:7" ht="12.75">
      <c r="B63" s="1">
        <v>41</v>
      </c>
      <c r="C63" s="1">
        <v>-34.14</v>
      </c>
      <c r="D63" s="1">
        <v>-627.618626</v>
      </c>
      <c r="E63" s="1">
        <v>69.153106</v>
      </c>
      <c r="F63" s="1">
        <v>-98.506828</v>
      </c>
      <c r="G63" s="1">
        <v>-1.055117</v>
      </c>
    </row>
    <row r="64" spans="2:7" ht="12.75">
      <c r="B64" s="1">
        <v>42</v>
      </c>
      <c r="C64" s="1">
        <v>-10.168951</v>
      </c>
      <c r="D64" s="1">
        <v>-627.36187</v>
      </c>
      <c r="E64" s="1">
        <v>68.909762</v>
      </c>
      <c r="F64" s="1">
        <v>-0.020212</v>
      </c>
      <c r="G64" s="1">
        <v>-0.939339</v>
      </c>
    </row>
    <row r="65" spans="2:7" ht="12.75">
      <c r="B65" s="1">
        <v>43</v>
      </c>
      <c r="C65" s="1">
        <v>-10.019144</v>
      </c>
      <c r="D65" s="1">
        <v>-620.399652</v>
      </c>
      <c r="E65" s="1">
        <v>61.497935</v>
      </c>
      <c r="F65" s="1">
        <v>-0.020212</v>
      </c>
      <c r="G65" s="1">
        <v>-0.939339</v>
      </c>
    </row>
    <row r="66" spans="2:7" ht="12.75">
      <c r="B66" s="1">
        <v>44</v>
      </c>
      <c r="C66" s="1">
        <v>-8.033705</v>
      </c>
      <c r="D66" s="1">
        <v>-528.127272</v>
      </c>
      <c r="E66" s="1">
        <v>-36.733246</v>
      </c>
      <c r="F66" s="1">
        <v>0.014846</v>
      </c>
      <c r="G66" s="1">
        <v>-0.124712</v>
      </c>
    </row>
    <row r="67" spans="2:7" ht="12.75">
      <c r="B67" s="1">
        <v>45</v>
      </c>
      <c r="C67" s="1">
        <v>-8.030349</v>
      </c>
      <c r="D67" s="1">
        <v>-528.155465</v>
      </c>
      <c r="E67" s="1">
        <v>-36.507188</v>
      </c>
      <c r="F67" s="1">
        <v>0.014846</v>
      </c>
      <c r="G67" s="1">
        <v>-0.124712</v>
      </c>
    </row>
    <row r="68" spans="2:7" ht="12.75">
      <c r="B68" s="1">
        <v>46</v>
      </c>
      <c r="C68" s="1">
        <v>-9.569267</v>
      </c>
      <c r="D68" s="1">
        <v>-515.227885</v>
      </c>
      <c r="E68" s="1">
        <v>-140.166446</v>
      </c>
      <c r="F68" s="1">
        <v>-1.237908</v>
      </c>
      <c r="G68" s="1">
        <v>-0.126994</v>
      </c>
    </row>
    <row r="69" spans="2:7" ht="12.75">
      <c r="B69" s="1">
        <v>47</v>
      </c>
      <c r="C69" s="1">
        <v>-5.261249</v>
      </c>
      <c r="D69" s="1">
        <v>-514.785935</v>
      </c>
      <c r="E69" s="1">
        <v>-143.646527</v>
      </c>
      <c r="F69" s="1">
        <v>-1.237908</v>
      </c>
      <c r="G69" s="1">
        <v>-0.126994</v>
      </c>
    </row>
    <row r="70" spans="2:7" ht="12.75">
      <c r="B70" s="1">
        <v>48</v>
      </c>
      <c r="C70" s="1">
        <v>-13.877286</v>
      </c>
      <c r="D70" s="1">
        <v>-515.669835</v>
      </c>
      <c r="E70" s="1">
        <v>-136.686366</v>
      </c>
      <c r="F70" s="1">
        <v>-1.237908</v>
      </c>
      <c r="G70" s="1">
        <v>-0.126994</v>
      </c>
    </row>
    <row r="71" spans="2:7" ht="12.75">
      <c r="B71" s="1">
        <v>49</v>
      </c>
      <c r="C71" s="1">
        <v>-9.569267</v>
      </c>
      <c r="D71" s="1">
        <v>-515.227885</v>
      </c>
      <c r="E71" s="1">
        <v>-140.166446</v>
      </c>
      <c r="F71" s="1">
        <v>-1.237908</v>
      </c>
      <c r="G71" s="1">
        <v>-0.126994</v>
      </c>
    </row>
    <row r="72" spans="2:7" ht="12.75">
      <c r="B72" s="1">
        <v>50</v>
      </c>
      <c r="C72" s="1">
        <v>-6.108752</v>
      </c>
      <c r="D72" s="1">
        <v>-514.872878</v>
      </c>
      <c r="E72" s="1">
        <v>-142.961902</v>
      </c>
      <c r="F72" s="1">
        <v>-1.237908</v>
      </c>
      <c r="G72" s="1">
        <v>-0.126994</v>
      </c>
    </row>
    <row r="73" spans="2:7" ht="12.75">
      <c r="B73" s="1">
        <v>51</v>
      </c>
      <c r="C73" s="1">
        <v>-72.027431</v>
      </c>
      <c r="D73" s="1">
        <v>-521.635326</v>
      </c>
      <c r="E73" s="1">
        <v>-89.711826</v>
      </c>
      <c r="F73" s="1">
        <v>-1.237908</v>
      </c>
      <c r="G73" s="1">
        <v>-0.126994</v>
      </c>
    </row>
    <row r="74" spans="2:7" ht="12.75">
      <c r="B74" s="1">
        <v>52</v>
      </c>
      <c r="C74" s="1">
        <v>-65.435563</v>
      </c>
      <c r="D74" s="1">
        <v>-520.959081</v>
      </c>
      <c r="E74" s="1">
        <v>-95.036834</v>
      </c>
      <c r="F74" s="1">
        <v>-1.237908</v>
      </c>
      <c r="G74" s="1">
        <v>-0.126994</v>
      </c>
    </row>
    <row r="75" spans="2:7" ht="12.75">
      <c r="B75" s="1">
        <v>53</v>
      </c>
      <c r="C75" s="1">
        <v>-61.557994</v>
      </c>
      <c r="D75" s="1">
        <v>-520.56129</v>
      </c>
      <c r="E75" s="1">
        <v>-98.169191</v>
      </c>
      <c r="F75" s="1">
        <v>-1.237908</v>
      </c>
      <c r="G75" s="1">
        <v>-0.126994</v>
      </c>
    </row>
    <row r="76" spans="2:7" ht="12.75">
      <c r="B76" s="1">
        <v>54</v>
      </c>
      <c r="C76" s="1">
        <v>-65.435563</v>
      </c>
      <c r="D76" s="1">
        <v>-520.959081</v>
      </c>
      <c r="E76" s="1">
        <v>-95.036834</v>
      </c>
      <c r="F76" s="1">
        <v>-1.237908</v>
      </c>
      <c r="G76" s="1">
        <v>-0.126994</v>
      </c>
    </row>
    <row r="77" spans="2:7" ht="12.75">
      <c r="B77" s="1">
        <v>55</v>
      </c>
      <c r="C77" s="1">
        <v>-9.569267</v>
      </c>
      <c r="D77" s="1">
        <v>-515.227885</v>
      </c>
      <c r="E77" s="1">
        <v>-140.166446</v>
      </c>
      <c r="F77" s="1">
        <v>0.014846</v>
      </c>
      <c r="G77" s="1">
        <v>-0.124712</v>
      </c>
    </row>
    <row r="78" spans="2:7" ht="12.75">
      <c r="B78" s="1">
        <v>56</v>
      </c>
      <c r="C78" s="1">
        <v>-9.503531</v>
      </c>
      <c r="D78" s="1">
        <v>-515.780101</v>
      </c>
      <c r="E78" s="1">
        <v>-135.738523</v>
      </c>
      <c r="F78" s="1">
        <v>0.014846</v>
      </c>
      <c r="G78" s="1">
        <v>-0.124712</v>
      </c>
    </row>
    <row r="79" spans="2:7" ht="12.75">
      <c r="B79" s="1">
        <v>57</v>
      </c>
      <c r="C79" s="1">
        <v>-10.137949</v>
      </c>
      <c r="D79" s="1">
        <v>-510.45071</v>
      </c>
      <c r="E79" s="1">
        <v>-178.47202</v>
      </c>
      <c r="F79" s="1">
        <v>-17.433341</v>
      </c>
      <c r="G79" s="1">
        <v>1183.380263</v>
      </c>
    </row>
    <row r="80" spans="2:7" ht="12.75">
      <c r="B80" s="1">
        <v>58</v>
      </c>
      <c r="C80" s="1">
        <v>-10.151731</v>
      </c>
      <c r="D80" s="1">
        <v>-509.515229</v>
      </c>
      <c r="E80" s="1">
        <v>-178.471229</v>
      </c>
      <c r="F80" s="1">
        <v>-17.433341</v>
      </c>
      <c r="G80" s="1">
        <v>1183.380263</v>
      </c>
    </row>
    <row r="81" spans="2:7" ht="12.75">
      <c r="B81" s="1">
        <v>59</v>
      </c>
      <c r="C81" s="1">
        <v>-10.755735</v>
      </c>
      <c r="D81" s="1">
        <v>-468.515228</v>
      </c>
      <c r="E81" s="1">
        <v>-178.436583</v>
      </c>
      <c r="F81" s="1">
        <v>-17.433341</v>
      </c>
      <c r="G81" s="1">
        <v>1183.380263</v>
      </c>
    </row>
    <row r="82" spans="2:7" ht="12.75">
      <c r="B82" s="1">
        <v>60</v>
      </c>
      <c r="C82" s="1">
        <v>-10.623296</v>
      </c>
      <c r="D82" s="1">
        <v>-477.505228</v>
      </c>
      <c r="E82" s="1">
        <v>-178.44418</v>
      </c>
      <c r="F82" s="1">
        <v>-17.433341</v>
      </c>
      <c r="G82" s="1">
        <v>1183.380263</v>
      </c>
    </row>
    <row r="83" spans="2:7" ht="12.75">
      <c r="B83" s="1">
        <v>61</v>
      </c>
      <c r="C83" s="1">
        <v>-10.549637</v>
      </c>
      <c r="D83" s="1">
        <v>-482.505228</v>
      </c>
      <c r="E83" s="1">
        <v>-178.448405</v>
      </c>
      <c r="F83" s="1">
        <v>-17.433341</v>
      </c>
      <c r="G83" s="1">
        <v>1183.380263</v>
      </c>
    </row>
    <row r="84" spans="2:7" ht="12.75">
      <c r="B84" s="1">
        <v>62</v>
      </c>
      <c r="C84" s="1">
        <v>-10.623296</v>
      </c>
      <c r="D84" s="1">
        <v>-477.505228</v>
      </c>
      <c r="E84" s="1">
        <v>-178.44418</v>
      </c>
      <c r="F84" s="1">
        <v>-17.433341</v>
      </c>
      <c r="G84" s="1">
        <v>1183.380263</v>
      </c>
    </row>
    <row r="85" spans="2:5" ht="12.75">
      <c r="B85" s="1">
        <v>63</v>
      </c>
      <c r="C85" s="1">
        <v>-10.755735</v>
      </c>
      <c r="D85" s="1">
        <v>-468.515228</v>
      </c>
      <c r="E85" s="1">
        <v>-178.436583</v>
      </c>
    </row>
    <row r="86" ht="12.75">
      <c r="B86" s="1" t="s">
        <v>39</v>
      </c>
    </row>
    <row r="87" ht="12.75">
      <c r="B87" s="1" t="s">
        <v>39</v>
      </c>
    </row>
    <row r="88" spans="2:4" ht="12.75">
      <c r="B88" s="1" t="s">
        <v>39</v>
      </c>
      <c r="C88" s="1" t="s">
        <v>85</v>
      </c>
      <c r="D88" s="1" t="s">
        <v>86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410</v>
      </c>
    </row>
    <row r="6" spans="2:3" ht="12.75">
      <c r="B6" s="1" t="s">
        <v>39</v>
      </c>
      <c r="C6" s="1" t="s">
        <v>48</v>
      </c>
    </row>
    <row r="7" spans="2:3" ht="12.75">
      <c r="B7" s="2">
        <v>36907</v>
      </c>
      <c r="C7" s="3">
        <v>0.7790856481481482</v>
      </c>
    </row>
    <row r="8" ht="12.75">
      <c r="B8" s="1" t="s">
        <v>39</v>
      </c>
    </row>
    <row r="9" spans="2:10" ht="12.75">
      <c r="B9" s="1" t="s">
        <v>39</v>
      </c>
      <c r="C9" s="1" t="s">
        <v>49</v>
      </c>
      <c r="D9" s="1">
        <v>2</v>
      </c>
      <c r="E9" s="1" t="s">
        <v>87</v>
      </c>
      <c r="F9" s="1">
        <v>0</v>
      </c>
      <c r="G9" s="1">
        <v>0</v>
      </c>
      <c r="H9" s="1" t="s">
        <v>50</v>
      </c>
      <c r="I9" s="1" t="s">
        <v>88</v>
      </c>
      <c r="J9" s="1" t="s">
        <v>51</v>
      </c>
    </row>
    <row r="10" spans="2:8" ht="12.75">
      <c r="B10" s="1" t="s">
        <v>44</v>
      </c>
      <c r="C10" s="1" t="s">
        <v>46</v>
      </c>
      <c r="D10" s="1" t="s">
        <v>47</v>
      </c>
      <c r="E10" s="1" t="s">
        <v>410</v>
      </c>
      <c r="F10" s="1">
        <v>238</v>
      </c>
      <c r="G10" s="2">
        <v>36907</v>
      </c>
      <c r="H10" s="3">
        <v>0.7790856481481482</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0.1572</v>
      </c>
      <c r="G16" s="1" t="s">
        <v>67</v>
      </c>
      <c r="H16" s="1">
        <v>-2.4791</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12.375137</v>
      </c>
      <c r="D23" s="1">
        <v>54.003853</v>
      </c>
      <c r="E23" s="1">
        <v>-1050.080155</v>
      </c>
      <c r="F23" s="1">
        <v>-0.000721</v>
      </c>
      <c r="G23" s="1">
        <v>-0.003147</v>
      </c>
    </row>
    <row r="24" spans="2:7" ht="12.75">
      <c r="B24" s="1">
        <v>2</v>
      </c>
      <c r="C24" s="1">
        <v>-0.440591</v>
      </c>
      <c r="D24" s="1">
        <v>-1.922697</v>
      </c>
      <c r="E24" s="1">
        <v>16720.938</v>
      </c>
      <c r="F24" s="1">
        <v>-0.000721</v>
      </c>
      <c r="G24" s="1">
        <v>-0.003147</v>
      </c>
    </row>
    <row r="25" spans="2:7" ht="12.75">
      <c r="B25" s="1">
        <v>3</v>
      </c>
      <c r="C25" s="1">
        <v>-0.440591</v>
      </c>
      <c r="D25" s="1">
        <v>-1.922697</v>
      </c>
      <c r="E25" s="1">
        <v>16720.938</v>
      </c>
      <c r="F25" s="1">
        <v>-0.000721</v>
      </c>
      <c r="G25" s="1">
        <v>-0.003147</v>
      </c>
    </row>
    <row r="26" spans="2:7" ht="12.75">
      <c r="B26" s="1">
        <v>4</v>
      </c>
      <c r="C26" s="1">
        <v>12.375196</v>
      </c>
      <c r="D26" s="1">
        <v>54.00411</v>
      </c>
      <c r="E26" s="1">
        <v>-1050.162</v>
      </c>
      <c r="F26" s="1">
        <v>-0.000721</v>
      </c>
      <c r="G26" s="1">
        <v>-0.003147</v>
      </c>
    </row>
    <row r="27" spans="2:7" ht="12.75">
      <c r="B27" s="1">
        <v>5</v>
      </c>
      <c r="C27" s="1">
        <v>13.817514</v>
      </c>
      <c r="D27" s="1">
        <v>60.298241</v>
      </c>
      <c r="E27" s="1">
        <v>-3050.162</v>
      </c>
      <c r="F27" s="1">
        <v>-0.000721</v>
      </c>
      <c r="G27" s="1">
        <v>-0.003147</v>
      </c>
    </row>
    <row r="28" spans="2:7" ht="12.75">
      <c r="B28" s="1">
        <v>6</v>
      </c>
      <c r="C28" s="1">
        <v>12.375513</v>
      </c>
      <c r="D28" s="1">
        <v>54.005491</v>
      </c>
      <c r="E28" s="1">
        <v>-1050.600535</v>
      </c>
      <c r="F28" s="1">
        <v>0.007795</v>
      </c>
      <c r="G28" s="1">
        <v>0.034019</v>
      </c>
    </row>
    <row r="29" spans="2:7" ht="12.75">
      <c r="B29" s="1">
        <v>7</v>
      </c>
      <c r="C29" s="4">
        <v>1.78E-15</v>
      </c>
      <c r="D29" s="4">
        <v>-7.11E-15</v>
      </c>
      <c r="E29" s="1">
        <v>-2638.131</v>
      </c>
      <c r="F29" s="1">
        <v>-0.007795</v>
      </c>
      <c r="G29" s="1">
        <v>-0.034019</v>
      </c>
    </row>
    <row r="30" spans="2:7" ht="12.75">
      <c r="B30" s="1">
        <v>8</v>
      </c>
      <c r="C30" s="1">
        <v>-12.378931</v>
      </c>
      <c r="D30" s="1">
        <v>-54.020409</v>
      </c>
      <c r="E30" s="1">
        <v>-1050.162</v>
      </c>
      <c r="F30" s="1">
        <v>-0.007795</v>
      </c>
      <c r="G30" s="1">
        <v>-0.034019</v>
      </c>
    </row>
    <row r="31" spans="2:7" ht="12.75">
      <c r="B31" s="1">
        <v>9</v>
      </c>
      <c r="C31" s="1">
        <v>-20.354767</v>
      </c>
      <c r="D31" s="1">
        <v>-88.826152</v>
      </c>
      <c r="E31" s="1">
        <v>-27.022003</v>
      </c>
      <c r="F31" s="1">
        <v>-0.007795</v>
      </c>
      <c r="G31" s="1">
        <v>-0.034019</v>
      </c>
    </row>
    <row r="32" spans="2:7" ht="12.75">
      <c r="B32" s="1">
        <v>10</v>
      </c>
      <c r="C32" s="1">
        <v>-20.565766</v>
      </c>
      <c r="D32" s="1">
        <v>-89.746929</v>
      </c>
      <c r="E32" s="1">
        <v>0.044902</v>
      </c>
      <c r="F32" s="1">
        <v>-0.007795</v>
      </c>
      <c r="G32" s="1">
        <v>-0.034019</v>
      </c>
    </row>
    <row r="33" spans="2:7" ht="12.75">
      <c r="B33" s="1">
        <v>11</v>
      </c>
      <c r="C33" s="1">
        <v>-21.110403</v>
      </c>
      <c r="D33" s="1">
        <v>-92.123671</v>
      </c>
      <c r="E33" s="1">
        <v>69.910954</v>
      </c>
      <c r="F33" s="1">
        <v>-0.114752</v>
      </c>
      <c r="G33" s="1">
        <v>0.586866</v>
      </c>
    </row>
    <row r="34" spans="2:7" ht="12.75">
      <c r="B34" s="1">
        <v>12</v>
      </c>
      <c r="C34" s="1">
        <v>-21.12391</v>
      </c>
      <c r="D34" s="1">
        <v>-92.054594</v>
      </c>
      <c r="E34" s="1">
        <v>70.028658</v>
      </c>
      <c r="F34" s="1">
        <v>-0.114752</v>
      </c>
      <c r="G34" s="1">
        <v>0.586866</v>
      </c>
    </row>
    <row r="35" spans="2:7" ht="12.75">
      <c r="B35" s="1">
        <v>13</v>
      </c>
      <c r="C35" s="1">
        <v>0.00704</v>
      </c>
      <c r="D35" s="1">
        <v>-200.122747</v>
      </c>
      <c r="E35" s="1">
        <v>-114.115744</v>
      </c>
      <c r="F35" s="1">
        <v>-0.114752</v>
      </c>
      <c r="G35" s="1">
        <v>0.586866</v>
      </c>
    </row>
    <row r="36" spans="2:7" ht="12.75">
      <c r="B36" s="1">
        <v>14</v>
      </c>
      <c r="C36" s="1">
        <v>0.00704</v>
      </c>
      <c r="D36" s="1">
        <v>-200.122747</v>
      </c>
      <c r="E36" s="1">
        <v>-114.115744</v>
      </c>
      <c r="F36" s="1">
        <v>0.099422</v>
      </c>
      <c r="G36" s="1">
        <v>0.095929</v>
      </c>
    </row>
    <row r="37" spans="2:7" ht="12.75">
      <c r="B37" s="1">
        <v>15</v>
      </c>
      <c r="C37" s="1">
        <v>0.00704</v>
      </c>
      <c r="D37" s="1">
        <v>-200.122747</v>
      </c>
      <c r="E37" s="1">
        <v>-114.115744</v>
      </c>
      <c r="F37" s="1">
        <v>0.099422</v>
      </c>
      <c r="G37" s="1">
        <v>0.095929</v>
      </c>
    </row>
    <row r="38" spans="2:7" ht="12.75">
      <c r="B38" s="1">
        <v>16</v>
      </c>
      <c r="C38" s="1">
        <v>0.006397</v>
      </c>
      <c r="D38" s="1">
        <v>-200.123368</v>
      </c>
      <c r="E38" s="1">
        <v>-114.122216</v>
      </c>
      <c r="F38" s="1">
        <v>0.099422</v>
      </c>
      <c r="G38" s="1">
        <v>0.095929</v>
      </c>
    </row>
    <row r="39" spans="2:7" ht="12.75">
      <c r="B39" s="1">
        <v>17</v>
      </c>
      <c r="C39" s="1">
        <v>19.499867</v>
      </c>
      <c r="D39" s="1">
        <v>-181.314796</v>
      </c>
      <c r="E39" s="1">
        <v>81.945342</v>
      </c>
      <c r="F39" s="1">
        <v>0.043529</v>
      </c>
      <c r="G39" s="1">
        <v>0.449163</v>
      </c>
    </row>
    <row r="40" spans="2:7" ht="12.75">
      <c r="B40" s="1">
        <v>18</v>
      </c>
      <c r="C40" s="1">
        <v>19.53635</v>
      </c>
      <c r="D40" s="1">
        <v>-180.938338</v>
      </c>
      <c r="E40" s="1">
        <v>82.783472</v>
      </c>
      <c r="F40" s="1">
        <v>0.043529</v>
      </c>
      <c r="G40" s="1">
        <v>0.449163</v>
      </c>
    </row>
    <row r="41" spans="2:7" ht="12.75">
      <c r="B41" s="1">
        <v>19</v>
      </c>
      <c r="C41" s="1">
        <v>11.828507</v>
      </c>
      <c r="D41" s="1">
        <v>-260.474142</v>
      </c>
      <c r="E41" s="1">
        <v>-94.291954</v>
      </c>
      <c r="F41" s="1">
        <v>0.043529</v>
      </c>
      <c r="G41" s="1">
        <v>0.449163</v>
      </c>
    </row>
    <row r="42" spans="2:7" ht="12.75">
      <c r="B42" s="1">
        <v>20</v>
      </c>
      <c r="C42" s="1">
        <v>11.832463</v>
      </c>
      <c r="D42" s="1">
        <v>-260.433321</v>
      </c>
      <c r="E42" s="1">
        <v>-94.20107</v>
      </c>
      <c r="F42" s="1">
        <v>0.024055</v>
      </c>
      <c r="G42" s="1">
        <v>-0.101461</v>
      </c>
    </row>
    <row r="43" spans="2:7" ht="12.75">
      <c r="B43" s="1">
        <v>21</v>
      </c>
      <c r="C43" s="1">
        <v>11.831546</v>
      </c>
      <c r="D43" s="1">
        <v>-260.42945</v>
      </c>
      <c r="E43" s="1">
        <v>-94.239217</v>
      </c>
      <c r="F43" s="1">
        <v>0.024055</v>
      </c>
      <c r="G43" s="1">
        <v>-0.101461</v>
      </c>
    </row>
    <row r="44" spans="2:7" ht="12.75">
      <c r="B44" s="1">
        <v>22</v>
      </c>
      <c r="C44" s="1">
        <v>16.690589</v>
      </c>
      <c r="D44" s="1">
        <v>-280.923961</v>
      </c>
      <c r="E44" s="1">
        <v>107.75419</v>
      </c>
      <c r="F44" s="1">
        <v>0.089229</v>
      </c>
      <c r="G44" s="1">
        <v>0.800018</v>
      </c>
    </row>
    <row r="45" spans="2:7" ht="12.75">
      <c r="B45" s="1">
        <v>23</v>
      </c>
      <c r="C45" s="1">
        <v>16.754343</v>
      </c>
      <c r="D45" s="1">
        <v>-280.352359</v>
      </c>
      <c r="E45" s="1">
        <v>108.468676</v>
      </c>
      <c r="F45" s="1">
        <v>0.089229</v>
      </c>
      <c r="G45" s="1">
        <v>0.800018</v>
      </c>
    </row>
    <row r="46" spans="2:7" ht="12.75">
      <c r="B46" s="1">
        <v>24</v>
      </c>
      <c r="C46" s="1">
        <v>3.639387</v>
      </c>
      <c r="D46" s="1">
        <v>-397.939241</v>
      </c>
      <c r="E46" s="1">
        <v>-38.511584</v>
      </c>
      <c r="F46" s="1">
        <v>-0.074667</v>
      </c>
      <c r="G46" s="1">
        <v>-1.070286</v>
      </c>
    </row>
    <row r="47" spans="2:7" ht="12.75">
      <c r="B47" s="1">
        <v>25</v>
      </c>
      <c r="C47" s="1">
        <v>3.649176</v>
      </c>
      <c r="D47" s="1">
        <v>-397.79892</v>
      </c>
      <c r="E47" s="1">
        <v>-38.64269</v>
      </c>
      <c r="F47" s="1">
        <v>-0.074667</v>
      </c>
      <c r="G47" s="1">
        <v>-1.070286</v>
      </c>
    </row>
    <row r="48" spans="2:7" ht="12.75">
      <c r="B48" s="1">
        <v>26</v>
      </c>
      <c r="C48" s="1">
        <v>0.080828</v>
      </c>
      <c r="D48" s="1">
        <v>-448.947719</v>
      </c>
      <c r="E48" s="1">
        <v>9.14715</v>
      </c>
      <c r="F48" s="1">
        <v>-0.074667</v>
      </c>
      <c r="G48" s="1">
        <v>-1.070286</v>
      </c>
    </row>
    <row r="49" spans="2:7" ht="12.75">
      <c r="B49" s="1">
        <v>27</v>
      </c>
      <c r="C49" s="1">
        <v>-6.533386</v>
      </c>
      <c r="D49" s="1">
        <v>-543.756057</v>
      </c>
      <c r="E49" s="1">
        <v>97.729392</v>
      </c>
      <c r="F49" s="1">
        <v>0.016031</v>
      </c>
      <c r="G49" s="1">
        <v>-0.126573</v>
      </c>
    </row>
    <row r="50" spans="2:7" ht="12.75">
      <c r="B50" s="1">
        <v>28</v>
      </c>
      <c r="C50" s="1">
        <v>-6.535522</v>
      </c>
      <c r="D50" s="1">
        <v>-543.739193</v>
      </c>
      <c r="E50" s="1">
        <v>97.59616</v>
      </c>
      <c r="F50" s="1">
        <v>0.016031</v>
      </c>
      <c r="G50" s="1">
        <v>-0.126573</v>
      </c>
    </row>
    <row r="51" spans="2:7" ht="12.75">
      <c r="B51" s="1">
        <v>29</v>
      </c>
      <c r="C51" s="1">
        <v>-11.624777</v>
      </c>
      <c r="D51" s="1">
        <v>-503.556441</v>
      </c>
      <c r="E51" s="1">
        <v>-219.871068</v>
      </c>
      <c r="F51" s="1">
        <v>0.016031</v>
      </c>
      <c r="G51" s="1">
        <v>-0.126573</v>
      </c>
    </row>
    <row r="52" spans="2:7" ht="12.75">
      <c r="B52" s="1">
        <v>30</v>
      </c>
      <c r="C52" s="1">
        <v>-11.624777</v>
      </c>
      <c r="D52" s="1">
        <v>-503.556441</v>
      </c>
      <c r="E52" s="1">
        <v>-219.871068</v>
      </c>
      <c r="F52" s="1">
        <v>0.016031</v>
      </c>
      <c r="G52" s="1">
        <v>-0.126573</v>
      </c>
    </row>
    <row r="53" spans="2:7" ht="12.75">
      <c r="B53" s="1">
        <v>31</v>
      </c>
      <c r="C53" s="1">
        <v>-8.679048</v>
      </c>
      <c r="D53" s="1">
        <v>-526.814757</v>
      </c>
      <c r="E53" s="1">
        <v>-36.116781</v>
      </c>
      <c r="F53" s="1">
        <v>-0.021783</v>
      </c>
      <c r="G53" s="1">
        <v>-0.935897</v>
      </c>
    </row>
    <row r="54" spans="2:7" ht="12.75">
      <c r="B54" s="1">
        <v>32</v>
      </c>
      <c r="C54" s="1">
        <v>-8.595462</v>
      </c>
      <c r="D54" s="1">
        <v>-523.223463</v>
      </c>
      <c r="E54" s="1">
        <v>-39.954056</v>
      </c>
      <c r="F54" s="1">
        <v>-0.021783</v>
      </c>
      <c r="G54" s="1">
        <v>-0.935897</v>
      </c>
    </row>
    <row r="55" spans="2:7" ht="12.75">
      <c r="B55" s="1">
        <v>33</v>
      </c>
      <c r="C55" s="1">
        <v>-8.762634</v>
      </c>
      <c r="D55" s="1">
        <v>-530.40605</v>
      </c>
      <c r="E55" s="1">
        <v>-32.279506</v>
      </c>
      <c r="F55" s="1">
        <v>-0.021783</v>
      </c>
      <c r="G55" s="1">
        <v>-0.935897</v>
      </c>
    </row>
    <row r="56" spans="2:7" ht="12.75">
      <c r="B56" s="1">
        <v>34</v>
      </c>
      <c r="C56" s="1">
        <v>-8.679048</v>
      </c>
      <c r="D56" s="1">
        <v>-526.814757</v>
      </c>
      <c r="E56" s="1">
        <v>-36.116781</v>
      </c>
      <c r="F56" s="1">
        <v>-0.021783</v>
      </c>
      <c r="G56" s="1">
        <v>-0.935897</v>
      </c>
    </row>
    <row r="57" spans="2:7" ht="12.75">
      <c r="B57" s="1">
        <v>35</v>
      </c>
      <c r="C57" s="1">
        <v>-8.682551</v>
      </c>
      <c r="D57" s="1">
        <v>-526.965284</v>
      </c>
      <c r="E57" s="1">
        <v>-35.955943</v>
      </c>
      <c r="F57" s="1">
        <v>-0.021783</v>
      </c>
      <c r="G57" s="1">
        <v>-0.935897</v>
      </c>
    </row>
    <row r="58" spans="2:7" ht="12.75">
      <c r="B58" s="1">
        <v>36</v>
      </c>
      <c r="C58" s="1">
        <v>-11.004597</v>
      </c>
      <c r="D58" s="1">
        <v>-626.732892</v>
      </c>
      <c r="E58" s="1">
        <v>70.64512</v>
      </c>
      <c r="F58" s="1">
        <v>-81.56915</v>
      </c>
      <c r="G58" s="1">
        <v>-0.830102</v>
      </c>
    </row>
    <row r="59" spans="2:7" ht="12.75">
      <c r="B59" s="1">
        <v>37</v>
      </c>
      <c r="C59" s="4">
        <v>3.88E-09</v>
      </c>
      <c r="D59" s="1">
        <v>-626.620901</v>
      </c>
      <c r="E59" s="1">
        <v>70.510209</v>
      </c>
      <c r="F59" s="1">
        <v>-81.56915</v>
      </c>
      <c r="G59" s="1">
        <v>-0.830102</v>
      </c>
    </row>
    <row r="60" spans="2:7" ht="12.75">
      <c r="B60" s="1">
        <v>38</v>
      </c>
      <c r="C60" s="1">
        <v>-50</v>
      </c>
      <c r="D60" s="1">
        <v>-627.129735</v>
      </c>
      <c r="E60" s="1">
        <v>71.123186</v>
      </c>
      <c r="F60" s="1">
        <v>-81.56915</v>
      </c>
      <c r="G60" s="1">
        <v>-0.830102</v>
      </c>
    </row>
    <row r="61" spans="2:7" ht="12.75">
      <c r="B61" s="1">
        <v>39</v>
      </c>
      <c r="C61" s="1">
        <v>-34.14</v>
      </c>
      <c r="D61" s="1">
        <v>-626.968333</v>
      </c>
      <c r="E61" s="1">
        <v>70.928749</v>
      </c>
      <c r="F61" s="1">
        <v>-81.56915</v>
      </c>
      <c r="G61" s="1">
        <v>-0.830102</v>
      </c>
    </row>
    <row r="62" spans="2:7" ht="12.75">
      <c r="B62" s="1">
        <v>40</v>
      </c>
      <c r="C62" s="1">
        <v>-29.14</v>
      </c>
      <c r="D62" s="1">
        <v>-626.917449</v>
      </c>
      <c r="E62" s="1">
        <v>70.867452</v>
      </c>
      <c r="F62" s="1">
        <v>-81.56915</v>
      </c>
      <c r="G62" s="1">
        <v>-0.830102</v>
      </c>
    </row>
    <row r="63" spans="2:7" ht="12.75">
      <c r="B63" s="1">
        <v>41</v>
      </c>
      <c r="C63" s="1">
        <v>-34.14</v>
      </c>
      <c r="D63" s="1">
        <v>-626.968333</v>
      </c>
      <c r="E63" s="1">
        <v>70.928749</v>
      </c>
      <c r="F63" s="1">
        <v>-81.56915</v>
      </c>
      <c r="G63" s="1">
        <v>-0.830102</v>
      </c>
    </row>
    <row r="64" spans="2:7" ht="12.75">
      <c r="B64" s="1">
        <v>42</v>
      </c>
      <c r="C64" s="1">
        <v>-11.004597</v>
      </c>
      <c r="D64" s="1">
        <v>-626.732892</v>
      </c>
      <c r="E64" s="1">
        <v>70.64512</v>
      </c>
      <c r="F64" s="1">
        <v>-0.021783</v>
      </c>
      <c r="G64" s="1">
        <v>-0.935897</v>
      </c>
    </row>
    <row r="65" spans="2:7" ht="12.75">
      <c r="B65" s="1">
        <v>43</v>
      </c>
      <c r="C65" s="1">
        <v>-10.829581</v>
      </c>
      <c r="D65" s="1">
        <v>-619.213249</v>
      </c>
      <c r="E65" s="1">
        <v>62.610429</v>
      </c>
      <c r="F65" s="1">
        <v>-0.021783</v>
      </c>
      <c r="G65" s="1">
        <v>-0.935897</v>
      </c>
    </row>
    <row r="66" spans="2:7" ht="12.75">
      <c r="B66" s="1">
        <v>44</v>
      </c>
      <c r="C66" s="1">
        <v>-8.679048</v>
      </c>
      <c r="D66" s="1">
        <v>-526.814757</v>
      </c>
      <c r="E66" s="1">
        <v>-36.116781</v>
      </c>
      <c r="F66" s="1">
        <v>0.016031</v>
      </c>
      <c r="G66" s="1">
        <v>-0.126573</v>
      </c>
    </row>
    <row r="67" spans="2:7" ht="12.75">
      <c r="B67" s="1">
        <v>45</v>
      </c>
      <c r="C67" s="1">
        <v>-8.682551</v>
      </c>
      <c r="D67" s="1">
        <v>-526.787095</v>
      </c>
      <c r="E67" s="1">
        <v>-36.335327</v>
      </c>
      <c r="F67" s="1">
        <v>0.016031</v>
      </c>
      <c r="G67" s="1">
        <v>-0.126573</v>
      </c>
    </row>
    <row r="68" spans="2:7" ht="12.75">
      <c r="B68" s="1">
        <v>46</v>
      </c>
      <c r="C68" s="1">
        <v>-10.349698</v>
      </c>
      <c r="D68" s="1">
        <v>-513.62396</v>
      </c>
      <c r="E68" s="1">
        <v>-140.331781</v>
      </c>
      <c r="F68" s="1">
        <v>-1.240422</v>
      </c>
      <c r="G68" s="1">
        <v>-0.124046</v>
      </c>
    </row>
    <row r="69" spans="2:7" ht="12.75">
      <c r="B69" s="1">
        <v>47</v>
      </c>
      <c r="C69" s="1">
        <v>-6.03512</v>
      </c>
      <c r="D69" s="1">
        <v>-513.192491</v>
      </c>
      <c r="E69" s="1">
        <v>-143.810095</v>
      </c>
      <c r="F69" s="1">
        <v>-1.240422</v>
      </c>
      <c r="G69" s="1">
        <v>-0.124046</v>
      </c>
    </row>
    <row r="70" spans="2:7" ht="12.75">
      <c r="B70" s="1">
        <v>48</v>
      </c>
      <c r="C70" s="1">
        <v>-14.664277</v>
      </c>
      <c r="D70" s="1">
        <v>-514.05543</v>
      </c>
      <c r="E70" s="1">
        <v>-136.853467</v>
      </c>
      <c r="F70" s="1">
        <v>-1.240422</v>
      </c>
      <c r="G70" s="1">
        <v>-0.124046</v>
      </c>
    </row>
    <row r="71" spans="2:7" ht="12.75">
      <c r="B71" s="1">
        <v>49</v>
      </c>
      <c r="C71" s="1">
        <v>-10.349698</v>
      </c>
      <c r="D71" s="1">
        <v>-513.62396</v>
      </c>
      <c r="E71" s="1">
        <v>-140.331781</v>
      </c>
      <c r="F71" s="1">
        <v>-1.240422</v>
      </c>
      <c r="G71" s="1">
        <v>-0.124046</v>
      </c>
    </row>
    <row r="72" spans="2:7" ht="12.75">
      <c r="B72" s="1">
        <v>50</v>
      </c>
      <c r="C72" s="1">
        <v>-6.603321</v>
      </c>
      <c r="D72" s="1">
        <v>-513.249312</v>
      </c>
      <c r="E72" s="1">
        <v>-143.352024</v>
      </c>
      <c r="F72" s="1">
        <v>-1.240422</v>
      </c>
      <c r="G72" s="1">
        <v>-0.124046</v>
      </c>
    </row>
    <row r="73" spans="2:7" ht="12.75">
      <c r="B73" s="1">
        <v>51</v>
      </c>
      <c r="C73" s="1">
        <v>-72.58604</v>
      </c>
      <c r="D73" s="1">
        <v>-519.847765</v>
      </c>
      <c r="E73" s="1">
        <v>-90.158272</v>
      </c>
      <c r="F73" s="1">
        <v>-1.240422</v>
      </c>
      <c r="G73" s="1">
        <v>-0.124046</v>
      </c>
    </row>
    <row r="74" spans="2:7" ht="12.75">
      <c r="B74" s="1">
        <v>52</v>
      </c>
      <c r="C74" s="1">
        <v>-65.987769</v>
      </c>
      <c r="D74" s="1">
        <v>-519.18792</v>
      </c>
      <c r="E74" s="1">
        <v>-95.477647</v>
      </c>
      <c r="F74" s="1">
        <v>-1.240422</v>
      </c>
      <c r="G74" s="1">
        <v>-0.124046</v>
      </c>
    </row>
    <row r="75" spans="2:7" ht="12.75">
      <c r="B75" s="1">
        <v>53</v>
      </c>
      <c r="C75" s="1">
        <v>-62.106432</v>
      </c>
      <c r="D75" s="1">
        <v>-518.799775</v>
      </c>
      <c r="E75" s="1">
        <v>-98.606691</v>
      </c>
      <c r="F75" s="1">
        <v>-1.240422</v>
      </c>
      <c r="G75" s="1">
        <v>-0.124046</v>
      </c>
    </row>
    <row r="76" spans="2:7" ht="12.75">
      <c r="B76" s="1">
        <v>54</v>
      </c>
      <c r="C76" s="1">
        <v>-65.987769</v>
      </c>
      <c r="D76" s="1">
        <v>-519.18792</v>
      </c>
      <c r="E76" s="1">
        <v>-95.477647</v>
      </c>
      <c r="F76" s="1">
        <v>-1.240422</v>
      </c>
      <c r="G76" s="1">
        <v>-0.124046</v>
      </c>
    </row>
    <row r="77" spans="2:7" ht="12.75">
      <c r="B77" s="1">
        <v>55</v>
      </c>
      <c r="C77" s="1">
        <v>-10.349698</v>
      </c>
      <c r="D77" s="1">
        <v>-513.62396</v>
      </c>
      <c r="E77" s="1">
        <v>-140.331781</v>
      </c>
      <c r="F77" s="1">
        <v>0.016031</v>
      </c>
      <c r="G77" s="1">
        <v>-0.126573</v>
      </c>
    </row>
    <row r="78" spans="2:7" ht="12.75">
      <c r="B78" s="1">
        <v>56</v>
      </c>
      <c r="C78" s="1">
        <v>-10.272944</v>
      </c>
      <c r="D78" s="1">
        <v>-514.229985</v>
      </c>
      <c r="E78" s="1">
        <v>-135.543836</v>
      </c>
      <c r="F78" s="1">
        <v>0.016031</v>
      </c>
      <c r="G78" s="1">
        <v>-0.126573</v>
      </c>
    </row>
    <row r="79" spans="2:7" ht="12.75">
      <c r="B79" s="1">
        <v>57</v>
      </c>
      <c r="C79" s="1">
        <v>-10.987456</v>
      </c>
      <c r="D79" s="1">
        <v>-508.588478</v>
      </c>
      <c r="E79" s="1">
        <v>-180.115035</v>
      </c>
      <c r="F79" s="1">
        <v>16.118236</v>
      </c>
      <c r="G79" s="1">
        <v>-1013.475367</v>
      </c>
    </row>
    <row r="80" spans="2:7" ht="12.75">
      <c r="B80" s="1">
        <v>58</v>
      </c>
      <c r="C80" s="1">
        <v>-10.972716</v>
      </c>
      <c r="D80" s="1">
        <v>-509.515269</v>
      </c>
      <c r="E80" s="1">
        <v>-180.114121</v>
      </c>
      <c r="F80" s="1">
        <v>16.118236</v>
      </c>
      <c r="G80" s="1">
        <v>-1013.475367</v>
      </c>
    </row>
    <row r="81" spans="2:7" ht="12.75">
      <c r="B81" s="1">
        <v>59</v>
      </c>
      <c r="C81" s="1">
        <v>-11.624777</v>
      </c>
      <c r="D81" s="1">
        <v>-468.51527</v>
      </c>
      <c r="E81" s="1">
        <v>-180.154575</v>
      </c>
      <c r="F81" s="1">
        <v>16.118236</v>
      </c>
      <c r="G81" s="1">
        <v>-1013.475367</v>
      </c>
    </row>
    <row r="82" spans="2:7" ht="12.75">
      <c r="B82" s="1">
        <v>60</v>
      </c>
      <c r="C82" s="1">
        <v>-11.481801</v>
      </c>
      <c r="D82" s="1">
        <v>-477.50527</v>
      </c>
      <c r="E82" s="1">
        <v>-180.145705</v>
      </c>
      <c r="F82" s="1">
        <v>16.118236</v>
      </c>
      <c r="G82" s="1">
        <v>-1013.475367</v>
      </c>
    </row>
    <row r="83" spans="2:7" ht="12.75">
      <c r="B83" s="1">
        <v>61</v>
      </c>
      <c r="C83" s="1">
        <v>-11.402281</v>
      </c>
      <c r="D83" s="1">
        <v>-482.505269</v>
      </c>
      <c r="E83" s="1">
        <v>-180.140771</v>
      </c>
      <c r="F83" s="1">
        <v>16.118236</v>
      </c>
      <c r="G83" s="1">
        <v>-1013.475367</v>
      </c>
    </row>
    <row r="84" spans="2:7" ht="12.75">
      <c r="B84" s="1">
        <v>62</v>
      </c>
      <c r="C84" s="1">
        <v>-11.481801</v>
      </c>
      <c r="D84" s="1">
        <v>-477.50527</v>
      </c>
      <c r="E84" s="1">
        <v>-180.145705</v>
      </c>
      <c r="F84" s="1">
        <v>16.118236</v>
      </c>
      <c r="G84" s="1">
        <v>-1013.475367</v>
      </c>
    </row>
    <row r="85" spans="2:5" ht="12.75">
      <c r="B85" s="1">
        <v>63</v>
      </c>
      <c r="C85" s="1">
        <v>-11.624777</v>
      </c>
      <c r="D85" s="1">
        <v>-468.51527</v>
      </c>
      <c r="E85" s="1">
        <v>-180.154575</v>
      </c>
    </row>
    <row r="86" ht="12.75">
      <c r="B86" s="1" t="s">
        <v>39</v>
      </c>
    </row>
    <row r="87" ht="12.75">
      <c r="B87" s="1" t="s">
        <v>39</v>
      </c>
    </row>
    <row r="88" spans="2:4" ht="12.75">
      <c r="B88" s="1" t="s">
        <v>39</v>
      </c>
      <c r="C88" s="1" t="s">
        <v>85</v>
      </c>
      <c r="D88" s="1" t="s">
        <v>86</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4:K161"/>
  <sheetViews>
    <sheetView workbookViewId="0" topLeftCell="A1">
      <selection activeCell="I52" sqref="I52"/>
    </sheetView>
  </sheetViews>
  <sheetFormatPr defaultColWidth="12" defaultRowHeight="12.75"/>
  <sheetData>
    <row r="24" spans="2:5" ht="12.75">
      <c r="B24" s="29" t="s">
        <v>46</v>
      </c>
      <c r="C24" s="29" t="s">
        <v>408</v>
      </c>
      <c r="D24" s="29" t="s">
        <v>301</v>
      </c>
      <c r="E24" s="29" t="s">
        <v>409</v>
      </c>
    </row>
    <row r="25" spans="2:5" ht="12.75">
      <c r="B25" s="19" t="s">
        <v>17</v>
      </c>
      <c r="C25" s="19" t="str">
        <f>"-Zsyno"</f>
        <v>-Zsyno</v>
      </c>
      <c r="D25" s="19" t="s">
        <v>405</v>
      </c>
      <c r="E25" s="19" t="s">
        <v>128</v>
      </c>
    </row>
    <row r="26" spans="2:5" ht="12.75">
      <c r="B26" s="19" t="s">
        <v>80</v>
      </c>
      <c r="C26" s="19" t="s">
        <v>131</v>
      </c>
      <c r="D26" s="19" t="s">
        <v>406</v>
      </c>
      <c r="E26" s="19" t="s">
        <v>129</v>
      </c>
    </row>
    <row r="27" spans="2:5" ht="12.75">
      <c r="B27" s="19" t="s">
        <v>81</v>
      </c>
      <c r="C27" s="19" t="s">
        <v>132</v>
      </c>
      <c r="D27" s="19" t="s">
        <v>407</v>
      </c>
      <c r="E27" s="19" t="s">
        <v>130</v>
      </c>
    </row>
    <row r="97" spans="1:2" ht="12.75">
      <c r="A97" s="78" t="s">
        <v>434</v>
      </c>
      <c r="B97" s="79" t="s">
        <v>432</v>
      </c>
    </row>
    <row r="98" spans="1:2" ht="12.75">
      <c r="A98" s="78" t="s">
        <v>435</v>
      </c>
      <c r="B98" s="79" t="s">
        <v>433</v>
      </c>
    </row>
    <row r="99" spans="1:2" ht="12.75">
      <c r="A99" s="78" t="s">
        <v>436</v>
      </c>
      <c r="B99" s="79" t="s">
        <v>431</v>
      </c>
    </row>
    <row r="103" spans="1:2" ht="12.75">
      <c r="A103" s="78" t="s">
        <v>437</v>
      </c>
      <c r="B103" t="s">
        <v>438</v>
      </c>
    </row>
    <row r="104" ht="12.75">
      <c r="B104" t="s">
        <v>439</v>
      </c>
    </row>
    <row r="105" ht="12.75">
      <c r="B105" t="s">
        <v>440</v>
      </c>
    </row>
    <row r="131" spans="7:11" ht="12.75">
      <c r="G131" s="81"/>
      <c r="H131" s="81"/>
      <c r="I131" s="81"/>
      <c r="J131" s="81"/>
      <c r="K131" s="81"/>
    </row>
    <row r="132" spans="7:11" ht="12.75">
      <c r="G132" s="81"/>
      <c r="H132" s="81"/>
      <c r="I132" s="81"/>
      <c r="J132" s="81"/>
      <c r="K132" s="81"/>
    </row>
    <row r="133" spans="7:11" ht="12.75">
      <c r="G133" s="81"/>
      <c r="H133" s="81"/>
      <c r="I133" s="81"/>
      <c r="J133" s="81"/>
      <c r="K133" s="81"/>
    </row>
    <row r="134" spans="9:11" ht="12.75">
      <c r="I134" s="45"/>
      <c r="J134" s="45"/>
      <c r="K134" s="81"/>
    </row>
    <row r="135" spans="9:11" ht="12.75">
      <c r="I135" s="81"/>
      <c r="J135" s="45"/>
      <c r="K135" s="81"/>
    </row>
    <row r="136" spans="9:11" ht="12.75">
      <c r="I136" s="45"/>
      <c r="J136" s="81"/>
      <c r="K136" s="81"/>
    </row>
    <row r="138" spans="9:10" ht="12.75">
      <c r="I138" s="45"/>
      <c r="J138" s="45"/>
    </row>
    <row r="139" spans="9:10" ht="12.75">
      <c r="I139" s="81"/>
      <c r="J139" s="45"/>
    </row>
    <row r="140" spans="9:10" ht="12.75">
      <c r="I140" s="45"/>
      <c r="J140" s="81"/>
    </row>
    <row r="141" spans="8:10" ht="12.75">
      <c r="H141" s="81"/>
      <c r="I141" s="81"/>
      <c r="J141" s="81"/>
    </row>
    <row r="143" spans="1:2" ht="12.75">
      <c r="A143" s="78" t="s">
        <v>441</v>
      </c>
      <c r="B143" s="79" t="s">
        <v>447</v>
      </c>
    </row>
    <row r="144" ht="12.75">
      <c r="B144" t="str">
        <f>"+VertexCalc!Ynorm*(Interfaces!Ymirr-VertexCalc!Ymirr)"</f>
        <v>+VertexCalc!Ynorm*(Interfaces!Ymirr-VertexCalc!Ymirr)</v>
      </c>
    </row>
    <row r="145" ht="12.75">
      <c r="B145" t="str">
        <f>"+VertexCalc!Znorm*(Interfaces!Zmirr-VertexCalc!Zmirr)"</f>
        <v>+VertexCalc!Znorm*(Interfaces!Zmirr-VertexCalc!Zmirr)</v>
      </c>
    </row>
    <row r="146" spans="1:2" ht="12.75">
      <c r="A146" s="78" t="s">
        <v>442</v>
      </c>
      <c r="B146" s="79" t="s">
        <v>448</v>
      </c>
    </row>
    <row r="147" ht="12.75">
      <c r="B147" t="str">
        <f>"+VertexCalc!Ysag*(Interfaces!Ymirr-VertexCalc!Ymirr)"</f>
        <v>+VertexCalc!Ysag*(Interfaces!Ymirr-VertexCalc!Ymirr)</v>
      </c>
    </row>
    <row r="148" ht="12.75">
      <c r="B148" t="str">
        <f>"+VertexCalc!Zsag*(Interfaces!Zmirr-VertexCalc!Zmirr)"</f>
        <v>+VertexCalc!Zsag*(Interfaces!Zmirr-VertexCalc!Zmirr)</v>
      </c>
    </row>
    <row r="149" spans="1:2" ht="12.75">
      <c r="A149" s="78" t="s">
        <v>443</v>
      </c>
      <c r="B149" s="79" t="s">
        <v>449</v>
      </c>
    </row>
    <row r="150" ht="12.75">
      <c r="B150" t="str">
        <f>"+VertexCalc!Ytang*(Interfaces!Ymirr-VertexCalc!Ymirr)"</f>
        <v>+VertexCalc!Ytang*(Interfaces!Ymirr-VertexCalc!Ymirr)</v>
      </c>
    </row>
    <row r="151" ht="12.75">
      <c r="B151" t="str">
        <f>"+VertexCalc!Ztang*(Interfaces!Zmirr-VertexCalc!Zmirr)"</f>
        <v>+VertexCalc!Ztang*(Interfaces!Zmirr-VertexCalc!Zmirr)</v>
      </c>
    </row>
    <row r="156" spans="1:2" ht="12.75">
      <c r="A156" s="78" t="s">
        <v>446</v>
      </c>
      <c r="B156" s="79" t="s">
        <v>450</v>
      </c>
    </row>
    <row r="157" ht="12.75">
      <c r="B157" t="str">
        <f>"+VertexCalc!Znorm*Interfaces!Znorm"</f>
        <v>+VertexCalc!Znorm*Interfaces!Znorm</v>
      </c>
    </row>
    <row r="158" spans="1:2" ht="12.75">
      <c r="A158" s="78" t="s">
        <v>444</v>
      </c>
      <c r="B158" s="79" t="s">
        <v>451</v>
      </c>
    </row>
    <row r="159" ht="12.75">
      <c r="B159" t="str">
        <f>"+VertexCalc!Zsag*Interfaces!Znorm"</f>
        <v>+VertexCalc!Zsag*Interfaces!Znorm</v>
      </c>
    </row>
    <row r="160" spans="1:2" ht="12.75">
      <c r="A160" s="78" t="s">
        <v>445</v>
      </c>
      <c r="B160" s="79" t="s">
        <v>452</v>
      </c>
    </row>
    <row r="161" ht="12.75">
      <c r="B161" t="str">
        <f>"+VertexCalc!Ztang*Interfaces!Znorm"</f>
        <v>+VertexCalc!Ztang*Interfaces!Znorm</v>
      </c>
    </row>
  </sheetData>
  <printOptions/>
  <pageMargins left="0.65" right="0.59" top="0.81" bottom="0.69" header="0.5118110236220472" footer="0.28"/>
  <pageSetup horizontalDpi="600" verticalDpi="600" orientation="portrait" paperSize="9" r:id="rId6"/>
  <headerFooter alignWithMargins="0">
    <oddHeader>&amp;L&amp;F, &amp;A&amp;R&amp;T, &amp;D</oddHeader>
    <oddFooter>&amp;CPage &amp;P of &amp;N</oddFooter>
  </headerFooter>
  <rowBreaks count="2" manualBreakCount="2">
    <brk id="52" max="255" man="1"/>
    <brk id="107" max="255" man="1"/>
  </rowBreaks>
  <drawing r:id="rId5"/>
  <legacyDrawing r:id="rId4"/>
  <oleObjects>
    <oleObject progId="Equation.3" shapeId="76292576" r:id="rId1"/>
    <oleObject progId="Equation.3" shapeId="76310701" r:id="rId2"/>
    <oleObject progId="Equation.3" shapeId="14957989" r:id="rId3"/>
  </oleObjects>
</worksheet>
</file>

<file path=xl/worksheets/sheet4.xml><?xml version="1.0" encoding="utf-8"?>
<worksheet xmlns="http://schemas.openxmlformats.org/spreadsheetml/2006/main" xmlns:r="http://schemas.openxmlformats.org/officeDocument/2006/relationships">
  <sheetPr>
    <pageSetUpPr fitToPage="1"/>
  </sheetPr>
  <dimension ref="A1:IV105"/>
  <sheetViews>
    <sheetView workbookViewId="0" topLeftCell="A3">
      <selection activeCell="B17" sqref="B17"/>
    </sheetView>
  </sheetViews>
  <sheetFormatPr defaultColWidth="12" defaultRowHeight="12.75"/>
  <cols>
    <col min="1" max="1" width="14.16015625" style="1" customWidth="1"/>
    <col min="2" max="2" width="71.33203125" style="1" customWidth="1"/>
    <col min="3" max="16384" width="12" style="1" customWidth="1"/>
  </cols>
  <sheetData>
    <row r="1" spans="1:2" s="5" customFormat="1" ht="12.75">
      <c r="A1" s="5" t="s">
        <v>0</v>
      </c>
      <c r="B1" s="5" t="s">
        <v>1</v>
      </c>
    </row>
    <row r="2" spans="1:2" ht="12.75">
      <c r="A2" s="1" t="s">
        <v>44</v>
      </c>
      <c r="B2" s="1" t="s">
        <v>411</v>
      </c>
    </row>
    <row r="3" ht="12.75">
      <c r="A3" s="1" t="s">
        <v>127</v>
      </c>
    </row>
    <row r="4" spans="1:4" ht="12.75">
      <c r="A4" s="1" t="s">
        <v>2</v>
      </c>
      <c r="C4" s="6"/>
      <c r="D4" s="6"/>
    </row>
    <row r="5" spans="1:3" ht="12.75">
      <c r="A5" s="1" t="s">
        <v>530</v>
      </c>
      <c r="B5" s="1" t="s">
        <v>531</v>
      </c>
      <c r="C5" s="6"/>
    </row>
    <row r="6" spans="1:4" ht="12.75">
      <c r="A6" s="1" t="s">
        <v>156</v>
      </c>
      <c r="C6" s="6"/>
      <c r="D6" s="25"/>
    </row>
    <row r="7" spans="1:3" ht="12.75">
      <c r="A7" s="1" t="s">
        <v>89</v>
      </c>
      <c r="C7" s="6"/>
    </row>
    <row r="8" spans="1:3" ht="12.75">
      <c r="A8" s="1" t="s">
        <v>90</v>
      </c>
      <c r="C8" s="6"/>
    </row>
    <row r="9" ht="12.75">
      <c r="A9" s="1" t="s">
        <v>3</v>
      </c>
    </row>
    <row r="10" ht="12.75">
      <c r="A10" s="1" t="s">
        <v>555</v>
      </c>
    </row>
    <row r="11" ht="12.75">
      <c r="A11" s="19" t="s">
        <v>553</v>
      </c>
    </row>
    <row r="12" ht="12.75">
      <c r="A12" s="1" t="s">
        <v>554</v>
      </c>
    </row>
    <row r="13" ht="12.75">
      <c r="A13" s="1" t="s">
        <v>575</v>
      </c>
    </row>
    <row r="14" spans="1:2" ht="12.75">
      <c r="A14" s="1" t="s">
        <v>592</v>
      </c>
      <c r="B14" s="1" t="s">
        <v>593</v>
      </c>
    </row>
    <row r="15" spans="1:2" ht="12.75">
      <c r="A15" s="1" t="s">
        <v>594</v>
      </c>
      <c r="B15" s="1" t="s">
        <v>596</v>
      </c>
    </row>
    <row r="16" spans="1:2" ht="12.75">
      <c r="A16" s="1" t="s">
        <v>595</v>
      </c>
      <c r="B16" s="1" t="s">
        <v>597</v>
      </c>
    </row>
    <row r="17" spans="1:2" ht="12.75">
      <c r="A17" s="1" t="s">
        <v>389</v>
      </c>
      <c r="B17" s="1" t="s">
        <v>391</v>
      </c>
    </row>
    <row r="18" spans="1:2" ht="12.75">
      <c r="A18" s="1" t="s">
        <v>390</v>
      </c>
      <c r="B18" s="1" t="s">
        <v>392</v>
      </c>
    </row>
    <row r="19" spans="1:2" ht="12.75">
      <c r="A19" s="1" t="s">
        <v>393</v>
      </c>
      <c r="B19" s="1" t="s">
        <v>394</v>
      </c>
    </row>
    <row r="20" spans="1:2" ht="12.75">
      <c r="A20" s="1" t="s">
        <v>397</v>
      </c>
      <c r="B20" s="1" t="s">
        <v>398</v>
      </c>
    </row>
    <row r="21" spans="1:256" ht="12.75">
      <c r="A21" s="19" t="s">
        <v>399</v>
      </c>
      <c r="B21" s="19" t="s">
        <v>401</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ht="12.75">
      <c r="A22" s="19" t="s">
        <v>400</v>
      </c>
      <c r="B22" s="19" t="s">
        <v>402</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ht="12.75">
      <c r="A23" s="19" t="s">
        <v>459</v>
      </c>
      <c r="B23" s="19" t="s">
        <v>460</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12.75">
      <c r="A24" s="19" t="s">
        <v>463</v>
      </c>
      <c r="B24" s="19" t="s">
        <v>464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ht="12.75">
      <c r="A25" s="19" t="s">
        <v>559</v>
      </c>
      <c r="B25" s="1" t="s">
        <v>10</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ht="12.75">
      <c r="A26" s="19" t="s">
        <v>560</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ht="12.75">
      <c r="A27" s="19" t="s">
        <v>561</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ht="12.75">
      <c r="A28" s="19" t="s">
        <v>562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ht="12.75">
      <c r="A29" s="19" t="s">
        <v>563</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12.75">
      <c r="A30" s="19" t="s">
        <v>564</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12.75">
      <c r="A31" s="19" t="s">
        <v>565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12.75">
      <c r="A32" s="19" t="s">
        <v>566</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ht="12.75">
      <c r="A33" s="19" t="s">
        <v>567</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 ht="12.75">
      <c r="A34" s="1" t="s">
        <v>540</v>
      </c>
      <c r="B34" s="1" t="s">
        <v>10</v>
      </c>
    </row>
    <row r="35" ht="12.75">
      <c r="A35" s="1" t="s">
        <v>541</v>
      </c>
    </row>
    <row r="36" ht="12.75">
      <c r="A36" s="1" t="s">
        <v>542</v>
      </c>
    </row>
    <row r="37" ht="12.75">
      <c r="A37" s="1" t="s">
        <v>547</v>
      </c>
    </row>
    <row r="38" ht="12.75">
      <c r="A38" s="1" t="s">
        <v>548</v>
      </c>
    </row>
    <row r="39" ht="12.75">
      <c r="A39" s="1" t="s">
        <v>549</v>
      </c>
    </row>
    <row r="40" ht="12.75">
      <c r="A40" s="1" t="s">
        <v>550</v>
      </c>
    </row>
    <row r="41" ht="12.75">
      <c r="A41" s="1" t="s">
        <v>551</v>
      </c>
    </row>
    <row r="42" ht="12.75">
      <c r="A42" s="1" t="s">
        <v>552</v>
      </c>
    </row>
    <row r="43" spans="1:2" ht="12.75">
      <c r="A43" s="1" t="s">
        <v>31</v>
      </c>
      <c r="B43" s="1" t="s">
        <v>37</v>
      </c>
    </row>
    <row r="44" ht="12.75">
      <c r="A44" s="1" t="s">
        <v>32</v>
      </c>
    </row>
    <row r="45" ht="12.75">
      <c r="A45" s="1" t="s">
        <v>33</v>
      </c>
    </row>
    <row r="46" spans="1:2" ht="12.75">
      <c r="A46" s="1" t="s">
        <v>34</v>
      </c>
      <c r="B46" s="1" t="s">
        <v>38</v>
      </c>
    </row>
    <row r="47" ht="12.75">
      <c r="A47" s="1" t="s">
        <v>35</v>
      </c>
    </row>
    <row r="48" ht="12.75">
      <c r="A48" s="1" t="s">
        <v>36</v>
      </c>
    </row>
    <row r="49" spans="1:2" ht="12.75">
      <c r="A49" s="1" t="s">
        <v>364</v>
      </c>
      <c r="B49" s="1" t="s">
        <v>367</v>
      </c>
    </row>
    <row r="50" ht="12.75">
      <c r="A50" s="1" t="s">
        <v>365</v>
      </c>
    </row>
    <row r="51" ht="12.75">
      <c r="A51" s="1" t="s">
        <v>366</v>
      </c>
    </row>
    <row r="52" spans="1:2" ht="12.75">
      <c r="A52" s="1" t="s">
        <v>386</v>
      </c>
      <c r="B52" s="1" t="s">
        <v>361</v>
      </c>
    </row>
    <row r="53" ht="12.75">
      <c r="A53" s="1" t="s">
        <v>387</v>
      </c>
    </row>
    <row r="54" ht="12.75">
      <c r="A54" s="1" t="s">
        <v>388</v>
      </c>
    </row>
    <row r="55" spans="1:2" ht="12.75">
      <c r="A55" s="1" t="s">
        <v>455</v>
      </c>
      <c r="B55" s="1" t="s">
        <v>458</v>
      </c>
    </row>
    <row r="56" ht="12.75">
      <c r="A56" s="1" t="s">
        <v>456</v>
      </c>
    </row>
    <row r="57" ht="12.75">
      <c r="A57" s="1" t="s">
        <v>457</v>
      </c>
    </row>
    <row r="58" spans="1:2" ht="12.75">
      <c r="A58" s="1" t="s">
        <v>356</v>
      </c>
      <c r="B58" s="1" t="s">
        <v>362</v>
      </c>
    </row>
    <row r="59" ht="12.75">
      <c r="A59" s="1" t="s">
        <v>355</v>
      </c>
    </row>
    <row r="60" ht="12.75">
      <c r="A60" s="1" t="s">
        <v>357</v>
      </c>
    </row>
    <row r="61" spans="1:2" ht="12.75">
      <c r="A61" s="1" t="s">
        <v>21</v>
      </c>
      <c r="B61" s="1" t="s">
        <v>363</v>
      </c>
    </row>
    <row r="62" ht="12.75">
      <c r="A62" s="1" t="s">
        <v>22</v>
      </c>
    </row>
    <row r="63" ht="12.75">
      <c r="A63" s="1" t="s">
        <v>23</v>
      </c>
    </row>
    <row r="64" spans="1:2" ht="12.75">
      <c r="A64" s="1" t="s">
        <v>18</v>
      </c>
      <c r="B64" s="1" t="s">
        <v>404</v>
      </c>
    </row>
    <row r="65" ht="12.75">
      <c r="A65" s="1" t="s">
        <v>19</v>
      </c>
    </row>
    <row r="66" ht="12.75">
      <c r="A66" s="1" t="s">
        <v>20</v>
      </c>
    </row>
    <row r="67" spans="1:2" ht="12.75">
      <c r="A67" s="1" t="s">
        <v>14</v>
      </c>
      <c r="B67" s="1" t="s">
        <v>580</v>
      </c>
    </row>
    <row r="68" ht="12.75">
      <c r="A68" s="1" t="s">
        <v>15</v>
      </c>
    </row>
    <row r="69" ht="12.75">
      <c r="A69" s="1" t="s">
        <v>16</v>
      </c>
    </row>
    <row r="70" spans="1:2" ht="12.75">
      <c r="A70" s="1" t="s">
        <v>14</v>
      </c>
      <c r="B70" s="1" t="s">
        <v>27</v>
      </c>
    </row>
    <row r="71" ht="12.75">
      <c r="A71" s="1" t="s">
        <v>15</v>
      </c>
    </row>
    <row r="72" ht="12.75">
      <c r="A72" s="1" t="s">
        <v>16</v>
      </c>
    </row>
    <row r="73" spans="1:2" ht="12.75">
      <c r="A73" s="1" t="s">
        <v>11</v>
      </c>
      <c r="B73" s="1" t="s">
        <v>28</v>
      </c>
    </row>
    <row r="74" ht="12.75">
      <c r="A74" s="1" t="s">
        <v>12</v>
      </c>
    </row>
    <row r="75" ht="12.75">
      <c r="A75" s="1" t="s">
        <v>13</v>
      </c>
    </row>
    <row r="76" spans="1:2" ht="12.75">
      <c r="A76" s="1" t="s">
        <v>358</v>
      </c>
      <c r="B76" s="1" t="s">
        <v>29</v>
      </c>
    </row>
    <row r="77" ht="12.75">
      <c r="A77" s="1" t="s">
        <v>359</v>
      </c>
    </row>
    <row r="78" ht="12.75">
      <c r="A78" s="1" t="s">
        <v>360</v>
      </c>
    </row>
    <row r="79" spans="1:2" ht="12.75">
      <c r="A79" s="1" t="s">
        <v>24</v>
      </c>
      <c r="B79" s="1" t="s">
        <v>30</v>
      </c>
    </row>
    <row r="80" spans="1:4" ht="12.75">
      <c r="A80" s="1" t="s">
        <v>25</v>
      </c>
      <c r="D80" s="28"/>
    </row>
    <row r="81" spans="1:4" ht="12.75">
      <c r="A81" s="1" t="s">
        <v>26</v>
      </c>
      <c r="D81" s="28"/>
    </row>
    <row r="82" spans="1:4" ht="12.75">
      <c r="A82" s="1" t="s">
        <v>96</v>
      </c>
      <c r="B82" s="1" t="s">
        <v>149</v>
      </c>
      <c r="D82" s="28"/>
    </row>
    <row r="83" spans="1:4" ht="12.75">
      <c r="A83" s="28" t="s">
        <v>532</v>
      </c>
      <c r="C83" s="19"/>
      <c r="D83" s="28"/>
    </row>
    <row r="84" spans="1:3" ht="12.75">
      <c r="A84" s="19" t="s">
        <v>533</v>
      </c>
      <c r="C84" s="19"/>
    </row>
    <row r="85" spans="1:3" ht="12.75">
      <c r="A85" s="19" t="s">
        <v>534</v>
      </c>
      <c r="C85" s="19"/>
    </row>
    <row r="86" spans="1:2" ht="12.75">
      <c r="A86" s="1" t="s">
        <v>99</v>
      </c>
      <c r="B86" s="1" t="s">
        <v>150</v>
      </c>
    </row>
    <row r="87" ht="12.75">
      <c r="A87" s="1" t="s">
        <v>102</v>
      </c>
    </row>
    <row r="88" ht="12.75">
      <c r="A88" s="1" t="s">
        <v>105</v>
      </c>
    </row>
    <row r="89" spans="1:2" ht="12.75">
      <c r="A89" s="22" t="s">
        <v>571</v>
      </c>
      <c r="B89" s="1" t="s">
        <v>574</v>
      </c>
    </row>
    <row r="90" ht="12.75">
      <c r="A90" s="22" t="s">
        <v>572</v>
      </c>
    </row>
    <row r="91" ht="12.75">
      <c r="A91" s="22" t="s">
        <v>573</v>
      </c>
    </row>
    <row r="92" spans="1:2" ht="12.75">
      <c r="A92" s="1" t="s">
        <v>110</v>
      </c>
      <c r="B92" s="1" t="s">
        <v>151</v>
      </c>
    </row>
    <row r="93" ht="12.75">
      <c r="A93" s="1" t="s">
        <v>112</v>
      </c>
    </row>
    <row r="94" ht="12.75">
      <c r="A94" s="1" t="s">
        <v>114</v>
      </c>
    </row>
    <row r="95" spans="1:16" ht="12.75">
      <c r="A95" s="1" t="s">
        <v>136</v>
      </c>
      <c r="B95" s="1" t="s">
        <v>152</v>
      </c>
      <c r="C95" s="6"/>
      <c r="D95" s="6"/>
      <c r="E95" s="6"/>
      <c r="F95" s="6"/>
      <c r="G95" s="6"/>
      <c r="H95" s="6"/>
      <c r="I95" s="6"/>
      <c r="J95" s="6"/>
      <c r="K95" s="6"/>
      <c r="L95" s="6"/>
      <c r="M95" s="6"/>
      <c r="N95" s="6"/>
      <c r="O95" s="6"/>
      <c r="P95" s="6"/>
    </row>
    <row r="96" ht="12.75">
      <c r="A96" s="1" t="s">
        <v>137</v>
      </c>
    </row>
    <row r="97" ht="12.75">
      <c r="A97" s="1" t="s">
        <v>138</v>
      </c>
    </row>
    <row r="98" spans="1:2" ht="12.75">
      <c r="A98" s="1" t="s">
        <v>139</v>
      </c>
      <c r="B98" s="1" t="s">
        <v>153</v>
      </c>
    </row>
    <row r="99" spans="1:2" ht="12.75">
      <c r="A99" s="1" t="s">
        <v>140</v>
      </c>
      <c r="B99" s="1" t="s">
        <v>154</v>
      </c>
    </row>
    <row r="100" ht="12.75">
      <c r="A100" s="1" t="s">
        <v>141</v>
      </c>
    </row>
    <row r="101" ht="12.75">
      <c r="A101" s="1" t="s">
        <v>142</v>
      </c>
    </row>
    <row r="102" spans="1:2" ht="12.75">
      <c r="A102" s="1" t="s">
        <v>143</v>
      </c>
      <c r="B102" s="1" t="s">
        <v>155</v>
      </c>
    </row>
    <row r="103" ht="12.75">
      <c r="A103" s="1" t="s">
        <v>144</v>
      </c>
    </row>
    <row r="104" ht="12.75">
      <c r="A104" s="1" t="s">
        <v>145</v>
      </c>
    </row>
    <row r="105" spans="1:2" ht="12.75">
      <c r="A105" s="1" t="s">
        <v>148</v>
      </c>
      <c r="B105" s="1" t="s">
        <v>153</v>
      </c>
    </row>
  </sheetData>
  <printOptions/>
  <pageMargins left="0.7874015748031497" right="0.7874015748031497" top="0.84" bottom="0.54" header="0.38" footer="0.24"/>
  <pageSetup fitToHeight="1" fitToWidth="1" horizontalDpi="600" verticalDpi="600" orientation="portrait" paperSize="9" scale="54" r:id="rId1"/>
  <headerFooter alignWithMargins="0">
    <oddHeader>&amp;L&amp;F, &amp;A&amp;R&amp;T, &amp;D</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R58"/>
  <sheetViews>
    <sheetView tabSelected="1" workbookViewId="0" topLeftCell="A40">
      <selection activeCell="E56" sqref="E56"/>
    </sheetView>
  </sheetViews>
  <sheetFormatPr defaultColWidth="12" defaultRowHeight="12.75"/>
  <cols>
    <col min="1" max="2" width="12" style="1" customWidth="1"/>
    <col min="3" max="3" width="20.16015625" style="1" customWidth="1"/>
    <col min="4" max="6" width="12" style="1" customWidth="1"/>
    <col min="7" max="7" width="10.83203125" style="30" customWidth="1"/>
    <col min="8" max="8" width="12.16015625" style="30" customWidth="1"/>
    <col min="9" max="9" width="10.83203125" style="30" customWidth="1"/>
    <col min="10" max="14" width="12" style="1" customWidth="1"/>
    <col min="15" max="17" width="12" style="100" customWidth="1"/>
    <col min="18" max="16384" width="12" style="1" customWidth="1"/>
  </cols>
  <sheetData>
    <row r="1" spans="3:17" s="5" customFormat="1" ht="12.75">
      <c r="C1" s="5" t="s">
        <v>127</v>
      </c>
      <c r="D1" s="5" t="s">
        <v>2</v>
      </c>
      <c r="E1" s="5" t="s">
        <v>530</v>
      </c>
      <c r="F1" s="5" t="s">
        <v>156</v>
      </c>
      <c r="G1" s="41" t="s">
        <v>4</v>
      </c>
      <c r="H1" s="42" t="s">
        <v>5</v>
      </c>
      <c r="I1" s="43" t="s">
        <v>6</v>
      </c>
      <c r="O1" s="99"/>
      <c r="P1" s="99"/>
      <c r="Q1" s="99"/>
    </row>
    <row r="2" spans="4:9" ht="13.5" thickBot="1">
      <c r="D2" s="1" t="s">
        <v>91</v>
      </c>
      <c r="E2" s="1" t="s">
        <v>527</v>
      </c>
      <c r="F2" s="1" t="s">
        <v>126</v>
      </c>
      <c r="G2" s="44">
        <f aca="true" ca="1" t="shared" si="0" ref="G2:I21">IF(Flag="Ignore","",INDIRECT("RayImpacts!"&amp;Axe&amp;System&amp;"Gut"))</f>
      </c>
      <c r="H2" s="45">
        <f ca="1" t="shared" si="0"/>
      </c>
      <c r="I2" s="46">
        <f ca="1" t="shared" si="0"/>
      </c>
    </row>
    <row r="3" spans="3:18" ht="12.75">
      <c r="C3" s="10" t="s">
        <v>120</v>
      </c>
      <c r="D3" s="11" t="s">
        <v>92</v>
      </c>
      <c r="E3" s="11" t="s">
        <v>527</v>
      </c>
      <c r="F3" s="11"/>
      <c r="G3" s="47">
        <f ca="1" t="shared" si="0"/>
        <v>1252.428903</v>
      </c>
      <c r="H3" s="48">
        <f ca="1" t="shared" si="0"/>
        <v>0</v>
      </c>
      <c r="I3" s="49">
        <f ca="1" t="shared" si="0"/>
        <v>54.793441</v>
      </c>
      <c r="R3" s="98"/>
    </row>
    <row r="4" spans="3:18" ht="13.5" thickBot="1">
      <c r="C4" s="14"/>
      <c r="D4" s="15" t="s">
        <v>93</v>
      </c>
      <c r="E4" s="15" t="s">
        <v>527</v>
      </c>
      <c r="F4" s="15"/>
      <c r="G4" s="50">
        <f ca="1" t="shared" si="0"/>
        <v>2839.998</v>
      </c>
      <c r="H4" s="51">
        <f ca="1" t="shared" si="0"/>
        <v>0</v>
      </c>
      <c r="I4" s="52">
        <f ca="1" t="shared" si="0"/>
        <v>7.11E-15</v>
      </c>
      <c r="R4" s="98"/>
    </row>
    <row r="5" spans="3:18" ht="12.75">
      <c r="C5" s="10" t="s">
        <v>121</v>
      </c>
      <c r="D5" s="11" t="s">
        <v>94</v>
      </c>
      <c r="E5" s="11" t="s">
        <v>527</v>
      </c>
      <c r="F5" s="11" t="s">
        <v>157</v>
      </c>
      <c r="G5" s="47">
        <f ca="1" t="shared" si="0"/>
        <v>228.382552</v>
      </c>
      <c r="H5" s="48">
        <f ca="1" t="shared" si="0"/>
        <v>0</v>
      </c>
      <c r="I5" s="49">
        <f ca="1" t="shared" si="0"/>
        <v>-90.137429</v>
      </c>
      <c r="R5" s="98"/>
    </row>
    <row r="6" spans="3:18" ht="12.75">
      <c r="C6" s="18"/>
      <c r="D6" s="19" t="s">
        <v>95</v>
      </c>
      <c r="E6" s="19" t="s">
        <v>527</v>
      </c>
      <c r="F6" s="19"/>
      <c r="G6" s="44">
        <f ca="1" t="shared" si="0"/>
        <v>131.14166</v>
      </c>
      <c r="H6" s="45">
        <f ca="1" t="shared" si="0"/>
        <v>0</v>
      </c>
      <c r="I6" s="46">
        <f ca="1" t="shared" si="0"/>
        <v>-93.493606</v>
      </c>
      <c r="R6" s="98"/>
    </row>
    <row r="7" spans="3:18" ht="12.75">
      <c r="C7" s="18"/>
      <c r="D7" s="19" t="s">
        <v>97</v>
      </c>
      <c r="E7" s="19" t="s">
        <v>527</v>
      </c>
      <c r="F7" s="19"/>
      <c r="G7" s="44">
        <f ca="1" t="shared" si="0"/>
        <v>316.125099</v>
      </c>
      <c r="H7" s="45">
        <f ca="1" t="shared" si="0"/>
        <v>0</v>
      </c>
      <c r="I7" s="46">
        <f ca="1" t="shared" si="0"/>
        <v>-200.09386</v>
      </c>
      <c r="R7" s="98"/>
    </row>
    <row r="8" spans="3:18" ht="13.5" thickBot="1">
      <c r="C8" s="14"/>
      <c r="D8" s="15" t="s">
        <v>98</v>
      </c>
      <c r="E8" s="15" t="s">
        <v>527</v>
      </c>
      <c r="F8" s="15"/>
      <c r="G8" s="50">
        <f ca="1" t="shared" si="0"/>
        <v>119.782557</v>
      </c>
      <c r="H8" s="51">
        <f ca="1" t="shared" si="0"/>
        <v>0</v>
      </c>
      <c r="I8" s="52">
        <f ca="1" t="shared" si="0"/>
        <v>-179.688568</v>
      </c>
      <c r="R8" s="98"/>
    </row>
    <row r="9" spans="3:18" ht="12.75">
      <c r="C9" s="10" t="s">
        <v>122</v>
      </c>
      <c r="D9" s="11" t="s">
        <v>101</v>
      </c>
      <c r="E9" s="11" t="s">
        <v>527</v>
      </c>
      <c r="F9" s="11"/>
      <c r="G9" s="47">
        <f ca="1" t="shared" si="0"/>
        <v>296.15067</v>
      </c>
      <c r="H9" s="48">
        <f ca="1" t="shared" si="0"/>
        <v>0</v>
      </c>
      <c r="I9" s="49">
        <f ca="1" t="shared" si="0"/>
        <v>-259.533208</v>
      </c>
      <c r="R9" s="98"/>
    </row>
    <row r="10" spans="3:18" ht="12.75">
      <c r="C10" s="18"/>
      <c r="D10" s="19" t="s">
        <v>104</v>
      </c>
      <c r="E10" s="19" t="s">
        <v>527</v>
      </c>
      <c r="F10" s="19"/>
      <c r="G10" s="44">
        <f ca="1" t="shared" si="0"/>
        <v>94.234236</v>
      </c>
      <c r="H10" s="45">
        <f ca="1" t="shared" si="0"/>
        <v>0</v>
      </c>
      <c r="I10" s="46">
        <f ca="1" t="shared" si="0"/>
        <v>-279.481485</v>
      </c>
      <c r="R10" s="98"/>
    </row>
    <row r="11" spans="3:18" ht="12.75">
      <c r="C11" s="18"/>
      <c r="D11" s="19" t="s">
        <v>107</v>
      </c>
      <c r="E11" s="19" t="s">
        <v>527</v>
      </c>
      <c r="F11" s="19"/>
      <c r="G11" s="44">
        <f ca="1" t="shared" si="0"/>
        <v>240.46633</v>
      </c>
      <c r="H11" s="45">
        <f ca="1" t="shared" si="0"/>
        <v>0</v>
      </c>
      <c r="I11" s="46">
        <f ca="1" t="shared" si="0"/>
        <v>-397.634151</v>
      </c>
      <c r="R11" s="98"/>
    </row>
    <row r="12" spans="3:18" ht="12.75">
      <c r="C12" s="18"/>
      <c r="D12" s="19" t="s">
        <v>108</v>
      </c>
      <c r="E12" s="19" t="s">
        <v>527</v>
      </c>
      <c r="F12" s="19" t="s">
        <v>157</v>
      </c>
      <c r="G12" s="44">
        <f ca="1" t="shared" si="0"/>
        <v>192.86738</v>
      </c>
      <c r="H12" s="45">
        <f ca="1" t="shared" si="0"/>
        <v>0</v>
      </c>
      <c r="I12" s="46">
        <f ca="1" t="shared" si="0"/>
        <v>-448.961193</v>
      </c>
      <c r="R12" s="98"/>
    </row>
    <row r="13" spans="3:18" ht="13.5" thickBot="1">
      <c r="C13" s="14"/>
      <c r="D13" s="15" t="s">
        <v>109</v>
      </c>
      <c r="E13" s="15" t="s">
        <v>527</v>
      </c>
      <c r="F13" s="15"/>
      <c r="G13" s="50">
        <f ca="1" t="shared" si="0"/>
        <v>104.471035</v>
      </c>
      <c r="H13" s="51">
        <f ca="1" t="shared" si="0"/>
        <v>0</v>
      </c>
      <c r="I13" s="52">
        <f ca="1" t="shared" si="0"/>
        <v>-544.281002</v>
      </c>
      <c r="R13" s="98"/>
    </row>
    <row r="14" spans="3:18" ht="12.75">
      <c r="C14" s="10" t="s">
        <v>123</v>
      </c>
      <c r="D14" s="11" t="s">
        <v>111</v>
      </c>
      <c r="E14" s="11" t="s">
        <v>527</v>
      </c>
      <c r="F14" s="11"/>
      <c r="G14" s="47">
        <f ca="1" t="shared" si="0"/>
        <v>238.419239</v>
      </c>
      <c r="H14" s="48">
        <f ca="1" t="shared" si="0"/>
        <v>0</v>
      </c>
      <c r="I14" s="49">
        <f ca="1" t="shared" si="0"/>
        <v>-527.45872</v>
      </c>
      <c r="R14" s="98"/>
    </row>
    <row r="15" spans="1:18" ht="12.75">
      <c r="A15" s="23"/>
      <c r="C15" s="18"/>
      <c r="D15" s="19" t="s">
        <v>113</v>
      </c>
      <c r="E15" s="19" t="s">
        <v>527</v>
      </c>
      <c r="F15" s="19"/>
      <c r="G15" s="44">
        <f ca="1" t="shared" si="0"/>
        <v>139.942078</v>
      </c>
      <c r="H15" s="45">
        <f ca="1" t="shared" si="0"/>
        <v>1.82E-14</v>
      </c>
      <c r="I15" s="46">
        <f ca="1" t="shared" si="0"/>
        <v>-619.802462</v>
      </c>
      <c r="R15" s="98"/>
    </row>
    <row r="16" spans="3:18" ht="13.5" thickBot="1">
      <c r="C16" s="14"/>
      <c r="D16" s="15" t="s">
        <v>115</v>
      </c>
      <c r="E16" s="15" t="s">
        <v>527</v>
      </c>
      <c r="F16" s="15" t="s">
        <v>157</v>
      </c>
      <c r="G16" s="50">
        <f ca="1" t="shared" si="0"/>
        <v>139.942327</v>
      </c>
      <c r="H16" s="51">
        <f ca="1" t="shared" si="0"/>
        <v>-50</v>
      </c>
      <c r="I16" s="52">
        <f ca="1" t="shared" si="0"/>
        <v>-619.802728</v>
      </c>
      <c r="R16" s="98"/>
    </row>
    <row r="17" spans="4:18" ht="13.5" thickBot="1">
      <c r="D17" s="1" t="s">
        <v>111</v>
      </c>
      <c r="E17" s="1" t="s">
        <v>527</v>
      </c>
      <c r="F17" s="1" t="s">
        <v>126</v>
      </c>
      <c r="G17" s="44">
        <f ca="1" t="shared" si="0"/>
      </c>
      <c r="H17" s="45">
        <f ca="1" t="shared" si="0"/>
      </c>
      <c r="I17" s="46">
        <f ca="1" t="shared" si="0"/>
      </c>
      <c r="R17" s="98"/>
    </row>
    <row r="18" spans="3:18" ht="12.75">
      <c r="C18" s="10" t="s">
        <v>124</v>
      </c>
      <c r="D18" s="11" t="s">
        <v>116</v>
      </c>
      <c r="E18" s="11" t="s">
        <v>527</v>
      </c>
      <c r="F18" s="11"/>
      <c r="G18" s="47">
        <f ca="1" t="shared" si="0"/>
        <v>337.640264</v>
      </c>
      <c r="H18" s="48">
        <f ca="1" t="shared" si="0"/>
        <v>-4.41E-16</v>
      </c>
      <c r="I18" s="49">
        <f ca="1" t="shared" si="0"/>
        <v>-514.997754</v>
      </c>
      <c r="R18" s="98"/>
    </row>
    <row r="19" spans="1:18" ht="13.5" thickBot="1">
      <c r="A19" s="23"/>
      <c r="C19" s="14"/>
      <c r="D19" s="15" t="s">
        <v>117</v>
      </c>
      <c r="E19" s="15" t="s">
        <v>527</v>
      </c>
      <c r="F19" s="15" t="s">
        <v>157</v>
      </c>
      <c r="G19" s="50">
        <f ca="1" t="shared" si="0"/>
        <v>283.429289</v>
      </c>
      <c r="H19" s="51">
        <f ca="1" t="shared" si="0"/>
        <v>-65.113778</v>
      </c>
      <c r="I19" s="52">
        <f ca="1" t="shared" si="0"/>
        <v>-521.807023</v>
      </c>
      <c r="R19" s="98"/>
    </row>
    <row r="20" spans="1:18" ht="13.5" thickBot="1">
      <c r="A20" s="22"/>
      <c r="B20" s="22"/>
      <c r="D20" s="1" t="s">
        <v>116</v>
      </c>
      <c r="E20" s="1" t="s">
        <v>527</v>
      </c>
      <c r="F20" s="1" t="s">
        <v>126</v>
      </c>
      <c r="G20" s="44">
        <f ca="1" t="shared" si="0"/>
      </c>
      <c r="H20" s="45">
        <f ca="1" t="shared" si="0"/>
      </c>
      <c r="I20" s="46">
        <f ca="1" t="shared" si="0"/>
      </c>
      <c r="R20" s="98"/>
    </row>
    <row r="21" spans="1:18" ht="12.75">
      <c r="A21" s="22"/>
      <c r="B21" s="22"/>
      <c r="C21" s="10" t="s">
        <v>125</v>
      </c>
      <c r="D21" s="11" t="s">
        <v>118</v>
      </c>
      <c r="E21" s="11" t="s">
        <v>527</v>
      </c>
      <c r="F21" s="11"/>
      <c r="G21" s="47">
        <f ca="1" t="shared" si="0"/>
        <v>381.297659</v>
      </c>
      <c r="H21" s="48">
        <f ca="1" t="shared" si="0"/>
        <v>-4.78E-15</v>
      </c>
      <c r="I21" s="49">
        <f ca="1" t="shared" si="0"/>
        <v>-509.514911</v>
      </c>
      <c r="R21" s="98"/>
    </row>
    <row r="22" spans="1:18" ht="13.5" thickBot="1">
      <c r="A22" s="22"/>
      <c r="B22" s="22"/>
      <c r="C22" s="14"/>
      <c r="D22" s="15" t="s">
        <v>119</v>
      </c>
      <c r="E22" s="15" t="s">
        <v>527</v>
      </c>
      <c r="F22" s="15" t="s">
        <v>157</v>
      </c>
      <c r="G22" s="50">
        <f aca="true" ca="1" t="shared" si="1" ref="G22:I41">IF(Flag="Ignore","",INDIRECT("RayImpacts!"&amp;Axe&amp;System&amp;"Gut"))</f>
        <v>381.298363</v>
      </c>
      <c r="H22" s="51">
        <f ca="1" t="shared" si="1"/>
        <v>9.28E-15</v>
      </c>
      <c r="I22" s="52">
        <f ca="1" t="shared" si="1"/>
        <v>-468.515249</v>
      </c>
      <c r="R22" s="98"/>
    </row>
    <row r="23" spans="3:17" ht="13.5" thickBot="1">
      <c r="C23" s="14"/>
      <c r="D23" s="15" t="s">
        <v>98</v>
      </c>
      <c r="E23" s="15" t="s">
        <v>528</v>
      </c>
      <c r="F23" s="15" t="s">
        <v>126</v>
      </c>
      <c r="G23" s="50">
        <f ca="1" t="shared" si="1"/>
      </c>
      <c r="H23" s="51">
        <f ca="1" t="shared" si="1"/>
      </c>
      <c r="I23" s="52">
        <f ca="1" t="shared" si="1"/>
      </c>
      <c r="O23" s="1"/>
      <c r="P23" s="1"/>
      <c r="Q23" s="1"/>
    </row>
    <row r="24" spans="3:17" ht="12.75">
      <c r="C24" s="10" t="s">
        <v>502</v>
      </c>
      <c r="D24" s="11" t="s">
        <v>503</v>
      </c>
      <c r="E24" s="11" t="s">
        <v>528</v>
      </c>
      <c r="F24" s="11"/>
      <c r="G24" s="47">
        <f ca="1" t="shared" si="1"/>
        <v>306.147395</v>
      </c>
      <c r="H24" s="48">
        <f ca="1" t="shared" si="1"/>
        <v>33.819252</v>
      </c>
      <c r="I24" s="49">
        <f ca="1" t="shared" si="1"/>
        <v>-263.978028</v>
      </c>
      <c r="O24" s="1"/>
      <c r="P24" s="1"/>
      <c r="Q24" s="1"/>
    </row>
    <row r="25" spans="3:17" ht="12.75">
      <c r="C25" s="18"/>
      <c r="D25" s="19" t="s">
        <v>504</v>
      </c>
      <c r="E25" s="19" t="s">
        <v>528</v>
      </c>
      <c r="F25" s="19" t="s">
        <v>157</v>
      </c>
      <c r="G25" s="44">
        <f ca="1" t="shared" si="1"/>
        <v>314.98366599999997</v>
      </c>
      <c r="H25" s="45">
        <f ca="1" t="shared" si="1"/>
        <v>141.696058</v>
      </c>
      <c r="I25" s="46">
        <f ca="1" t="shared" si="1"/>
        <v>-233.04406</v>
      </c>
      <c r="O25" s="1"/>
      <c r="P25" s="1"/>
      <c r="Q25" s="1"/>
    </row>
    <row r="26" spans="3:17" ht="12.75">
      <c r="C26" s="18"/>
      <c r="D26" s="19" t="s">
        <v>505</v>
      </c>
      <c r="E26" s="19" t="s">
        <v>528</v>
      </c>
      <c r="F26" s="19"/>
      <c r="G26" s="44">
        <f ca="1" t="shared" si="1"/>
        <v>317.372432</v>
      </c>
      <c r="H26" s="45">
        <f ca="1" t="shared" si="1"/>
        <v>170.859094</v>
      </c>
      <c r="I26" s="46">
        <f ca="1" t="shared" si="1"/>
        <v>-224.68148</v>
      </c>
      <c r="O26" s="1"/>
      <c r="P26" s="1"/>
      <c r="Q26" s="1"/>
    </row>
    <row r="27" spans="3:9" s="19" customFormat="1" ht="13.5" thickBot="1">
      <c r="C27" s="14"/>
      <c r="D27" s="15" t="s">
        <v>506</v>
      </c>
      <c r="E27" s="15" t="s">
        <v>528</v>
      </c>
      <c r="F27" s="15"/>
      <c r="G27" s="50">
        <f ca="1" t="shared" si="1"/>
        <v>373.50445</v>
      </c>
      <c r="H27" s="51">
        <f ca="1" t="shared" si="1"/>
        <v>170.859883</v>
      </c>
      <c r="I27" s="52">
        <f ca="1" t="shared" si="1"/>
        <v>-234.57904</v>
      </c>
    </row>
    <row r="28" spans="3:9" s="19" customFormat="1" ht="12.75">
      <c r="C28" s="10" t="s">
        <v>507</v>
      </c>
      <c r="D28" s="11" t="s">
        <v>508</v>
      </c>
      <c r="E28" s="11" t="s">
        <v>528</v>
      </c>
      <c r="F28" s="11"/>
      <c r="G28" s="47">
        <f ca="1" t="shared" si="1"/>
        <v>223.12771</v>
      </c>
      <c r="H28" s="48">
        <f ca="1" t="shared" si="1"/>
        <v>170.857126</v>
      </c>
      <c r="I28" s="49">
        <f ca="1" t="shared" si="1"/>
        <v>-321.398179</v>
      </c>
    </row>
    <row r="29" spans="3:9" s="19" customFormat="1" ht="12.75">
      <c r="C29" s="18"/>
      <c r="D29" s="19" t="s">
        <v>509</v>
      </c>
      <c r="E29" s="19" t="s">
        <v>528</v>
      </c>
      <c r="G29" s="44">
        <f ca="1" t="shared" si="1"/>
        <v>373.123603</v>
      </c>
      <c r="H29" s="45">
        <f ca="1" t="shared" si="1"/>
        <v>170.854376</v>
      </c>
      <c r="I29" s="46">
        <f ca="1" t="shared" si="1"/>
        <v>-407.997437</v>
      </c>
    </row>
    <row r="30" spans="3:9" s="19" customFormat="1" ht="12.75">
      <c r="C30" s="18"/>
      <c r="D30" s="19" t="s">
        <v>510</v>
      </c>
      <c r="E30" s="19" t="s">
        <v>528</v>
      </c>
      <c r="G30" s="44">
        <f ca="1" t="shared" si="1"/>
        <v>248.123882</v>
      </c>
      <c r="H30" s="45">
        <f ca="1" t="shared" si="1"/>
        <v>170.854534</v>
      </c>
      <c r="I30" s="46">
        <f ca="1" t="shared" si="1"/>
        <v>-407.997961</v>
      </c>
    </row>
    <row r="31" spans="3:9" s="19" customFormat="1" ht="12.75">
      <c r="C31" s="18"/>
      <c r="D31" s="19" t="s">
        <v>511</v>
      </c>
      <c r="E31" s="19" t="s">
        <v>528</v>
      </c>
      <c r="G31" s="44">
        <f ca="1" t="shared" si="1"/>
        <v>248.126616</v>
      </c>
      <c r="H31" s="45">
        <f ca="1" t="shared" si="1"/>
        <v>170.858759</v>
      </c>
      <c r="I31" s="46">
        <f ca="1" t="shared" si="1"/>
        <v>-457.998896</v>
      </c>
    </row>
    <row r="32" spans="3:9" s="19" customFormat="1" ht="12.75">
      <c r="C32" s="18"/>
      <c r="D32" s="19" t="s">
        <v>512</v>
      </c>
      <c r="E32" s="19" t="s">
        <v>528</v>
      </c>
      <c r="G32" s="44">
        <f ca="1" t="shared" si="1"/>
        <v>248.123672</v>
      </c>
      <c r="H32" s="45">
        <f ca="1" t="shared" si="1"/>
        <v>170.854597</v>
      </c>
      <c r="I32" s="46">
        <f ca="1" t="shared" si="1"/>
        <v>-457.995952</v>
      </c>
    </row>
    <row r="33" spans="3:9" s="19" customFormat="1" ht="12.75">
      <c r="C33" s="18"/>
      <c r="D33" s="19" t="s">
        <v>513</v>
      </c>
      <c r="E33" s="19" t="s">
        <v>528</v>
      </c>
      <c r="G33" s="44">
        <f ca="1" t="shared" si="1"/>
        <v>373.123266</v>
      </c>
      <c r="H33" s="45">
        <f ca="1" t="shared" si="1"/>
        <v>170.858602</v>
      </c>
      <c r="I33" s="46">
        <f ca="1" t="shared" si="1"/>
        <v>-457.998372</v>
      </c>
    </row>
    <row r="34" spans="3:9" s="19" customFormat="1" ht="12.75">
      <c r="C34" s="18"/>
      <c r="D34" s="19" t="s">
        <v>514</v>
      </c>
      <c r="E34" s="19" t="s">
        <v>528</v>
      </c>
      <c r="G34" s="44">
        <f ca="1" t="shared" si="1"/>
        <v>223.12771</v>
      </c>
      <c r="H34" s="45">
        <f ca="1" t="shared" si="1"/>
        <v>170.855908</v>
      </c>
      <c r="I34" s="46">
        <f ca="1" t="shared" si="1"/>
        <v>-544.597766</v>
      </c>
    </row>
    <row r="35" spans="1:9" s="19" customFormat="1" ht="12.75">
      <c r="A35" s="29"/>
      <c r="C35" s="18"/>
      <c r="D35" s="19" t="s">
        <v>515</v>
      </c>
      <c r="E35" s="19" t="s">
        <v>528</v>
      </c>
      <c r="G35" s="44">
        <f ca="1" t="shared" si="1"/>
        <v>354.74645499999997</v>
      </c>
      <c r="H35" s="45">
        <f ca="1" t="shared" si="1"/>
        <v>170.853544</v>
      </c>
      <c r="I35" s="46">
        <f ca="1" t="shared" si="1"/>
        <v>-620.587374</v>
      </c>
    </row>
    <row r="36" spans="3:9" s="19" customFormat="1" ht="12.75">
      <c r="C36" s="18"/>
      <c r="D36" s="19" t="s">
        <v>516</v>
      </c>
      <c r="E36" s="19" t="s">
        <v>528</v>
      </c>
      <c r="G36" s="44">
        <f ca="1" t="shared" si="1"/>
        <v>263.583891</v>
      </c>
      <c r="H36" s="45">
        <f ca="1" t="shared" si="1"/>
        <v>170.855319</v>
      </c>
      <c r="I36" s="46">
        <f ca="1" t="shared" si="1"/>
        <v>-636.662659</v>
      </c>
    </row>
    <row r="37" spans="3:9" s="19" customFormat="1" ht="13.5" thickBot="1">
      <c r="C37" s="14"/>
      <c r="D37" s="15" t="s">
        <v>517</v>
      </c>
      <c r="E37" s="19" t="s">
        <v>528</v>
      </c>
      <c r="F37" s="15" t="s">
        <v>158</v>
      </c>
      <c r="G37" s="50">
        <f ca="1" t="shared" si="1"/>
        <v>263.582508</v>
      </c>
      <c r="H37" s="51">
        <f ca="1" t="shared" si="1"/>
        <v>250.856678</v>
      </c>
      <c r="I37" s="52">
        <f ca="1" t="shared" si="1"/>
        <v>-636.663651</v>
      </c>
    </row>
    <row r="38" spans="1:9" s="19" customFormat="1" ht="13.5" thickBot="1">
      <c r="A38" s="28"/>
      <c r="B38" s="28"/>
      <c r="D38" s="19" t="s">
        <v>506</v>
      </c>
      <c r="E38" s="19" t="s">
        <v>529</v>
      </c>
      <c r="F38" s="19" t="s">
        <v>126</v>
      </c>
      <c r="G38" s="44">
        <f ca="1" t="shared" si="1"/>
      </c>
      <c r="H38" s="45">
        <f ca="1" t="shared" si="1"/>
      </c>
      <c r="I38" s="46">
        <f ca="1" t="shared" si="1"/>
      </c>
    </row>
    <row r="39" spans="1:9" s="19" customFormat="1" ht="12.75">
      <c r="A39" s="28"/>
      <c r="B39" s="28"/>
      <c r="C39" s="10" t="s">
        <v>518</v>
      </c>
      <c r="D39" s="11" t="s">
        <v>508</v>
      </c>
      <c r="E39" s="11" t="s">
        <v>529</v>
      </c>
      <c r="F39" s="11" t="s">
        <v>157</v>
      </c>
      <c r="G39" s="47">
        <f ca="1" t="shared" si="1"/>
        <v>223.12771</v>
      </c>
      <c r="H39" s="48">
        <f ca="1" t="shared" si="1"/>
        <v>170.857126</v>
      </c>
      <c r="I39" s="49">
        <f ca="1" t="shared" si="1"/>
        <v>-321.398179</v>
      </c>
    </row>
    <row r="40" spans="1:9" s="19" customFormat="1" ht="12.75">
      <c r="A40" s="28"/>
      <c r="B40" s="28"/>
      <c r="C40" s="18"/>
      <c r="D40" s="19" t="s">
        <v>519</v>
      </c>
      <c r="E40" s="19" t="s">
        <v>529</v>
      </c>
      <c r="G40" s="44">
        <f ca="1" t="shared" si="1"/>
        <v>73.13181599999999</v>
      </c>
      <c r="H40" s="45">
        <f ca="1" t="shared" si="1"/>
        <v>170.854376</v>
      </c>
      <c r="I40" s="46">
        <f ca="1" t="shared" si="1"/>
        <v>-407.997437</v>
      </c>
    </row>
    <row r="41" spans="1:9" s="19" customFormat="1" ht="12.75">
      <c r="A41" s="28"/>
      <c r="B41" s="28"/>
      <c r="C41" s="18"/>
      <c r="D41" s="19" t="s">
        <v>520</v>
      </c>
      <c r="E41" s="19" t="s">
        <v>529</v>
      </c>
      <c r="G41" s="44">
        <f ca="1" t="shared" si="1"/>
        <v>198.131538</v>
      </c>
      <c r="H41" s="45">
        <f ca="1" t="shared" si="1"/>
        <v>170.854534</v>
      </c>
      <c r="I41" s="46">
        <f ca="1" t="shared" si="1"/>
        <v>-407.997961</v>
      </c>
    </row>
    <row r="42" spans="1:9" s="19" customFormat="1" ht="12.75">
      <c r="A42" s="28"/>
      <c r="B42" s="28"/>
      <c r="C42" s="18"/>
      <c r="D42" s="19" t="s">
        <v>521</v>
      </c>
      <c r="E42" s="19" t="s">
        <v>529</v>
      </c>
      <c r="G42" s="44">
        <f aca="true" ca="1" t="shared" si="2" ref="G42:I48">IF(Flag="Ignore","",INDIRECT("RayImpacts!"&amp;Axe&amp;System&amp;"Gut"))</f>
        <v>198.128804</v>
      </c>
      <c r="H42" s="45">
        <f ca="1" t="shared" si="2"/>
        <v>170.858759</v>
      </c>
      <c r="I42" s="46">
        <f ca="1" t="shared" si="2"/>
        <v>-457.998896</v>
      </c>
    </row>
    <row r="43" spans="1:9" s="19" customFormat="1" ht="12.75">
      <c r="A43" s="28"/>
      <c r="B43" s="28"/>
      <c r="C43" s="18"/>
      <c r="D43" s="19" t="s">
        <v>522</v>
      </c>
      <c r="E43" s="19" t="s">
        <v>529</v>
      </c>
      <c r="G43" s="44">
        <f ca="1" t="shared" si="2"/>
        <v>198.131747</v>
      </c>
      <c r="H43" s="45">
        <f ca="1" t="shared" si="2"/>
        <v>170.854597</v>
      </c>
      <c r="I43" s="46">
        <f ca="1" t="shared" si="2"/>
        <v>-457.995952</v>
      </c>
    </row>
    <row r="44" spans="1:9" s="19" customFormat="1" ht="12.75">
      <c r="A44" s="28"/>
      <c r="B44" s="28"/>
      <c r="C44" s="18"/>
      <c r="D44" s="19" t="s">
        <v>523</v>
      </c>
      <c r="E44" s="19" t="s">
        <v>529</v>
      </c>
      <c r="G44" s="44">
        <f ca="1" t="shared" si="2"/>
        <v>73.13215299999999</v>
      </c>
      <c r="H44" s="45">
        <f ca="1" t="shared" si="2"/>
        <v>170.858602</v>
      </c>
      <c r="I44" s="46">
        <f ca="1" t="shared" si="2"/>
        <v>-457.998372</v>
      </c>
    </row>
    <row r="45" spans="1:9" s="19" customFormat="1" ht="12.75">
      <c r="A45" s="28"/>
      <c r="B45" s="28"/>
      <c r="C45" s="18"/>
      <c r="D45" s="19" t="s">
        <v>514</v>
      </c>
      <c r="E45" s="19" t="s">
        <v>529</v>
      </c>
      <c r="G45" s="44">
        <f ca="1" t="shared" si="2"/>
        <v>223.12771</v>
      </c>
      <c r="H45" s="45">
        <f ca="1" t="shared" si="2"/>
        <v>170.855908</v>
      </c>
      <c r="I45" s="46">
        <f ca="1" t="shared" si="2"/>
        <v>-544.597766</v>
      </c>
    </row>
    <row r="46" spans="1:9" s="19" customFormat="1" ht="12.75">
      <c r="A46" s="28"/>
      <c r="B46" s="28"/>
      <c r="C46" s="18"/>
      <c r="D46" s="19" t="s">
        <v>524</v>
      </c>
      <c r="E46" s="19" t="s">
        <v>529</v>
      </c>
      <c r="G46" s="44">
        <f ca="1" t="shared" si="2"/>
        <v>91.508965</v>
      </c>
      <c r="H46" s="45">
        <f ca="1" t="shared" si="2"/>
        <v>170.853544</v>
      </c>
      <c r="I46" s="46">
        <f ca="1" t="shared" si="2"/>
        <v>-620.587374</v>
      </c>
    </row>
    <row r="47" spans="1:9" s="19" customFormat="1" ht="12.75">
      <c r="A47" s="28"/>
      <c r="B47" s="28"/>
      <c r="C47" s="18"/>
      <c r="D47" s="19" t="s">
        <v>525</v>
      </c>
      <c r="E47" s="19" t="s">
        <v>529</v>
      </c>
      <c r="G47" s="44">
        <f ca="1" t="shared" si="2"/>
        <v>182.671529</v>
      </c>
      <c r="H47" s="45">
        <f ca="1" t="shared" si="2"/>
        <v>170.855319</v>
      </c>
      <c r="I47" s="46">
        <f ca="1" t="shared" si="2"/>
        <v>-636.662659</v>
      </c>
    </row>
    <row r="48" spans="1:9" s="19" customFormat="1" ht="13.5" thickBot="1">
      <c r="A48" s="28"/>
      <c r="B48" s="28"/>
      <c r="C48" s="14"/>
      <c r="D48" s="15" t="s">
        <v>526</v>
      </c>
      <c r="E48" s="15" t="s">
        <v>529</v>
      </c>
      <c r="F48" s="15" t="s">
        <v>158</v>
      </c>
      <c r="G48" s="50">
        <f ca="1" t="shared" si="2"/>
        <v>182.672912</v>
      </c>
      <c r="H48" s="51">
        <f ca="1" t="shared" si="2"/>
        <v>250.856678</v>
      </c>
      <c r="I48" s="52">
        <f ca="1" t="shared" si="2"/>
        <v>-636.663651</v>
      </c>
    </row>
    <row r="49" spans="1:17" ht="12.75">
      <c r="A49" s="126" t="s">
        <v>553</v>
      </c>
      <c r="C49" s="19"/>
      <c r="D49" s="19"/>
      <c r="E49" s="19"/>
      <c r="F49" s="19"/>
      <c r="G49" s="45" t="s">
        <v>17</v>
      </c>
      <c r="H49" s="45" t="s">
        <v>80</v>
      </c>
      <c r="I49" s="45" t="s">
        <v>81</v>
      </c>
      <c r="O49" s="1"/>
      <c r="P49" s="1"/>
      <c r="Q49" s="1"/>
    </row>
    <row r="50" spans="1:17" ht="12.75">
      <c r="A50" s="22"/>
      <c r="B50" s="22"/>
      <c r="C50" s="19"/>
      <c r="D50" s="19"/>
      <c r="E50" s="19"/>
      <c r="F50" s="19"/>
      <c r="G50" s="45"/>
      <c r="H50" s="45"/>
      <c r="I50" s="45"/>
      <c r="O50" s="1"/>
      <c r="P50" s="1"/>
      <c r="Q50" s="1"/>
    </row>
    <row r="51" spans="1:17" ht="12.75">
      <c r="A51" s="22"/>
      <c r="B51" s="22"/>
      <c r="D51" s="23" t="s">
        <v>135</v>
      </c>
      <c r="F51" s="29" t="s">
        <v>301</v>
      </c>
      <c r="G51" s="1"/>
      <c r="H51" s="45"/>
      <c r="I51" s="45"/>
      <c r="O51" s="1"/>
      <c r="P51" s="1"/>
      <c r="Q51" s="1"/>
    </row>
    <row r="52" spans="1:17" ht="12.75">
      <c r="A52" s="22"/>
      <c r="B52" s="22"/>
      <c r="D52" s="1" t="s">
        <v>17</v>
      </c>
      <c r="E52" s="1" t="str">
        <f>"-Zsyno"</f>
        <v>-Zsyno</v>
      </c>
      <c r="F52" s="19" t="s">
        <v>405</v>
      </c>
      <c r="G52" s="1" t="s">
        <v>128</v>
      </c>
      <c r="H52" s="45"/>
      <c r="I52" s="45"/>
      <c r="O52" s="1"/>
      <c r="P52" s="1"/>
      <c r="Q52" s="1"/>
    </row>
    <row r="53" spans="1:17" ht="12.75">
      <c r="A53" s="22"/>
      <c r="B53" s="22"/>
      <c r="D53" s="1" t="s">
        <v>80</v>
      </c>
      <c r="E53" s="1" t="s">
        <v>131</v>
      </c>
      <c r="F53" s="19" t="s">
        <v>406</v>
      </c>
      <c r="G53" s="1" t="s">
        <v>129</v>
      </c>
      <c r="H53" s="45"/>
      <c r="I53" s="45"/>
      <c r="O53" s="1"/>
      <c r="P53" s="1"/>
      <c r="Q53" s="1"/>
    </row>
    <row r="54" spans="1:17" ht="12.75">
      <c r="A54" s="22"/>
      <c r="B54" s="22"/>
      <c r="D54" s="1" t="s">
        <v>81</v>
      </c>
      <c r="E54" s="1" t="s">
        <v>132</v>
      </c>
      <c r="F54" s="19" t="s">
        <v>407</v>
      </c>
      <c r="G54" s="1" t="s">
        <v>130</v>
      </c>
      <c r="H54" s="45"/>
      <c r="I54" s="45"/>
      <c r="O54" s="1"/>
      <c r="P54" s="1"/>
      <c r="Q54" s="1"/>
    </row>
    <row r="55" spans="1:17" ht="12.75">
      <c r="A55" s="22"/>
      <c r="B55" s="22"/>
      <c r="C55" s="19"/>
      <c r="D55" s="19"/>
      <c r="F55" s="19"/>
      <c r="G55" s="45"/>
      <c r="H55" s="45"/>
      <c r="I55" s="45"/>
      <c r="O55" s="1"/>
      <c r="P55" s="1"/>
      <c r="Q55" s="1"/>
    </row>
    <row r="56" spans="1:17" ht="12.75">
      <c r="A56" s="22"/>
      <c r="B56" s="22"/>
      <c r="C56" s="19"/>
      <c r="D56" s="19"/>
      <c r="E56" s="19"/>
      <c r="F56" s="19"/>
      <c r="G56" s="45"/>
      <c r="H56" s="45"/>
      <c r="I56" s="45"/>
      <c r="O56" s="1"/>
      <c r="P56" s="1"/>
      <c r="Q56" s="1"/>
    </row>
    <row r="57" spans="1:17" ht="12.75">
      <c r="A57" s="22"/>
      <c r="B57" s="22"/>
      <c r="C57" s="19"/>
      <c r="D57" s="19"/>
      <c r="E57" s="19"/>
      <c r="F57" s="19"/>
      <c r="G57" s="45"/>
      <c r="H57" s="45"/>
      <c r="I57" s="45"/>
      <c r="O57" s="1"/>
      <c r="P57" s="1"/>
      <c r="Q57" s="1"/>
    </row>
    <row r="58" ht="12.75">
      <c r="E58" s="19"/>
    </row>
  </sheetData>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&amp;L&amp;F, &amp;A&amp;R&amp;T, &amp;D</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59"/>
  <sheetViews>
    <sheetView zoomScale="75" zoomScaleNormal="75" workbookViewId="0" topLeftCell="A1">
      <selection activeCell="I53" sqref="I53"/>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23" width="14.16015625" style="89" customWidth="1"/>
    <col min="24" max="24" width="11.33203125" style="8" customWidth="1"/>
    <col min="25" max="25" width="12" style="1" customWidth="1"/>
    <col min="26" max="31" width="9.33203125" style="20" customWidth="1"/>
    <col min="32" max="16384" width="12" style="1" customWidth="1"/>
  </cols>
  <sheetData>
    <row r="1" spans="3:31" s="5" customFormat="1" ht="12.75">
      <c r="C1" s="5" t="s">
        <v>127</v>
      </c>
      <c r="D1" s="5" t="s">
        <v>2</v>
      </c>
      <c r="E1" s="5" t="s">
        <v>530</v>
      </c>
      <c r="F1" s="6" t="s">
        <v>592</v>
      </c>
      <c r="G1" s="6" t="s">
        <v>463</v>
      </c>
      <c r="H1" s="5" t="s">
        <v>156</v>
      </c>
      <c r="I1" s="82" t="s">
        <v>18</v>
      </c>
      <c r="J1" s="83" t="s">
        <v>19</v>
      </c>
      <c r="K1" s="84" t="s">
        <v>20</v>
      </c>
      <c r="L1" s="85" t="s">
        <v>14</v>
      </c>
      <c r="M1" s="85" t="s">
        <v>15</v>
      </c>
      <c r="N1" s="85" t="s">
        <v>16</v>
      </c>
      <c r="O1" s="82" t="s">
        <v>11</v>
      </c>
      <c r="P1" s="83" t="s">
        <v>12</v>
      </c>
      <c r="Q1" s="84" t="s">
        <v>13</v>
      </c>
      <c r="R1" s="85" t="s">
        <v>21</v>
      </c>
      <c r="S1" s="85" t="s">
        <v>22</v>
      </c>
      <c r="T1" s="85" t="s">
        <v>23</v>
      </c>
      <c r="U1" s="82" t="s">
        <v>24</v>
      </c>
      <c r="V1" s="83" t="s">
        <v>25</v>
      </c>
      <c r="W1" s="84" t="s">
        <v>26</v>
      </c>
      <c r="X1" s="6" t="s">
        <v>403</v>
      </c>
      <c r="Y1" s="117" t="s">
        <v>2</v>
      </c>
      <c r="Z1" s="26"/>
      <c r="AA1" s="26"/>
      <c r="AB1" s="26"/>
      <c r="AC1" s="26"/>
      <c r="AD1" s="26"/>
      <c r="AE1" s="26"/>
    </row>
    <row r="2" spans="4:25" ht="13.5" thickBot="1">
      <c r="D2" s="1" t="s">
        <v>91</v>
      </c>
      <c r="E2" s="1" t="s">
        <v>527</v>
      </c>
      <c r="H2" s="1" t="s">
        <v>126</v>
      </c>
      <c r="I2" s="86">
        <f aca="true" ca="1" t="shared" si="0" ref="I2:K21">IF(OR(Flag="Ignore",Flag="Det",Flag="Hole"),"",INDIRECT(Flag&amp;"Calc!"&amp;Axe&amp;Flag))</f>
      </c>
      <c r="J2" s="87">
        <f ca="1" t="shared" si="0"/>
      </c>
      <c r="K2" s="88">
        <f ca="1" t="shared" si="0"/>
      </c>
      <c r="L2" s="89">
        <f aca="true" ca="1" t="shared" si="1" ref="L2:N21">IF(OR(Flag="Ignore",Flag="Det",Flag="Hole"),"",INDIRECT(Flag&amp;"Calc!"&amp;Axe&amp;"Norm"))</f>
      </c>
      <c r="M2" s="89">
        <f ca="1" t="shared" si="1"/>
      </c>
      <c r="N2" s="89">
        <f ca="1" t="shared" si="1"/>
      </c>
      <c r="O2" s="86">
        <f aca="true" ca="1" t="shared" si="2" ref="O2:Q21">IF(OR(Flag="Ignore",Flag="Det",Flag="Hole"),"",INDIRECT(Axe&amp;"mirr")+IF(ThMirr="Thick",Thick,Thin)*INDIRECT(Axe&amp;"norm"))</f>
      </c>
      <c r="P2" s="87">
        <f ca="1" t="shared" si="2"/>
      </c>
      <c r="Q2" s="88">
        <f ca="1" t="shared" si="2"/>
      </c>
      <c r="R2" s="89">
        <f aca="true" ca="1" t="shared" si="3" ref="R2:T21">IF(OR(Flag="Ignore",Flag="Det",Flag="Hole"),"",INDIRECT(Flag&amp;"Calc!"&amp;Axe&amp;"sag"))</f>
      </c>
      <c r="S2" s="89">
        <f ca="1" t="shared" si="3"/>
      </c>
      <c r="T2" s="89">
        <f ca="1" t="shared" si="3"/>
      </c>
      <c r="U2" s="86">
        <f aca="true" ca="1" t="shared" si="4" ref="U2:W21">IF(OR(Flag="Ignore",Flag="Det",Flag="Hole"),"",INDIRECT(Axe&amp;"spig")+DowlSep*DowlDir*INDIRECT(Axe&amp;"sag"))</f>
      </c>
      <c r="V2" s="87">
        <f ca="1" t="shared" si="4"/>
      </c>
      <c r="W2" s="88">
        <f ca="1" t="shared" si="4"/>
      </c>
      <c r="X2" s="8">
        <f>IF(OR(Flag="Ignore",Flag="Hole",Flag="Det"),"",ACOS(Xsag*Xnorm+Ysag*Ynorm+Zsag*Znorm)*180/PI())</f>
      </c>
      <c r="Y2" s="118" t="s">
        <v>91</v>
      </c>
    </row>
    <row r="3" spans="3:25" ht="12.75">
      <c r="C3" s="10" t="s">
        <v>120</v>
      </c>
      <c r="D3" s="11" t="s">
        <v>92</v>
      </c>
      <c r="E3" s="11" t="s">
        <v>527</v>
      </c>
      <c r="F3" s="12"/>
      <c r="G3" s="12"/>
      <c r="H3" s="11" t="s">
        <v>126</v>
      </c>
      <c r="I3" s="90">
        <f ca="1" t="shared" si="0"/>
      </c>
      <c r="J3" s="91">
        <f ca="1" t="shared" si="0"/>
      </c>
      <c r="K3" s="92">
        <f ca="1" t="shared" si="0"/>
      </c>
      <c r="L3" s="91">
        <f ca="1" t="shared" si="1"/>
      </c>
      <c r="M3" s="91">
        <f ca="1" t="shared" si="1"/>
      </c>
      <c r="N3" s="91">
        <f ca="1" t="shared" si="1"/>
      </c>
      <c r="O3" s="90">
        <f ca="1" t="shared" si="2"/>
      </c>
      <c r="P3" s="91">
        <f ca="1" t="shared" si="2"/>
      </c>
      <c r="Q3" s="92">
        <f ca="1" t="shared" si="2"/>
      </c>
      <c r="R3" s="91">
        <f ca="1" t="shared" si="3"/>
      </c>
      <c r="S3" s="91">
        <f ca="1" t="shared" si="3"/>
      </c>
      <c r="T3" s="91">
        <f ca="1" t="shared" si="3"/>
      </c>
      <c r="U3" s="90">
        <f ca="1" t="shared" si="4"/>
      </c>
      <c r="V3" s="91">
        <f ca="1" t="shared" si="4"/>
      </c>
      <c r="W3" s="92">
        <f ca="1" t="shared" si="4"/>
      </c>
      <c r="X3" s="12">
        <f aca="true" t="shared" si="5" ref="X3:X47">IF(OR(Flag="Ignore",Flag="Hole",Flag="Det"),"",ACOS(Xsag*Xnorm+Ysag*Ynorm+Zsag*Znorm)*180/PI())</f>
      </c>
      <c r="Y3" s="119" t="s">
        <v>92</v>
      </c>
    </row>
    <row r="4" spans="3:25" ht="13.5" thickBot="1">
      <c r="C4" s="14"/>
      <c r="D4" s="15" t="s">
        <v>93</v>
      </c>
      <c r="E4" s="15" t="s">
        <v>527</v>
      </c>
      <c r="F4" s="16"/>
      <c r="G4" s="16"/>
      <c r="H4" s="15" t="s">
        <v>126</v>
      </c>
      <c r="I4" s="93">
        <f ca="1" t="shared" si="0"/>
      </c>
      <c r="J4" s="94">
        <f ca="1" t="shared" si="0"/>
      </c>
      <c r="K4" s="95">
        <f ca="1" t="shared" si="0"/>
      </c>
      <c r="L4" s="94">
        <f ca="1" t="shared" si="1"/>
      </c>
      <c r="M4" s="94">
        <f ca="1" t="shared" si="1"/>
      </c>
      <c r="N4" s="94">
        <f ca="1" t="shared" si="1"/>
      </c>
      <c r="O4" s="93">
        <f ca="1" t="shared" si="2"/>
      </c>
      <c r="P4" s="94">
        <f ca="1" t="shared" si="2"/>
      </c>
      <c r="Q4" s="95">
        <f ca="1" t="shared" si="2"/>
      </c>
      <c r="R4" s="94">
        <f ca="1" t="shared" si="3"/>
      </c>
      <c r="S4" s="94">
        <f ca="1" t="shared" si="3"/>
      </c>
      <c r="T4" s="94">
        <f ca="1" t="shared" si="3"/>
      </c>
      <c r="U4" s="93">
        <f ca="1" t="shared" si="4"/>
      </c>
      <c r="V4" s="94">
        <f ca="1" t="shared" si="4"/>
      </c>
      <c r="W4" s="95">
        <f ca="1" t="shared" si="4"/>
      </c>
      <c r="X4" s="16">
        <f t="shared" si="5"/>
      </c>
      <c r="Y4" s="120" t="s">
        <v>93</v>
      </c>
    </row>
    <row r="5" spans="1:25" ht="12.75">
      <c r="A5" s="19"/>
      <c r="B5" s="19"/>
      <c r="C5" s="18" t="s">
        <v>121</v>
      </c>
      <c r="D5" s="19" t="s">
        <v>94</v>
      </c>
      <c r="E5" s="19" t="s">
        <v>527</v>
      </c>
      <c r="F5" s="20"/>
      <c r="G5" s="20"/>
      <c r="H5" s="19" t="s">
        <v>157</v>
      </c>
      <c r="I5" s="86">
        <f ca="1" t="shared" si="0"/>
      </c>
      <c r="J5" s="87">
        <f ca="1" t="shared" si="0"/>
      </c>
      <c r="K5" s="88">
        <f ca="1" t="shared" si="0"/>
      </c>
      <c r="L5" s="89">
        <f ca="1" t="shared" si="1"/>
      </c>
      <c r="M5" s="89">
        <f ca="1" t="shared" si="1"/>
      </c>
      <c r="N5" s="89">
        <f ca="1" t="shared" si="1"/>
      </c>
      <c r="O5" s="86">
        <f ca="1" t="shared" si="2"/>
      </c>
      <c r="P5" s="87">
        <f ca="1" t="shared" si="2"/>
      </c>
      <c r="Q5" s="88">
        <f ca="1" t="shared" si="2"/>
      </c>
      <c r="R5" s="89">
        <f ca="1" t="shared" si="3"/>
      </c>
      <c r="S5" s="89">
        <f ca="1" t="shared" si="3"/>
      </c>
      <c r="T5" s="89">
        <f ca="1" t="shared" si="3"/>
      </c>
      <c r="U5" s="86">
        <f ca="1" t="shared" si="4"/>
      </c>
      <c r="V5" s="87">
        <f ca="1" t="shared" si="4"/>
      </c>
      <c r="W5" s="88">
        <f ca="1" t="shared" si="4"/>
      </c>
      <c r="X5" s="8">
        <f t="shared" si="5"/>
      </c>
      <c r="Y5" s="118" t="s">
        <v>94</v>
      </c>
    </row>
    <row r="6" spans="3:25" ht="12.75">
      <c r="C6" s="18"/>
      <c r="D6" s="19" t="s">
        <v>95</v>
      </c>
      <c r="E6" s="19" t="s">
        <v>527</v>
      </c>
      <c r="F6" s="20" t="s">
        <v>594</v>
      </c>
      <c r="G6" s="20">
        <v>1</v>
      </c>
      <c r="H6" s="19" t="s">
        <v>159</v>
      </c>
      <c r="I6" s="86">
        <f ca="1" t="shared" si="0"/>
        <v>131.229806</v>
      </c>
      <c r="J6" s="87">
        <f ca="1" t="shared" si="0"/>
        <v>-19.500476</v>
      </c>
      <c r="K6" s="88">
        <f ca="1" t="shared" si="0"/>
        <v>-95.222336</v>
      </c>
      <c r="L6" s="89">
        <f ca="1" t="shared" si="1"/>
        <v>0.9700914403662718</v>
      </c>
      <c r="M6" s="89">
        <f ca="1" t="shared" si="1"/>
        <v>0.05123993058213288</v>
      </c>
      <c r="N6" s="89">
        <f ca="1" t="shared" si="1"/>
        <v>-0.23727002938009295</v>
      </c>
      <c r="O6" s="86">
        <f ca="1" t="shared" si="2"/>
        <v>116.73857301140858</v>
      </c>
      <c r="P6" s="87">
        <f ca="1" t="shared" si="2"/>
        <v>-20.265898455541496</v>
      </c>
      <c r="Q6" s="88">
        <f ca="1" t="shared" si="2"/>
        <v>-91.67799457620734</v>
      </c>
      <c r="R6" s="89">
        <f ca="1" t="shared" si="3"/>
        <v>-0.05274616393892295</v>
      </c>
      <c r="S6" s="89">
        <f ca="1" t="shared" si="3"/>
        <v>0.9986079521963203</v>
      </c>
      <c r="T6" s="89">
        <f ca="1" t="shared" si="3"/>
        <v>0</v>
      </c>
      <c r="U6" s="86">
        <f ca="1" t="shared" si="4"/>
        <v>116.10823494710834</v>
      </c>
      <c r="V6" s="87">
        <f ca="1" t="shared" si="4"/>
        <v>-8.332128175846389</v>
      </c>
      <c r="W6" s="88">
        <f ca="1" t="shared" si="4"/>
        <v>-91.67799457620734</v>
      </c>
      <c r="X6" s="8">
        <f t="shared" si="5"/>
        <v>90</v>
      </c>
      <c r="Y6" s="118" t="s">
        <v>95</v>
      </c>
    </row>
    <row r="7" spans="3:25" ht="12.75">
      <c r="C7" s="18"/>
      <c r="D7" s="19" t="s">
        <v>97</v>
      </c>
      <c r="E7" s="19" t="s">
        <v>527</v>
      </c>
      <c r="F7" s="20"/>
      <c r="G7" s="20"/>
      <c r="H7" s="19" t="s">
        <v>126</v>
      </c>
      <c r="I7" s="86">
        <f ca="1" t="shared" si="0"/>
      </c>
      <c r="J7" s="87">
        <f ca="1" t="shared" si="0"/>
      </c>
      <c r="K7" s="88">
        <f ca="1" t="shared" si="0"/>
      </c>
      <c r="L7" s="89">
        <f ca="1" t="shared" si="1"/>
      </c>
      <c r="M7" s="89">
        <f ca="1" t="shared" si="1"/>
      </c>
      <c r="N7" s="89">
        <f ca="1" t="shared" si="1"/>
      </c>
      <c r="O7" s="86">
        <f ca="1" t="shared" si="2"/>
      </c>
      <c r="P7" s="87">
        <f ca="1" t="shared" si="2"/>
      </c>
      <c r="Q7" s="88">
        <f ca="1" t="shared" si="2"/>
      </c>
      <c r="R7" s="89">
        <f ca="1" t="shared" si="3"/>
      </c>
      <c r="S7" s="89">
        <f ca="1" t="shared" si="3"/>
      </c>
      <c r="T7" s="89">
        <f ca="1" t="shared" si="3"/>
      </c>
      <c r="U7" s="86">
        <f ca="1" t="shared" si="4"/>
      </c>
      <c r="V7" s="87">
        <f ca="1" t="shared" si="4"/>
      </c>
      <c r="W7" s="88">
        <f ca="1" t="shared" si="4"/>
      </c>
      <c r="X7" s="8">
        <f t="shared" si="5"/>
      </c>
      <c r="Y7" s="118" t="s">
        <v>97</v>
      </c>
    </row>
    <row r="8" spans="3:25" ht="13.5" thickBot="1">
      <c r="C8" s="18"/>
      <c r="D8" s="19" t="s">
        <v>98</v>
      </c>
      <c r="E8" s="19" t="s">
        <v>527</v>
      </c>
      <c r="F8" s="20" t="s">
        <v>594</v>
      </c>
      <c r="G8" s="20">
        <v>1</v>
      </c>
      <c r="H8" s="19" t="s">
        <v>160</v>
      </c>
      <c r="I8" s="86">
        <f ca="1" t="shared" si="0"/>
        <v>120.054658</v>
      </c>
      <c r="J8" s="87">
        <f ca="1" t="shared" si="0"/>
        <v>19.499867</v>
      </c>
      <c r="K8" s="88">
        <f ca="1" t="shared" si="0"/>
        <v>-181.314796</v>
      </c>
      <c r="L8" s="89">
        <f ca="1" t="shared" si="1"/>
        <v>0.9642130562993577</v>
      </c>
      <c r="M8" s="89">
        <f ca="1" t="shared" si="1"/>
        <v>-0.07003815177270171</v>
      </c>
      <c r="N8" s="89">
        <f ca="1" t="shared" si="1"/>
        <v>-0.25571046000919795</v>
      </c>
      <c r="O8" s="86">
        <f ca="1" t="shared" si="2"/>
        <v>105.651236355335</v>
      </c>
      <c r="P8" s="87">
        <f ca="1" t="shared" si="2"/>
        <v>20.546097420346086</v>
      </c>
      <c r="Q8" s="88">
        <f ca="1" t="shared" si="2"/>
        <v>-177.494991289411</v>
      </c>
      <c r="R8" s="89">
        <f ca="1" t="shared" si="3"/>
        <v>0.07244675929230021</v>
      </c>
      <c r="S8" s="89">
        <f ca="1" t="shared" si="3"/>
        <v>0.9973722810806622</v>
      </c>
      <c r="T8" s="89">
        <f ca="1" t="shared" si="3"/>
        <v>0</v>
      </c>
      <c r="U8" s="86">
        <f ca="1" t="shared" si="4"/>
        <v>106.51700452892221</v>
      </c>
      <c r="V8" s="87">
        <f ca="1" t="shared" si="4"/>
        <v>32.46510092875414</v>
      </c>
      <c r="W8" s="88">
        <f ca="1" t="shared" si="4"/>
        <v>-177.494991289411</v>
      </c>
      <c r="X8" s="8">
        <f t="shared" si="5"/>
        <v>90.00000000000001</v>
      </c>
      <c r="Y8" s="118" t="s">
        <v>98</v>
      </c>
    </row>
    <row r="9" spans="1:25" ht="12.75">
      <c r="A9" s="23" t="s">
        <v>593</v>
      </c>
      <c r="C9" s="10" t="s">
        <v>122</v>
      </c>
      <c r="D9" s="11" t="s">
        <v>101</v>
      </c>
      <c r="E9" s="11" t="s">
        <v>527</v>
      </c>
      <c r="F9" s="12"/>
      <c r="G9" s="12">
        <v>1</v>
      </c>
      <c r="H9" s="11" t="s">
        <v>385</v>
      </c>
      <c r="I9" s="90">
        <f ca="1" t="shared" si="0"/>
        <v>296.150668</v>
      </c>
      <c r="J9" s="91">
        <f ca="1" t="shared" si="0"/>
        <v>0</v>
      </c>
      <c r="K9" s="92">
        <f ca="1" t="shared" si="0"/>
        <v>-259.533222</v>
      </c>
      <c r="L9" s="91">
        <f ca="1" t="shared" si="1"/>
        <v>-0.9866933234324157</v>
      </c>
      <c r="M9" s="91">
        <f ca="1" t="shared" si="1"/>
        <v>0</v>
      </c>
      <c r="N9" s="91">
        <f ca="1" t="shared" si="1"/>
        <v>0.16259239063958172</v>
      </c>
      <c r="O9" s="90">
        <f ca="1" t="shared" si="2"/>
        <v>303.02897628464564</v>
      </c>
      <c r="P9" s="91">
        <f ca="1" t="shared" si="2"/>
        <v>0</v>
      </c>
      <c r="Q9" s="92">
        <f ca="1" t="shared" si="2"/>
        <v>-260.66666494625014</v>
      </c>
      <c r="R9" s="91">
        <f ca="1" t="shared" si="3"/>
        <v>0</v>
      </c>
      <c r="S9" s="91">
        <f ca="1" t="shared" si="3"/>
        <v>1</v>
      </c>
      <c r="T9" s="91">
        <f ca="1" t="shared" si="3"/>
        <v>0</v>
      </c>
      <c r="U9" s="90">
        <f ca="1" t="shared" si="4"/>
        <v>303.02897628464564</v>
      </c>
      <c r="V9" s="91">
        <f ca="1" t="shared" si="4"/>
        <v>11.950405815864162</v>
      </c>
      <c r="W9" s="92">
        <f ca="1" t="shared" si="4"/>
        <v>-260.66666494625014</v>
      </c>
      <c r="X9" s="12">
        <f t="shared" si="5"/>
        <v>90</v>
      </c>
      <c r="Y9" s="119" t="s">
        <v>101</v>
      </c>
    </row>
    <row r="10" spans="1:25" ht="12.75">
      <c r="A10" s="1" t="s">
        <v>594</v>
      </c>
      <c r="B10" s="1">
        <f>-15/1.00415</f>
        <v>-14.938007269830203</v>
      </c>
      <c r="C10" s="18"/>
      <c r="D10" s="19" t="s">
        <v>104</v>
      </c>
      <c r="E10" s="19" t="s">
        <v>527</v>
      </c>
      <c r="F10" s="20" t="s">
        <v>594</v>
      </c>
      <c r="G10" s="20">
        <v>1</v>
      </c>
      <c r="H10" s="19" t="s">
        <v>385</v>
      </c>
      <c r="I10" s="86">
        <f ca="1" t="shared" si="0"/>
        <v>94.233806</v>
      </c>
      <c r="J10" s="87">
        <f ca="1" t="shared" si="0"/>
        <v>0</v>
      </c>
      <c r="K10" s="88">
        <f ca="1" t="shared" si="0"/>
        <v>-279.482925</v>
      </c>
      <c r="L10" s="87">
        <f ca="1" t="shared" si="1"/>
        <v>0.9580859005476418</v>
      </c>
      <c r="M10" s="87">
        <f ca="1" t="shared" si="1"/>
        <v>0</v>
      </c>
      <c r="N10" s="87">
        <f ca="1" t="shared" si="1"/>
        <v>-0.2864810764637242</v>
      </c>
      <c r="O10" s="86">
        <f ca="1" t="shared" si="2"/>
        <v>79.92191185249752</v>
      </c>
      <c r="P10" s="87">
        <f ca="1" t="shared" si="2"/>
        <v>0</v>
      </c>
      <c r="Q10" s="88">
        <f ca="1" t="shared" si="2"/>
        <v>-275.2034685971161</v>
      </c>
      <c r="R10" s="87">
        <f ca="1" t="shared" si="3"/>
        <v>0</v>
      </c>
      <c r="S10" s="87">
        <f ca="1" t="shared" si="3"/>
        <v>1</v>
      </c>
      <c r="T10" s="87">
        <f ca="1" t="shared" si="3"/>
        <v>0</v>
      </c>
      <c r="U10" s="86">
        <f ca="1" t="shared" si="4"/>
        <v>79.92191185249752</v>
      </c>
      <c r="V10" s="87">
        <f ca="1" t="shared" si="4"/>
        <v>11.950405815864162</v>
      </c>
      <c r="W10" s="88">
        <f ca="1" t="shared" si="4"/>
        <v>-275.2034685971161</v>
      </c>
      <c r="X10" s="20">
        <f t="shared" si="5"/>
        <v>90</v>
      </c>
      <c r="Y10" s="118" t="s">
        <v>104</v>
      </c>
    </row>
    <row r="11" spans="1:25" ht="12.75">
      <c r="A11" s="1" t="s">
        <v>595</v>
      </c>
      <c r="B11" s="1">
        <f>-7/1.00415</f>
        <v>-6.971070059254095</v>
      </c>
      <c r="C11" s="18"/>
      <c r="D11" s="19" t="s">
        <v>107</v>
      </c>
      <c r="E11" s="19" t="s">
        <v>527</v>
      </c>
      <c r="F11" s="20"/>
      <c r="G11" s="20">
        <v>1</v>
      </c>
      <c r="H11" s="19" t="s">
        <v>385</v>
      </c>
      <c r="I11" s="86">
        <f ca="1" t="shared" si="0"/>
        <v>240.46642400000002</v>
      </c>
      <c r="J11" s="87">
        <f ca="1" t="shared" si="0"/>
        <v>0</v>
      </c>
      <c r="K11" s="88">
        <f ca="1" t="shared" si="0"/>
        <v>-397.635459</v>
      </c>
      <c r="L11" s="87">
        <f ca="1" t="shared" si="1"/>
        <v>-0.9974275384838198</v>
      </c>
      <c r="M11" s="87">
        <f ca="1" t="shared" si="1"/>
        <v>0</v>
      </c>
      <c r="N11" s="87">
        <f ca="1" t="shared" si="1"/>
        <v>-0.07168197454108007</v>
      </c>
      <c r="O11" s="86">
        <f ca="1" t="shared" si="2"/>
        <v>247.4195612498001</v>
      </c>
      <c r="P11" s="87">
        <f ca="1" t="shared" si="2"/>
        <v>0</v>
      </c>
      <c r="Q11" s="88">
        <f ca="1" t="shared" si="2"/>
        <v>-397.1357589334885</v>
      </c>
      <c r="R11" s="87">
        <f ca="1" t="shared" si="3"/>
        <v>0</v>
      </c>
      <c r="S11" s="87">
        <f ca="1" t="shared" si="3"/>
        <v>1</v>
      </c>
      <c r="T11" s="87">
        <f ca="1" t="shared" si="3"/>
        <v>0</v>
      </c>
      <c r="U11" s="86">
        <f ca="1" t="shared" si="4"/>
        <v>247.4195612498001</v>
      </c>
      <c r="V11" s="87">
        <f ca="1" t="shared" si="4"/>
        <v>11.950405815864162</v>
      </c>
      <c r="W11" s="88">
        <f ca="1" t="shared" si="4"/>
        <v>-397.1357589334885</v>
      </c>
      <c r="X11" s="20">
        <f t="shared" si="5"/>
        <v>90</v>
      </c>
      <c r="Y11" s="118" t="s">
        <v>107</v>
      </c>
    </row>
    <row r="12" spans="3:25" ht="12.75">
      <c r="C12" s="18"/>
      <c r="D12" s="19" t="s">
        <v>108</v>
      </c>
      <c r="E12" s="19" t="s">
        <v>527</v>
      </c>
      <c r="F12" s="20"/>
      <c r="G12" s="20"/>
      <c r="H12" s="19" t="s">
        <v>157</v>
      </c>
      <c r="I12" s="86">
        <f ca="1" t="shared" si="0"/>
      </c>
      <c r="J12" s="87">
        <f ca="1" t="shared" si="0"/>
      </c>
      <c r="K12" s="88">
        <f ca="1" t="shared" si="0"/>
      </c>
      <c r="L12" s="87">
        <f ca="1" t="shared" si="1"/>
      </c>
      <c r="M12" s="87">
        <f ca="1" t="shared" si="1"/>
      </c>
      <c r="N12" s="87">
        <f ca="1" t="shared" si="1"/>
      </c>
      <c r="O12" s="86">
        <f ca="1" t="shared" si="2"/>
      </c>
      <c r="P12" s="87">
        <f ca="1" t="shared" si="2"/>
      </c>
      <c r="Q12" s="88">
        <f ca="1" t="shared" si="2"/>
      </c>
      <c r="R12" s="87">
        <f ca="1" t="shared" si="3"/>
      </c>
      <c r="S12" s="87">
        <f ca="1" t="shared" si="3"/>
      </c>
      <c r="T12" s="87">
        <f ca="1" t="shared" si="3"/>
      </c>
      <c r="U12" s="86">
        <f ca="1" t="shared" si="4"/>
      </c>
      <c r="V12" s="87">
        <f ca="1" t="shared" si="4"/>
      </c>
      <c r="W12" s="88">
        <f ca="1" t="shared" si="4"/>
      </c>
      <c r="X12" s="20">
        <f t="shared" si="5"/>
      </c>
      <c r="Y12" s="118" t="s">
        <v>108</v>
      </c>
    </row>
    <row r="13" spans="1:25" ht="13.5" thickBot="1">
      <c r="A13" s="23" t="s">
        <v>598</v>
      </c>
      <c r="C13" s="14"/>
      <c r="D13" s="15" t="s">
        <v>109</v>
      </c>
      <c r="E13" s="15" t="s">
        <v>527</v>
      </c>
      <c r="F13" s="16" t="s">
        <v>594</v>
      </c>
      <c r="G13" s="16">
        <v>1</v>
      </c>
      <c r="H13" s="15" t="s">
        <v>385</v>
      </c>
      <c r="I13" s="93">
        <f ca="1" t="shared" si="0"/>
        <v>104.472165</v>
      </c>
      <c r="J13" s="94">
        <f ca="1" t="shared" si="0"/>
        <v>0</v>
      </c>
      <c r="K13" s="95">
        <f ca="1" t="shared" si="0"/>
        <v>-544.283205</v>
      </c>
      <c r="L13" s="94">
        <f ca="1" t="shared" si="1"/>
        <v>0.8897464246421136</v>
      </c>
      <c r="M13" s="94">
        <f ca="1" t="shared" si="1"/>
        <v>0</v>
      </c>
      <c r="N13" s="94">
        <f ca="1" t="shared" si="1"/>
        <v>0.4564551454815419</v>
      </c>
      <c r="O13" s="93">
        <f ca="1" t="shared" si="2"/>
        <v>91.18112644039068</v>
      </c>
      <c r="P13" s="94">
        <f ca="1" t="shared" si="2"/>
        <v>0</v>
      </c>
      <c r="Q13" s="95">
        <f ca="1" t="shared" si="2"/>
        <v>-551.1017352815546</v>
      </c>
      <c r="R13" s="94">
        <f ca="1" t="shared" si="3"/>
        <v>0</v>
      </c>
      <c r="S13" s="94">
        <f ca="1" t="shared" si="3"/>
        <v>1</v>
      </c>
      <c r="T13" s="94">
        <f ca="1" t="shared" si="3"/>
        <v>0</v>
      </c>
      <c r="U13" s="93">
        <f ca="1" t="shared" si="4"/>
        <v>91.18112644039068</v>
      </c>
      <c r="V13" s="94">
        <f ca="1" t="shared" si="4"/>
        <v>11.950405815864162</v>
      </c>
      <c r="W13" s="95">
        <f ca="1" t="shared" si="4"/>
        <v>-551.1017352815546</v>
      </c>
      <c r="X13" s="16">
        <f t="shared" si="5"/>
        <v>90</v>
      </c>
      <c r="Y13" s="120" t="s">
        <v>109</v>
      </c>
    </row>
    <row r="14" spans="1:25" ht="12.75">
      <c r="A14" s="1" t="s">
        <v>390</v>
      </c>
      <c r="B14" s="1">
        <f>12/1.00415</f>
        <v>11.950405815864162</v>
      </c>
      <c r="C14" s="10" t="s">
        <v>123</v>
      </c>
      <c r="D14" s="11" t="s">
        <v>111</v>
      </c>
      <c r="E14" s="11" t="s">
        <v>527</v>
      </c>
      <c r="F14" s="12"/>
      <c r="G14" s="12"/>
      <c r="H14" s="11" t="s">
        <v>126</v>
      </c>
      <c r="I14" s="90">
        <f ca="1" t="shared" si="0"/>
      </c>
      <c r="J14" s="91">
        <f ca="1" t="shared" si="0"/>
      </c>
      <c r="K14" s="92">
        <f ca="1" t="shared" si="0"/>
      </c>
      <c r="L14" s="91">
        <f ca="1" t="shared" si="1"/>
      </c>
      <c r="M14" s="91">
        <f ca="1" t="shared" si="1"/>
      </c>
      <c r="N14" s="91">
        <f ca="1" t="shared" si="1"/>
      </c>
      <c r="O14" s="90">
        <f ca="1" t="shared" si="2"/>
      </c>
      <c r="P14" s="91">
        <f ca="1" t="shared" si="2"/>
      </c>
      <c r="Q14" s="92">
        <f ca="1" t="shared" si="2"/>
      </c>
      <c r="R14" s="91">
        <f ca="1" t="shared" si="3"/>
      </c>
      <c r="S14" s="91">
        <f ca="1" t="shared" si="3"/>
      </c>
      <c r="T14" s="91">
        <f ca="1" t="shared" si="3"/>
      </c>
      <c r="U14" s="90">
        <f ca="1" t="shared" si="4"/>
      </c>
      <c r="V14" s="91">
        <f ca="1" t="shared" si="4"/>
      </c>
      <c r="W14" s="92">
        <f ca="1" t="shared" si="4"/>
      </c>
      <c r="X14" s="12">
        <f t="shared" si="5"/>
      </c>
      <c r="Y14" s="119" t="s">
        <v>111</v>
      </c>
    </row>
    <row r="15" spans="3:25" ht="12.75">
      <c r="C15" s="18"/>
      <c r="D15" s="19" t="s">
        <v>113</v>
      </c>
      <c r="E15" s="19" t="s">
        <v>527</v>
      </c>
      <c r="F15" s="20"/>
      <c r="G15" s="20">
        <v>-1</v>
      </c>
      <c r="H15" s="19" t="s">
        <v>385</v>
      </c>
      <c r="I15" s="86">
        <f ca="1" t="shared" si="0"/>
        <v>139.942327</v>
      </c>
      <c r="J15" s="87">
        <f ca="1" t="shared" si="0"/>
        <v>1.82E-14</v>
      </c>
      <c r="K15" s="88">
        <f ca="1" t="shared" si="0"/>
        <v>-619.802728</v>
      </c>
      <c r="L15" s="87">
        <f ca="1" t="shared" si="1"/>
        <v>0.5158082818360727</v>
      </c>
      <c r="M15" s="87">
        <f ca="1" t="shared" si="1"/>
        <v>-0.7071067811865475</v>
      </c>
      <c r="N15" s="87">
        <f ca="1" t="shared" si="1"/>
        <v>0.4836753212531301</v>
      </c>
      <c r="O15" s="86">
        <f ca="1" t="shared" si="2"/>
        <v>136.34659133017726</v>
      </c>
      <c r="P15" s="87">
        <f ca="1" t="shared" si="2"/>
        <v>4.929290911025095</v>
      </c>
      <c r="Q15" s="88">
        <f ca="1" t="shared" si="2"/>
        <v>-623.1744625503878</v>
      </c>
      <c r="R15" s="87">
        <f ca="1" t="shared" si="3"/>
        <v>0.5158082818360726</v>
      </c>
      <c r="S15" s="87">
        <f ca="1" t="shared" si="3"/>
        <v>0.7071067811865476</v>
      </c>
      <c r="T15" s="87">
        <f ca="1" t="shared" si="3"/>
        <v>0.48367532125313006</v>
      </c>
      <c r="U15" s="86">
        <f ca="1" t="shared" si="4"/>
        <v>130.18247303905255</v>
      </c>
      <c r="V15" s="87">
        <f ca="1" t="shared" si="4"/>
        <v>-3.5209220793036096</v>
      </c>
      <c r="W15" s="88">
        <f ca="1" t="shared" si="4"/>
        <v>-628.9545789224812</v>
      </c>
      <c r="X15" s="20">
        <f t="shared" si="5"/>
        <v>90</v>
      </c>
      <c r="Y15" s="118" t="s">
        <v>113</v>
      </c>
    </row>
    <row r="16" spans="3:25" ht="13.5" thickBot="1">
      <c r="C16" s="14"/>
      <c r="D16" s="15" t="s">
        <v>115</v>
      </c>
      <c r="E16" s="15" t="s">
        <v>527</v>
      </c>
      <c r="F16" s="16"/>
      <c r="G16" s="16"/>
      <c r="H16" s="15" t="s">
        <v>158</v>
      </c>
      <c r="I16" s="93">
        <f ca="1" t="shared" si="0"/>
      </c>
      <c r="J16" s="94">
        <f ca="1" t="shared" si="0"/>
      </c>
      <c r="K16" s="95">
        <f ca="1" t="shared" si="0"/>
      </c>
      <c r="L16" s="94">
        <f ca="1" t="shared" si="1"/>
      </c>
      <c r="M16" s="94">
        <f ca="1" t="shared" si="1"/>
      </c>
      <c r="N16" s="94">
        <f ca="1" t="shared" si="1"/>
      </c>
      <c r="O16" s="93">
        <f ca="1" t="shared" si="2"/>
      </c>
      <c r="P16" s="94">
        <f ca="1" t="shared" si="2"/>
      </c>
      <c r="Q16" s="95">
        <f ca="1" t="shared" si="2"/>
      </c>
      <c r="R16" s="94">
        <f ca="1" t="shared" si="3"/>
      </c>
      <c r="S16" s="94">
        <f ca="1" t="shared" si="3"/>
      </c>
      <c r="T16" s="94">
        <f ca="1" t="shared" si="3"/>
      </c>
      <c r="U16" s="93">
        <f ca="1" t="shared" si="4"/>
      </c>
      <c r="V16" s="94">
        <f ca="1" t="shared" si="4"/>
      </c>
      <c r="W16" s="95">
        <f ca="1" t="shared" si="4"/>
      </c>
      <c r="X16" s="16">
        <f t="shared" si="5"/>
      </c>
      <c r="Y16" s="120" t="s">
        <v>115</v>
      </c>
    </row>
    <row r="17" spans="4:25" ht="13.5" thickBot="1">
      <c r="D17" s="1" t="s">
        <v>111</v>
      </c>
      <c r="E17" s="1" t="s">
        <v>527</v>
      </c>
      <c r="H17" s="1" t="s">
        <v>126</v>
      </c>
      <c r="I17" s="86">
        <f ca="1" t="shared" si="0"/>
      </c>
      <c r="J17" s="87">
        <f ca="1" t="shared" si="0"/>
      </c>
      <c r="K17" s="88">
        <f ca="1" t="shared" si="0"/>
      </c>
      <c r="L17" s="89">
        <f ca="1" t="shared" si="1"/>
      </c>
      <c r="M17" s="89">
        <f ca="1" t="shared" si="1"/>
      </c>
      <c r="N17" s="89">
        <f ca="1" t="shared" si="1"/>
      </c>
      <c r="O17" s="86">
        <f ca="1" t="shared" si="2"/>
      </c>
      <c r="P17" s="87">
        <f ca="1" t="shared" si="2"/>
      </c>
      <c r="Q17" s="88">
        <f ca="1" t="shared" si="2"/>
      </c>
      <c r="R17" s="89">
        <f ca="1" t="shared" si="3"/>
      </c>
      <c r="S17" s="89">
        <f ca="1" t="shared" si="3"/>
      </c>
      <c r="T17" s="89">
        <f ca="1" t="shared" si="3"/>
      </c>
      <c r="U17" s="86">
        <f ca="1" t="shared" si="4"/>
      </c>
      <c r="V17" s="87">
        <f ca="1" t="shared" si="4"/>
      </c>
      <c r="W17" s="88">
        <f ca="1" t="shared" si="4"/>
      </c>
      <c r="X17" s="8">
        <f t="shared" si="5"/>
      </c>
      <c r="Y17" s="118" t="s">
        <v>111</v>
      </c>
    </row>
    <row r="18" spans="3:25" ht="12.75">
      <c r="C18" s="10" t="s">
        <v>124</v>
      </c>
      <c r="D18" s="11" t="s">
        <v>116</v>
      </c>
      <c r="E18" s="11" t="s">
        <v>527</v>
      </c>
      <c r="F18" s="12"/>
      <c r="G18" s="12"/>
      <c r="H18" s="11" t="s">
        <v>126</v>
      </c>
      <c r="I18" s="90">
        <f ca="1" t="shared" si="0"/>
      </c>
      <c r="J18" s="91">
        <f ca="1" t="shared" si="0"/>
      </c>
      <c r="K18" s="92">
        <f ca="1" t="shared" si="0"/>
      </c>
      <c r="L18" s="91">
        <f ca="1" t="shared" si="1"/>
      </c>
      <c r="M18" s="91">
        <f ca="1" t="shared" si="1"/>
      </c>
      <c r="N18" s="91">
        <f ca="1" t="shared" si="1"/>
      </c>
      <c r="O18" s="90">
        <f ca="1" t="shared" si="2"/>
      </c>
      <c r="P18" s="91">
        <f ca="1" t="shared" si="2"/>
      </c>
      <c r="Q18" s="92">
        <f ca="1" t="shared" si="2"/>
      </c>
      <c r="R18" s="91">
        <f ca="1" t="shared" si="3"/>
      </c>
      <c r="S18" s="91">
        <f ca="1" t="shared" si="3"/>
      </c>
      <c r="T18" s="91">
        <f ca="1" t="shared" si="3"/>
      </c>
      <c r="U18" s="90">
        <f ca="1" t="shared" si="4"/>
      </c>
      <c r="V18" s="91">
        <f ca="1" t="shared" si="4"/>
      </c>
      <c r="W18" s="92">
        <f ca="1" t="shared" si="4"/>
      </c>
      <c r="X18" s="12">
        <f t="shared" si="5"/>
      </c>
      <c r="Y18" s="119" t="s">
        <v>116</v>
      </c>
    </row>
    <row r="19" spans="3:25" ht="13.5" thickBot="1">
      <c r="C19" s="14"/>
      <c r="D19" s="15" t="s">
        <v>117</v>
      </c>
      <c r="E19" s="15" t="s">
        <v>527</v>
      </c>
      <c r="F19" s="16"/>
      <c r="G19" s="16"/>
      <c r="H19" s="15" t="s">
        <v>158</v>
      </c>
      <c r="I19" s="93">
        <f ca="1" t="shared" si="0"/>
      </c>
      <c r="J19" s="94">
        <f ca="1" t="shared" si="0"/>
      </c>
      <c r="K19" s="95">
        <f ca="1" t="shared" si="0"/>
      </c>
      <c r="L19" s="94">
        <f ca="1" t="shared" si="1"/>
      </c>
      <c r="M19" s="94">
        <f ca="1" t="shared" si="1"/>
      </c>
      <c r="N19" s="94">
        <f ca="1" t="shared" si="1"/>
      </c>
      <c r="O19" s="93">
        <f ca="1" t="shared" si="2"/>
      </c>
      <c r="P19" s="94">
        <f ca="1" t="shared" si="2"/>
      </c>
      <c r="Q19" s="95">
        <f ca="1" t="shared" si="2"/>
      </c>
      <c r="R19" s="94">
        <f ca="1" t="shared" si="3"/>
      </c>
      <c r="S19" s="94">
        <f ca="1" t="shared" si="3"/>
      </c>
      <c r="T19" s="94">
        <f ca="1" t="shared" si="3"/>
      </c>
      <c r="U19" s="93">
        <f ca="1" t="shared" si="4"/>
      </c>
      <c r="V19" s="94">
        <f ca="1" t="shared" si="4"/>
      </c>
      <c r="W19" s="95">
        <f ca="1" t="shared" si="4"/>
      </c>
      <c r="X19" s="16">
        <f t="shared" si="5"/>
      </c>
      <c r="Y19" s="120" t="s">
        <v>117</v>
      </c>
    </row>
    <row r="20" spans="4:25" ht="13.5" thickBot="1">
      <c r="D20" s="1" t="s">
        <v>116</v>
      </c>
      <c r="E20" s="1" t="s">
        <v>527</v>
      </c>
      <c r="H20" s="1" t="s">
        <v>126</v>
      </c>
      <c r="I20" s="86">
        <f ca="1" t="shared" si="0"/>
      </c>
      <c r="J20" s="87">
        <f ca="1" t="shared" si="0"/>
      </c>
      <c r="K20" s="88">
        <f ca="1" t="shared" si="0"/>
      </c>
      <c r="L20" s="89">
        <f ca="1" t="shared" si="1"/>
      </c>
      <c r="M20" s="89">
        <f ca="1" t="shared" si="1"/>
      </c>
      <c r="N20" s="89">
        <f ca="1" t="shared" si="1"/>
      </c>
      <c r="O20" s="86">
        <f ca="1" t="shared" si="2"/>
      </c>
      <c r="P20" s="87">
        <f ca="1" t="shared" si="2"/>
      </c>
      <c r="Q20" s="88">
        <f ca="1" t="shared" si="2"/>
      </c>
      <c r="R20" s="89">
        <f ca="1" t="shared" si="3"/>
      </c>
      <c r="S20" s="89">
        <f ca="1" t="shared" si="3"/>
      </c>
      <c r="T20" s="89">
        <f ca="1" t="shared" si="3"/>
      </c>
      <c r="U20" s="86">
        <f ca="1" t="shared" si="4"/>
      </c>
      <c r="V20" s="87">
        <f ca="1" t="shared" si="4"/>
      </c>
      <c r="W20" s="88">
        <f ca="1" t="shared" si="4"/>
      </c>
      <c r="X20" s="8">
        <f t="shared" si="5"/>
      </c>
      <c r="Y20" s="118" t="s">
        <v>116</v>
      </c>
    </row>
    <row r="21" spans="3:25" ht="12.75">
      <c r="C21" s="10" t="s">
        <v>125</v>
      </c>
      <c r="D21" s="11" t="s">
        <v>118</v>
      </c>
      <c r="E21" s="11" t="s">
        <v>527</v>
      </c>
      <c r="F21" s="12"/>
      <c r="G21" s="12">
        <v>1</v>
      </c>
      <c r="H21" s="11" t="s">
        <v>385</v>
      </c>
      <c r="I21" s="90">
        <f ca="1" t="shared" si="0"/>
        <v>381.297361</v>
      </c>
      <c r="J21" s="91">
        <f ca="1" t="shared" si="0"/>
        <v>-1.28E-14</v>
      </c>
      <c r="K21" s="92">
        <f ca="1" t="shared" si="0"/>
        <v>-509.515249</v>
      </c>
      <c r="L21" s="91">
        <f ca="1" t="shared" si="1"/>
        <v>-0.7498640170291299</v>
      </c>
      <c r="M21" s="91">
        <f ca="1" t="shared" si="1"/>
        <v>0</v>
      </c>
      <c r="N21" s="91">
        <f ca="1" t="shared" si="1"/>
        <v>0.6615919860192813</v>
      </c>
      <c r="O21" s="90">
        <f ca="1" t="shared" si="2"/>
        <v>386.5247155976238</v>
      </c>
      <c r="P21" s="91">
        <f ca="1" t="shared" si="2"/>
        <v>-1.28E-14</v>
      </c>
      <c r="Q21" s="92">
        <f ca="1" t="shared" si="2"/>
        <v>-514.1272530851815</v>
      </c>
      <c r="R21" s="91">
        <f ca="1" t="shared" si="3"/>
        <v>0</v>
      </c>
      <c r="S21" s="91">
        <f ca="1" t="shared" si="3"/>
        <v>1</v>
      </c>
      <c r="T21" s="91">
        <f ca="1" t="shared" si="3"/>
        <v>0</v>
      </c>
      <c r="U21" s="90">
        <f ca="1" t="shared" si="4"/>
        <v>386.5247155976238</v>
      </c>
      <c r="V21" s="91">
        <f ca="1" t="shared" si="4"/>
        <v>11.95040581586415</v>
      </c>
      <c r="W21" s="92">
        <f ca="1" t="shared" si="4"/>
        <v>-514.1272530851815</v>
      </c>
      <c r="X21" s="12">
        <f t="shared" si="5"/>
        <v>90</v>
      </c>
      <c r="Y21" s="119" t="s">
        <v>118</v>
      </c>
    </row>
    <row r="22" spans="3:25" ht="13.5" thickBot="1">
      <c r="C22" s="14"/>
      <c r="D22" s="15" t="s">
        <v>119</v>
      </c>
      <c r="E22" s="15" t="s">
        <v>527</v>
      </c>
      <c r="F22" s="16"/>
      <c r="G22" s="16"/>
      <c r="H22" s="15" t="s">
        <v>158</v>
      </c>
      <c r="I22" s="93">
        <f aca="true" ca="1" t="shared" si="6" ref="I22:K41">IF(OR(Flag="Ignore",Flag="Det",Flag="Hole"),"",INDIRECT(Flag&amp;"Calc!"&amp;Axe&amp;Flag))</f>
      </c>
      <c r="J22" s="94">
        <f ca="1" t="shared" si="6"/>
      </c>
      <c r="K22" s="95">
        <f ca="1" t="shared" si="6"/>
      </c>
      <c r="L22" s="94">
        <f aca="true" ca="1" t="shared" si="7" ref="L22:N41">IF(OR(Flag="Ignore",Flag="Det",Flag="Hole"),"",INDIRECT(Flag&amp;"Calc!"&amp;Axe&amp;"Norm"))</f>
      </c>
      <c r="M22" s="94">
        <f ca="1" t="shared" si="7"/>
      </c>
      <c r="N22" s="94">
        <f ca="1" t="shared" si="7"/>
      </c>
      <c r="O22" s="93">
        <f aca="true" ca="1" t="shared" si="8" ref="O22:Q41">IF(OR(Flag="Ignore",Flag="Det",Flag="Hole"),"",INDIRECT(Axe&amp;"mirr")+IF(ThMirr="Thick",Thick,Thin)*INDIRECT(Axe&amp;"norm"))</f>
      </c>
      <c r="P22" s="94">
        <f ca="1" t="shared" si="8"/>
      </c>
      <c r="Q22" s="95">
        <f ca="1" t="shared" si="8"/>
      </c>
      <c r="R22" s="94">
        <f aca="true" ca="1" t="shared" si="9" ref="R22:T41">IF(OR(Flag="Ignore",Flag="Det",Flag="Hole"),"",INDIRECT(Flag&amp;"Calc!"&amp;Axe&amp;"sag"))</f>
      </c>
      <c r="S22" s="94">
        <f ca="1" t="shared" si="9"/>
      </c>
      <c r="T22" s="94">
        <f ca="1" t="shared" si="9"/>
      </c>
      <c r="U22" s="93">
        <f aca="true" ca="1" t="shared" si="10" ref="U22:W41">IF(OR(Flag="Ignore",Flag="Det",Flag="Hole"),"",INDIRECT(Axe&amp;"spig")+DowlSep*DowlDir*INDIRECT(Axe&amp;"sag"))</f>
      </c>
      <c r="V22" s="94">
        <f ca="1" t="shared" si="10"/>
      </c>
      <c r="W22" s="95">
        <f ca="1" t="shared" si="10"/>
      </c>
      <c r="X22" s="16">
        <f t="shared" si="5"/>
      </c>
      <c r="Y22" s="120" t="s">
        <v>119</v>
      </c>
    </row>
    <row r="23" spans="3:25" ht="13.5" thickBot="1">
      <c r="C23" s="18"/>
      <c r="D23" s="19" t="s">
        <v>98</v>
      </c>
      <c r="E23" s="19" t="s">
        <v>528</v>
      </c>
      <c r="F23" s="20"/>
      <c r="G23" s="20">
        <v>1</v>
      </c>
      <c r="H23" s="19" t="s">
        <v>126</v>
      </c>
      <c r="I23" s="86">
        <f ca="1" t="shared" si="6"/>
      </c>
      <c r="J23" s="87">
        <f ca="1" t="shared" si="6"/>
      </c>
      <c r="K23" s="88">
        <f ca="1" t="shared" si="6"/>
      </c>
      <c r="L23" s="89">
        <f ca="1" t="shared" si="7"/>
      </c>
      <c r="M23" s="89">
        <f ca="1" t="shared" si="7"/>
      </c>
      <c r="N23" s="89">
        <f ca="1" t="shared" si="7"/>
      </c>
      <c r="O23" s="86">
        <f ca="1" t="shared" si="8"/>
      </c>
      <c r="P23" s="87">
        <f ca="1" t="shared" si="8"/>
      </c>
      <c r="Q23" s="88">
        <f ca="1" t="shared" si="8"/>
      </c>
      <c r="R23" s="89">
        <f ca="1" t="shared" si="9"/>
      </c>
      <c r="S23" s="89">
        <f ca="1" t="shared" si="9"/>
      </c>
      <c r="T23" s="89">
        <f ca="1" t="shared" si="9"/>
      </c>
      <c r="U23" s="86">
        <f ca="1" t="shared" si="10"/>
      </c>
      <c r="V23" s="87">
        <f ca="1" t="shared" si="10"/>
      </c>
      <c r="W23" s="88">
        <f ca="1" t="shared" si="10"/>
      </c>
      <c r="X23" s="8">
        <f t="shared" si="5"/>
      </c>
      <c r="Y23" s="118" t="s">
        <v>98</v>
      </c>
    </row>
    <row r="24" spans="3:25" ht="12.75">
      <c r="C24" s="10" t="s">
        <v>502</v>
      </c>
      <c r="D24" s="11" t="s">
        <v>503</v>
      </c>
      <c r="E24" s="11" t="s">
        <v>528</v>
      </c>
      <c r="F24" s="12"/>
      <c r="G24" s="12">
        <v>1</v>
      </c>
      <c r="H24" s="11" t="s">
        <v>385</v>
      </c>
      <c r="I24" s="90">
        <f ca="1" t="shared" si="6"/>
        <v>306.150668</v>
      </c>
      <c r="J24" s="91">
        <f ca="1" t="shared" si="6"/>
        <v>33.82</v>
      </c>
      <c r="K24" s="92">
        <f ca="1" t="shared" si="6"/>
        <v>-263.975222</v>
      </c>
      <c r="L24" s="91">
        <f ca="1" t="shared" si="7"/>
        <v>-0.5448036271387428</v>
      </c>
      <c r="M24" s="91">
        <f ca="1" t="shared" si="7"/>
        <v>0.7099523681147767</v>
      </c>
      <c r="N24" s="91">
        <f ca="1" t="shared" si="7"/>
        <v>0.4462696974528858</v>
      </c>
      <c r="O24" s="90">
        <f ca="1" t="shared" si="8"/>
        <v>309.9485322533199</v>
      </c>
      <c r="P24" s="91">
        <f ca="1" t="shared" si="8"/>
        <v>28.87087230313854</v>
      </c>
      <c r="Q24" s="92">
        <f ca="1" t="shared" si="8"/>
        <v>-267.0861993262662</v>
      </c>
      <c r="R24" s="91">
        <f ca="1" t="shared" si="9"/>
        <v>0.6876060018493141</v>
      </c>
      <c r="S24" s="91">
        <f ca="1" t="shared" si="9"/>
        <v>0.6828304098612817</v>
      </c>
      <c r="T24" s="91">
        <f ca="1" t="shared" si="9"/>
        <v>-0.24686153525706456</v>
      </c>
      <c r="U24" s="90">
        <f ca="1" t="shared" si="10"/>
        <v>318.16570301684305</v>
      </c>
      <c r="V24" s="91">
        <f ca="1" t="shared" si="10"/>
        <v>37.03097280439371</v>
      </c>
      <c r="W24" s="92">
        <f ca="1" t="shared" si="10"/>
        <v>-270.0362948529154</v>
      </c>
      <c r="X24" s="12">
        <f t="shared" si="5"/>
        <v>90</v>
      </c>
      <c r="Y24" s="119" t="s">
        <v>503</v>
      </c>
    </row>
    <row r="25" spans="3:25" ht="12.75">
      <c r="C25" s="18"/>
      <c r="D25" s="19" t="s">
        <v>504</v>
      </c>
      <c r="E25" s="19" t="s">
        <v>528</v>
      </c>
      <c r="F25" s="20"/>
      <c r="G25" s="20"/>
      <c r="H25" s="19" t="s">
        <v>157</v>
      </c>
      <c r="I25" s="86">
        <f ca="1" t="shared" si="6"/>
      </c>
      <c r="J25" s="87">
        <f ca="1" t="shared" si="6"/>
      </c>
      <c r="K25" s="88">
        <f ca="1" t="shared" si="6"/>
      </c>
      <c r="L25" s="87">
        <f ca="1" t="shared" si="7"/>
      </c>
      <c r="M25" s="87">
        <f ca="1" t="shared" si="7"/>
      </c>
      <c r="N25" s="87">
        <f ca="1" t="shared" si="7"/>
      </c>
      <c r="O25" s="86">
        <f ca="1" t="shared" si="8"/>
      </c>
      <c r="P25" s="87">
        <f ca="1" t="shared" si="8"/>
      </c>
      <c r="Q25" s="88">
        <f ca="1" t="shared" si="8"/>
      </c>
      <c r="R25" s="87">
        <f ca="1" t="shared" si="9"/>
      </c>
      <c r="S25" s="87">
        <f ca="1" t="shared" si="9"/>
      </c>
      <c r="T25" s="87">
        <f ca="1" t="shared" si="9"/>
      </c>
      <c r="U25" s="86">
        <f ca="1" t="shared" si="10"/>
      </c>
      <c r="V25" s="87">
        <f ca="1" t="shared" si="10"/>
      </c>
      <c r="W25" s="88">
        <f ca="1" t="shared" si="10"/>
      </c>
      <c r="X25" s="20">
        <f t="shared" si="5"/>
      </c>
      <c r="Y25" s="118" t="s">
        <v>504</v>
      </c>
    </row>
    <row r="26" spans="3:25" ht="12.75">
      <c r="C26" s="18"/>
      <c r="D26" s="19" t="s">
        <v>505</v>
      </c>
      <c r="E26" s="19" t="s">
        <v>528</v>
      </c>
      <c r="F26" s="20"/>
      <c r="G26" s="20">
        <v>-1</v>
      </c>
      <c r="H26" s="19" t="s">
        <v>385</v>
      </c>
      <c r="I26" s="86">
        <f ca="1" t="shared" si="6"/>
        <v>317.370319</v>
      </c>
      <c r="J26" s="87">
        <f ca="1" t="shared" si="6"/>
        <v>170.856678</v>
      </c>
      <c r="K26" s="88">
        <f ca="1" t="shared" si="6"/>
        <v>-224.680587</v>
      </c>
      <c r="L26" s="87">
        <f ca="1" t="shared" si="7"/>
        <v>0.6505602727317011</v>
      </c>
      <c r="M26" s="87">
        <f ca="1" t="shared" si="7"/>
        <v>-0.6878624431607016</v>
      </c>
      <c r="N26" s="87">
        <f ca="1" t="shared" si="7"/>
        <v>-0.32189531036075236</v>
      </c>
      <c r="O26" s="86">
        <f ca="1" t="shared" si="8"/>
        <v>312.83521776101986</v>
      </c>
      <c r="P26" s="87">
        <f ca="1" t="shared" si="8"/>
        <v>175.65181528240294</v>
      </c>
      <c r="Q26" s="88">
        <f ca="1" t="shared" si="8"/>
        <v>-222.43663223972985</v>
      </c>
      <c r="R26" s="87">
        <f ca="1" t="shared" si="9"/>
        <v>0.7553847183992874</v>
      </c>
      <c r="S26" s="87">
        <f ca="1" t="shared" si="9"/>
        <v>0.6298970733282109</v>
      </c>
      <c r="T26" s="87">
        <f ca="1" t="shared" si="9"/>
        <v>0.18062005487039234</v>
      </c>
      <c r="U26" s="86">
        <f ca="1" t="shared" si="10"/>
        <v>303.8080638290461</v>
      </c>
      <c r="V26" s="87">
        <f ca="1" t="shared" si="10"/>
        <v>168.12428963390568</v>
      </c>
      <c r="W26" s="88">
        <f ca="1" t="shared" si="10"/>
        <v>-224.5951151939147</v>
      </c>
      <c r="X26" s="20">
        <f t="shared" si="5"/>
        <v>90</v>
      </c>
      <c r="Y26" s="118" t="s">
        <v>505</v>
      </c>
    </row>
    <row r="27" spans="3:25" ht="13.5" thickBot="1">
      <c r="C27" s="14"/>
      <c r="D27" s="15" t="s">
        <v>506</v>
      </c>
      <c r="E27" s="15" t="s">
        <v>528</v>
      </c>
      <c r="F27" s="16"/>
      <c r="G27" s="16">
        <v>-1</v>
      </c>
      <c r="H27" s="15" t="s">
        <v>385</v>
      </c>
      <c r="I27" s="93">
        <f ca="1" t="shared" si="6"/>
        <v>373.504361</v>
      </c>
      <c r="J27" s="94">
        <f ca="1" t="shared" si="6"/>
        <v>170.856678</v>
      </c>
      <c r="K27" s="95">
        <f ca="1" t="shared" si="6"/>
        <v>-234.578533</v>
      </c>
      <c r="L27" s="94">
        <f ca="1" t="shared" si="7"/>
        <v>-0.984807753012208</v>
      </c>
      <c r="M27" s="94">
        <f ca="1" t="shared" si="7"/>
        <v>0</v>
      </c>
      <c r="N27" s="94">
        <f ca="1" t="shared" si="7"/>
        <v>-0.17364817766693033</v>
      </c>
      <c r="O27" s="93">
        <f ca="1" t="shared" si="8"/>
        <v>380.3695248411447</v>
      </c>
      <c r="P27" s="94">
        <f ca="1" t="shared" si="8"/>
        <v>170.856678</v>
      </c>
      <c r="Q27" s="95">
        <f ca="1" t="shared" si="8"/>
        <v>-233.36801938782202</v>
      </c>
      <c r="R27" s="94">
        <f ca="1" t="shared" si="9"/>
        <v>-0.018814150275320164</v>
      </c>
      <c r="S27" s="94">
        <f ca="1" t="shared" si="9"/>
        <v>0.9941132045189992</v>
      </c>
      <c r="T27" s="94">
        <f ca="1" t="shared" si="9"/>
        <v>0.10670034840797878</v>
      </c>
      <c r="U27" s="93">
        <f ca="1" t="shared" si="10"/>
        <v>380.59436157201543</v>
      </c>
      <c r="V27" s="94">
        <f ca="1" t="shared" si="10"/>
        <v>158.9766217790888</v>
      </c>
      <c r="W27" s="95">
        <f ca="1" t="shared" si="10"/>
        <v>-234.64313185199146</v>
      </c>
      <c r="X27" s="16">
        <f t="shared" si="5"/>
        <v>90</v>
      </c>
      <c r="Y27" s="120" t="s">
        <v>506</v>
      </c>
    </row>
    <row r="28" spans="3:25" ht="12.75">
      <c r="C28" s="10" t="s">
        <v>507</v>
      </c>
      <c r="D28" s="11" t="s">
        <v>508</v>
      </c>
      <c r="E28" s="11" t="s">
        <v>528</v>
      </c>
      <c r="F28" s="12"/>
      <c r="G28" s="12"/>
      <c r="H28" s="11" t="s">
        <v>126</v>
      </c>
      <c r="I28" s="90">
        <f ca="1" t="shared" si="6"/>
      </c>
      <c r="J28" s="91">
        <f ca="1" t="shared" si="6"/>
      </c>
      <c r="K28" s="92">
        <f ca="1" t="shared" si="6"/>
      </c>
      <c r="L28" s="91">
        <f ca="1" t="shared" si="7"/>
      </c>
      <c r="M28" s="91">
        <f ca="1" t="shared" si="7"/>
      </c>
      <c r="N28" s="91">
        <f ca="1" t="shared" si="7"/>
      </c>
      <c r="O28" s="90">
        <f ca="1" t="shared" si="8"/>
      </c>
      <c r="P28" s="91">
        <f ca="1" t="shared" si="8"/>
      </c>
      <c r="Q28" s="92">
        <f ca="1" t="shared" si="8"/>
      </c>
      <c r="R28" s="91">
        <f ca="1" t="shared" si="9"/>
      </c>
      <c r="S28" s="91">
        <f ca="1" t="shared" si="9"/>
      </c>
      <c r="T28" s="91">
        <f ca="1" t="shared" si="9"/>
      </c>
      <c r="U28" s="90">
        <f ca="1" t="shared" si="10"/>
      </c>
      <c r="V28" s="91">
        <f ca="1" t="shared" si="10"/>
      </c>
      <c r="W28" s="92">
        <f ca="1" t="shared" si="10"/>
      </c>
      <c r="X28" s="12">
        <f t="shared" si="5"/>
      </c>
      <c r="Y28" s="119" t="s">
        <v>508</v>
      </c>
    </row>
    <row r="29" spans="3:25" ht="12.75">
      <c r="C29" s="18"/>
      <c r="D29" s="19" t="s">
        <v>509</v>
      </c>
      <c r="E29" s="19" t="s">
        <v>528</v>
      </c>
      <c r="F29" s="20"/>
      <c r="G29" s="20">
        <v>-1</v>
      </c>
      <c r="H29" s="19" t="s">
        <v>385</v>
      </c>
      <c r="I29" s="86">
        <f ca="1" t="shared" si="6"/>
        <v>373.12331</v>
      </c>
      <c r="J29" s="87">
        <f ca="1" t="shared" si="6"/>
        <v>170.856678</v>
      </c>
      <c r="K29" s="88">
        <f ca="1" t="shared" si="6"/>
        <v>-407.998533</v>
      </c>
      <c r="L29" s="87">
        <f ca="1" t="shared" si="7"/>
        <v>-0.9659258262890683</v>
      </c>
      <c r="M29" s="87">
        <f ca="1" t="shared" si="7"/>
        <v>0</v>
      </c>
      <c r="N29" s="87">
        <f ca="1" t="shared" si="7"/>
        <v>0.25881904510252074</v>
      </c>
      <c r="O29" s="86">
        <f ca="1" t="shared" si="8"/>
        <v>379.856846607104</v>
      </c>
      <c r="P29" s="87">
        <f ca="1" t="shared" si="8"/>
        <v>170.856678</v>
      </c>
      <c r="Q29" s="88">
        <f ca="1" t="shared" si="8"/>
        <v>-409.8027786960789</v>
      </c>
      <c r="R29" s="87">
        <f ca="1" t="shared" si="9"/>
        <v>0</v>
      </c>
      <c r="S29" s="87">
        <f ca="1" t="shared" si="9"/>
        <v>1</v>
      </c>
      <c r="T29" s="87">
        <f ca="1" t="shared" si="9"/>
        <v>0</v>
      </c>
      <c r="U29" s="86">
        <f ca="1" t="shared" si="10"/>
        <v>379.856846607104</v>
      </c>
      <c r="V29" s="87">
        <f ca="1" t="shared" si="10"/>
        <v>158.90627218413582</v>
      </c>
      <c r="W29" s="88">
        <f ca="1" t="shared" si="10"/>
        <v>-409.8027786960789</v>
      </c>
      <c r="X29" s="20">
        <f t="shared" si="5"/>
        <v>90</v>
      </c>
      <c r="Y29" s="118" t="s">
        <v>509</v>
      </c>
    </row>
    <row r="30" spans="3:25" ht="12.75">
      <c r="C30" s="18"/>
      <c r="D30" s="19" t="s">
        <v>510</v>
      </c>
      <c r="E30" s="19" t="s">
        <v>528</v>
      </c>
      <c r="F30" s="20"/>
      <c r="G30" s="20"/>
      <c r="H30" s="19" t="s">
        <v>126</v>
      </c>
      <c r="I30" s="86">
        <f ca="1" t="shared" si="6"/>
      </c>
      <c r="J30" s="87">
        <f ca="1" t="shared" si="6"/>
      </c>
      <c r="K30" s="88">
        <f ca="1" t="shared" si="6"/>
      </c>
      <c r="L30" s="87">
        <f ca="1" t="shared" si="7"/>
      </c>
      <c r="M30" s="87">
        <f ca="1" t="shared" si="7"/>
      </c>
      <c r="N30" s="87">
        <f ca="1" t="shared" si="7"/>
      </c>
      <c r="O30" s="86">
        <f ca="1" t="shared" si="8"/>
      </c>
      <c r="P30" s="87">
        <f ca="1" t="shared" si="8"/>
      </c>
      <c r="Q30" s="88">
        <f ca="1" t="shared" si="8"/>
      </c>
      <c r="R30" s="87">
        <f ca="1" t="shared" si="9"/>
      </c>
      <c r="S30" s="87">
        <f ca="1" t="shared" si="9"/>
      </c>
      <c r="T30" s="87">
        <f ca="1" t="shared" si="9"/>
      </c>
      <c r="U30" s="86">
        <f ca="1" t="shared" si="10"/>
      </c>
      <c r="V30" s="87">
        <f ca="1" t="shared" si="10"/>
      </c>
      <c r="W30" s="88">
        <f ca="1" t="shared" si="10"/>
      </c>
      <c r="X30" s="20">
        <f t="shared" si="5"/>
      </c>
      <c r="Y30" s="118" t="s">
        <v>510</v>
      </c>
    </row>
    <row r="31" spans="3:25" ht="12.75">
      <c r="C31" s="18"/>
      <c r="D31" s="19" t="s">
        <v>511</v>
      </c>
      <c r="E31" s="19" t="s">
        <v>528</v>
      </c>
      <c r="F31" s="20"/>
      <c r="G31" s="20"/>
      <c r="H31" s="19" t="s">
        <v>126</v>
      </c>
      <c r="I31" s="86">
        <f ca="1" t="shared" si="6"/>
      </c>
      <c r="J31" s="87">
        <f ca="1" t="shared" si="6"/>
      </c>
      <c r="K31" s="88">
        <f ca="1" t="shared" si="6"/>
      </c>
      <c r="L31" s="87">
        <f ca="1" t="shared" si="7"/>
      </c>
      <c r="M31" s="87">
        <f ca="1" t="shared" si="7"/>
      </c>
      <c r="N31" s="87">
        <f ca="1" t="shared" si="7"/>
      </c>
      <c r="O31" s="86">
        <f ca="1" t="shared" si="8"/>
      </c>
      <c r="P31" s="87">
        <f ca="1" t="shared" si="8"/>
      </c>
      <c r="Q31" s="88">
        <f ca="1" t="shared" si="8"/>
      </c>
      <c r="R31" s="87">
        <f ca="1" t="shared" si="9"/>
      </c>
      <c r="S31" s="87">
        <f ca="1" t="shared" si="9"/>
      </c>
      <c r="T31" s="87">
        <f ca="1" t="shared" si="9"/>
      </c>
      <c r="U31" s="86">
        <f ca="1" t="shared" si="10"/>
      </c>
      <c r="V31" s="87">
        <f ca="1" t="shared" si="10"/>
      </c>
      <c r="W31" s="88">
        <f ca="1" t="shared" si="10"/>
      </c>
      <c r="X31" s="20">
        <f t="shared" si="5"/>
      </c>
      <c r="Y31" s="118" t="s">
        <v>511</v>
      </c>
    </row>
    <row r="32" spans="3:25" ht="12.75">
      <c r="C32" s="18"/>
      <c r="D32" s="19" t="s">
        <v>512</v>
      </c>
      <c r="E32" s="19" t="s">
        <v>528</v>
      </c>
      <c r="F32" s="20"/>
      <c r="G32" s="20"/>
      <c r="H32" s="19" t="s">
        <v>126</v>
      </c>
      <c r="I32" s="86">
        <f ca="1" t="shared" si="6"/>
      </c>
      <c r="J32" s="87">
        <f ca="1" t="shared" si="6"/>
      </c>
      <c r="K32" s="88">
        <f ca="1" t="shared" si="6"/>
      </c>
      <c r="L32" s="87">
        <f ca="1" t="shared" si="7"/>
      </c>
      <c r="M32" s="87">
        <f ca="1" t="shared" si="7"/>
      </c>
      <c r="N32" s="87">
        <f ca="1" t="shared" si="7"/>
      </c>
      <c r="O32" s="86">
        <f ca="1" t="shared" si="8"/>
      </c>
      <c r="P32" s="87">
        <f ca="1" t="shared" si="8"/>
      </c>
      <c r="Q32" s="88">
        <f ca="1" t="shared" si="8"/>
      </c>
      <c r="R32" s="87">
        <f ca="1" t="shared" si="9"/>
      </c>
      <c r="S32" s="87">
        <f ca="1" t="shared" si="9"/>
      </c>
      <c r="T32" s="87">
        <f ca="1" t="shared" si="9"/>
      </c>
      <c r="U32" s="86">
        <f ca="1" t="shared" si="10"/>
      </c>
      <c r="V32" s="87">
        <f ca="1" t="shared" si="10"/>
      </c>
      <c r="W32" s="88">
        <f ca="1" t="shared" si="10"/>
      </c>
      <c r="X32" s="20">
        <f t="shared" si="5"/>
      </c>
      <c r="Y32" s="118" t="s">
        <v>512</v>
      </c>
    </row>
    <row r="33" spans="3:25" ht="12.75">
      <c r="C33" s="18"/>
      <c r="D33" s="19" t="s">
        <v>513</v>
      </c>
      <c r="E33" s="19" t="s">
        <v>528</v>
      </c>
      <c r="F33" s="20"/>
      <c r="G33" s="20">
        <v>-1</v>
      </c>
      <c r="H33" s="19" t="s">
        <v>385</v>
      </c>
      <c r="I33" s="86">
        <f ca="1" t="shared" si="6"/>
        <v>373.12331</v>
      </c>
      <c r="J33" s="87">
        <f ca="1" t="shared" si="6"/>
        <v>170.856678</v>
      </c>
      <c r="K33" s="88">
        <f ca="1" t="shared" si="6"/>
        <v>-457.998533</v>
      </c>
      <c r="L33" s="87">
        <f ca="1" t="shared" si="7"/>
        <v>-0.9659258262890682</v>
      </c>
      <c r="M33" s="87">
        <f ca="1" t="shared" si="7"/>
        <v>0</v>
      </c>
      <c r="N33" s="87">
        <f ca="1" t="shared" si="7"/>
        <v>-0.258819045102521</v>
      </c>
      <c r="O33" s="86">
        <f ca="1" t="shared" si="8"/>
        <v>379.856846607104</v>
      </c>
      <c r="P33" s="87">
        <f ca="1" t="shared" si="8"/>
        <v>170.856678</v>
      </c>
      <c r="Q33" s="88">
        <f ca="1" t="shared" si="8"/>
        <v>-456.1942873039211</v>
      </c>
      <c r="R33" s="87">
        <f ca="1" t="shared" si="9"/>
        <v>0</v>
      </c>
      <c r="S33" s="87">
        <f ca="1" t="shared" si="9"/>
        <v>1</v>
      </c>
      <c r="T33" s="87">
        <f ca="1" t="shared" si="9"/>
        <v>0</v>
      </c>
      <c r="U33" s="86">
        <f ca="1" t="shared" si="10"/>
        <v>379.856846607104</v>
      </c>
      <c r="V33" s="87">
        <f ca="1" t="shared" si="10"/>
        <v>158.90627218413582</v>
      </c>
      <c r="W33" s="88">
        <f ca="1" t="shared" si="10"/>
        <v>-456.1942873039211</v>
      </c>
      <c r="X33" s="20">
        <f t="shared" si="5"/>
        <v>90</v>
      </c>
      <c r="Y33" s="118" t="s">
        <v>513</v>
      </c>
    </row>
    <row r="34" spans="3:25" ht="12.75">
      <c r="C34" s="18"/>
      <c r="D34" s="19" t="s">
        <v>514</v>
      </c>
      <c r="E34" s="19" t="s">
        <v>528</v>
      </c>
      <c r="F34" s="20"/>
      <c r="G34" s="20"/>
      <c r="H34" s="19" t="s">
        <v>126</v>
      </c>
      <c r="I34" s="86">
        <f ca="1" t="shared" si="6"/>
      </c>
      <c r="J34" s="87">
        <f ca="1" t="shared" si="6"/>
      </c>
      <c r="K34" s="88">
        <f ca="1" t="shared" si="6"/>
      </c>
      <c r="L34" s="87">
        <f ca="1" t="shared" si="7"/>
      </c>
      <c r="M34" s="87">
        <f ca="1" t="shared" si="7"/>
      </c>
      <c r="N34" s="87">
        <f ca="1" t="shared" si="7"/>
      </c>
      <c r="O34" s="86">
        <f ca="1" t="shared" si="8"/>
      </c>
      <c r="P34" s="87">
        <f ca="1" t="shared" si="8"/>
      </c>
      <c r="Q34" s="88">
        <f ca="1" t="shared" si="8"/>
      </c>
      <c r="R34" s="87">
        <f ca="1" t="shared" si="9"/>
      </c>
      <c r="S34" s="87">
        <f ca="1" t="shared" si="9"/>
      </c>
      <c r="T34" s="87">
        <f ca="1" t="shared" si="9"/>
      </c>
      <c r="U34" s="86">
        <f ca="1" t="shared" si="10"/>
      </c>
      <c r="V34" s="87">
        <f ca="1" t="shared" si="10"/>
      </c>
      <c r="W34" s="88">
        <f ca="1" t="shared" si="10"/>
      </c>
      <c r="X34" s="20">
        <f t="shared" si="5"/>
      </c>
      <c r="Y34" s="118" t="s">
        <v>514</v>
      </c>
    </row>
    <row r="35" spans="3:25" ht="12.75">
      <c r="C35" s="18"/>
      <c r="D35" s="19" t="s">
        <v>515</v>
      </c>
      <c r="E35" s="19" t="s">
        <v>528</v>
      </c>
      <c r="F35" s="20"/>
      <c r="G35" s="20">
        <v>-1</v>
      </c>
      <c r="H35" s="19" t="s">
        <v>385</v>
      </c>
      <c r="I35" s="86">
        <f ca="1" t="shared" si="6"/>
        <v>354.74625000000003</v>
      </c>
      <c r="J35" s="87">
        <f ca="1" t="shared" si="6"/>
        <v>170.856678</v>
      </c>
      <c r="K35" s="88">
        <f ca="1" t="shared" si="6"/>
        <v>-620.588533</v>
      </c>
      <c r="L35" s="87">
        <f ca="1" t="shared" si="7"/>
        <v>-0.984807753012208</v>
      </c>
      <c r="M35" s="87">
        <f ca="1" t="shared" si="7"/>
        <v>0</v>
      </c>
      <c r="N35" s="87">
        <f ca="1" t="shared" si="7"/>
        <v>0.17364817766693028</v>
      </c>
      <c r="O35" s="86">
        <f ca="1" t="shared" si="8"/>
        <v>361.6114138411447</v>
      </c>
      <c r="P35" s="87">
        <f ca="1" t="shared" si="8"/>
        <v>170.856678</v>
      </c>
      <c r="Q35" s="88">
        <f ca="1" t="shared" si="8"/>
        <v>-621.7990466121779</v>
      </c>
      <c r="R35" s="87">
        <f ca="1" t="shared" si="9"/>
        <v>-0.0054241286205614836</v>
      </c>
      <c r="S35" s="87">
        <f ca="1" t="shared" si="9"/>
        <v>0.9995120273540129</v>
      </c>
      <c r="T35" s="87">
        <f ca="1" t="shared" si="9"/>
        <v>-0.03076176203305844</v>
      </c>
      <c r="U35" s="86">
        <f ca="1" t="shared" si="10"/>
        <v>361.6762343793579</v>
      </c>
      <c r="V35" s="87">
        <f ca="1" t="shared" si="10"/>
        <v>158.9121036552824</v>
      </c>
      <c r="W35" s="88">
        <f ca="1" t="shared" si="10"/>
        <v>-621.4314310722718</v>
      </c>
      <c r="X35" s="20">
        <f t="shared" si="5"/>
        <v>90</v>
      </c>
      <c r="Y35" s="118" t="s">
        <v>515</v>
      </c>
    </row>
    <row r="36" spans="3:25" ht="12.75">
      <c r="C36" s="18"/>
      <c r="D36" s="19" t="s">
        <v>516</v>
      </c>
      <c r="E36" s="19" t="s">
        <v>528</v>
      </c>
      <c r="F36" s="20"/>
      <c r="G36" s="20">
        <v>-1</v>
      </c>
      <c r="H36" s="19" t="s">
        <v>385</v>
      </c>
      <c r="I36" s="86">
        <f ca="1" t="shared" si="6"/>
        <v>263.582597</v>
      </c>
      <c r="J36" s="87">
        <f ca="1" t="shared" si="6"/>
        <v>170.856678</v>
      </c>
      <c r="K36" s="88">
        <f ca="1" t="shared" si="6"/>
        <v>-636.663145</v>
      </c>
      <c r="L36" s="87">
        <f ca="1" t="shared" si="7"/>
        <v>0.696364240320019</v>
      </c>
      <c r="M36" s="87">
        <f ca="1" t="shared" si="7"/>
        <v>0.7071067811865475</v>
      </c>
      <c r="N36" s="87">
        <f ca="1" t="shared" si="7"/>
        <v>0.1227878039689728</v>
      </c>
      <c r="O36" s="86">
        <f ca="1" t="shared" si="8"/>
        <v>258.72819309396994</v>
      </c>
      <c r="P36" s="87">
        <f ca="1" t="shared" si="8"/>
        <v>165.9273870889749</v>
      </c>
      <c r="Q36" s="88">
        <f ca="1" t="shared" si="8"/>
        <v>-637.5191073838896</v>
      </c>
      <c r="R36" s="87">
        <f ca="1" t="shared" si="9"/>
        <v>-0.6963642403200189</v>
      </c>
      <c r="S36" s="87">
        <f ca="1" t="shared" si="9"/>
        <v>0.7071067811865476</v>
      </c>
      <c r="T36" s="87">
        <f ca="1" t="shared" si="9"/>
        <v>-0.12278780396897278</v>
      </c>
      <c r="U36" s="86">
        <f ca="1" t="shared" si="10"/>
        <v>267.05002836145013</v>
      </c>
      <c r="V36" s="87">
        <f ca="1" t="shared" si="10"/>
        <v>157.4771740986462</v>
      </c>
      <c r="W36" s="88">
        <f ca="1" t="shared" si="10"/>
        <v>-636.0517432972216</v>
      </c>
      <c r="X36" s="20">
        <f t="shared" si="5"/>
        <v>90</v>
      </c>
      <c r="Y36" s="118" t="s">
        <v>516</v>
      </c>
    </row>
    <row r="37" spans="3:25" ht="13.5" thickBot="1">
      <c r="C37" s="14"/>
      <c r="D37" s="15" t="s">
        <v>517</v>
      </c>
      <c r="E37" s="15" t="s">
        <v>528</v>
      </c>
      <c r="F37" s="16"/>
      <c r="G37" s="16"/>
      <c r="H37" s="15" t="s">
        <v>158</v>
      </c>
      <c r="I37" s="93">
        <f ca="1" t="shared" si="6"/>
      </c>
      <c r="J37" s="94">
        <f ca="1" t="shared" si="6"/>
      </c>
      <c r="K37" s="95">
        <f ca="1" t="shared" si="6"/>
      </c>
      <c r="L37" s="94">
        <f ca="1" t="shared" si="7"/>
      </c>
      <c r="M37" s="94">
        <f ca="1" t="shared" si="7"/>
      </c>
      <c r="N37" s="94">
        <f ca="1" t="shared" si="7"/>
      </c>
      <c r="O37" s="93">
        <f ca="1" t="shared" si="8"/>
      </c>
      <c r="P37" s="94">
        <f ca="1" t="shared" si="8"/>
      </c>
      <c r="Q37" s="95">
        <f ca="1" t="shared" si="8"/>
      </c>
      <c r="R37" s="94">
        <f ca="1" t="shared" si="9"/>
      </c>
      <c r="S37" s="94">
        <f ca="1" t="shared" si="9"/>
      </c>
      <c r="T37" s="94">
        <f ca="1" t="shared" si="9"/>
      </c>
      <c r="U37" s="93">
        <f ca="1" t="shared" si="10"/>
      </c>
      <c r="V37" s="94">
        <f ca="1" t="shared" si="10"/>
      </c>
      <c r="W37" s="95">
        <f ca="1" t="shared" si="10"/>
      </c>
      <c r="X37" s="16">
        <f t="shared" si="5"/>
      </c>
      <c r="Y37" s="120" t="s">
        <v>517</v>
      </c>
    </row>
    <row r="38" spans="1:25" ht="13.5" thickBot="1">
      <c r="A38" s="23"/>
      <c r="C38" s="19"/>
      <c r="D38" s="19" t="s">
        <v>506</v>
      </c>
      <c r="E38" s="19" t="s">
        <v>529</v>
      </c>
      <c r="F38" s="20"/>
      <c r="G38" s="20"/>
      <c r="H38" s="19" t="s">
        <v>126</v>
      </c>
      <c r="I38" s="86">
        <f ca="1" t="shared" si="6"/>
      </c>
      <c r="J38" s="87">
        <f ca="1" t="shared" si="6"/>
      </c>
      <c r="K38" s="88">
        <f ca="1" t="shared" si="6"/>
      </c>
      <c r="L38" s="89">
        <f ca="1" t="shared" si="7"/>
      </c>
      <c r="M38" s="89">
        <f ca="1" t="shared" si="7"/>
      </c>
      <c r="N38" s="89">
        <f ca="1" t="shared" si="7"/>
      </c>
      <c r="O38" s="86">
        <f ca="1" t="shared" si="8"/>
      </c>
      <c r="P38" s="87">
        <f ca="1" t="shared" si="8"/>
      </c>
      <c r="Q38" s="88">
        <f ca="1" t="shared" si="8"/>
      </c>
      <c r="R38" s="89">
        <f ca="1" t="shared" si="9"/>
      </c>
      <c r="S38" s="89">
        <f ca="1" t="shared" si="9"/>
      </c>
      <c r="T38" s="89">
        <f ca="1" t="shared" si="9"/>
      </c>
      <c r="U38" s="86">
        <f ca="1" t="shared" si="10"/>
      </c>
      <c r="V38" s="87">
        <f ca="1" t="shared" si="10"/>
      </c>
      <c r="W38" s="88">
        <f ca="1" t="shared" si="10"/>
      </c>
      <c r="X38" s="8">
        <f t="shared" si="5"/>
      </c>
      <c r="Y38" s="118" t="s">
        <v>506</v>
      </c>
    </row>
    <row r="39" spans="3:25" ht="12.75">
      <c r="C39" s="10" t="s">
        <v>518</v>
      </c>
      <c r="D39" s="11" t="s">
        <v>508</v>
      </c>
      <c r="E39" s="11" t="s">
        <v>529</v>
      </c>
      <c r="F39" s="12"/>
      <c r="G39" s="12"/>
      <c r="H39" s="11" t="s">
        <v>157</v>
      </c>
      <c r="I39" s="90">
        <f ca="1" t="shared" si="6"/>
      </c>
      <c r="J39" s="91">
        <f ca="1" t="shared" si="6"/>
      </c>
      <c r="K39" s="92">
        <f ca="1" t="shared" si="6"/>
      </c>
      <c r="L39" s="91">
        <f ca="1" t="shared" si="7"/>
      </c>
      <c r="M39" s="91">
        <f ca="1" t="shared" si="7"/>
      </c>
      <c r="N39" s="91">
        <f ca="1" t="shared" si="7"/>
      </c>
      <c r="O39" s="90">
        <f ca="1" t="shared" si="8"/>
      </c>
      <c r="P39" s="91">
        <f ca="1" t="shared" si="8"/>
      </c>
      <c r="Q39" s="92">
        <f ca="1" t="shared" si="8"/>
      </c>
      <c r="R39" s="91">
        <f ca="1" t="shared" si="9"/>
      </c>
      <c r="S39" s="91">
        <f ca="1" t="shared" si="9"/>
      </c>
      <c r="T39" s="91">
        <f ca="1" t="shared" si="9"/>
      </c>
      <c r="U39" s="90">
        <f ca="1" t="shared" si="10"/>
      </c>
      <c r="V39" s="91">
        <f ca="1" t="shared" si="10"/>
      </c>
      <c r="W39" s="92">
        <f ca="1" t="shared" si="10"/>
      </c>
      <c r="X39" s="12">
        <f t="shared" si="5"/>
      </c>
      <c r="Y39" s="119" t="s">
        <v>508</v>
      </c>
    </row>
    <row r="40" spans="3:25" ht="12.75">
      <c r="C40" s="18"/>
      <c r="D40" s="19" t="s">
        <v>519</v>
      </c>
      <c r="E40" s="19" t="s">
        <v>529</v>
      </c>
      <c r="F40" s="20"/>
      <c r="G40" s="20">
        <v>-1</v>
      </c>
      <c r="H40" s="19" t="s">
        <v>385</v>
      </c>
      <c r="I40" s="86">
        <f ca="1" t="shared" si="6"/>
        <v>73.13211000000001</v>
      </c>
      <c r="J40" s="87">
        <f ca="1" t="shared" si="6"/>
        <v>170.856678</v>
      </c>
      <c r="K40" s="88">
        <f ca="1" t="shared" si="6"/>
        <v>-407.998533</v>
      </c>
      <c r="L40" s="87">
        <f ca="1" t="shared" si="7"/>
        <v>0.9659258262890683</v>
      </c>
      <c r="M40" s="87">
        <f ca="1" t="shared" si="7"/>
        <v>0</v>
      </c>
      <c r="N40" s="87">
        <f ca="1" t="shared" si="7"/>
        <v>0.25881904510252074</v>
      </c>
      <c r="O40" s="86">
        <f ca="1" t="shared" si="8"/>
        <v>66.39857339289601</v>
      </c>
      <c r="P40" s="87">
        <f ca="1" t="shared" si="8"/>
        <v>170.856678</v>
      </c>
      <c r="Q40" s="88">
        <f ca="1" t="shared" si="8"/>
        <v>-409.8027786960789</v>
      </c>
      <c r="R40" s="87">
        <f ca="1" t="shared" si="9"/>
        <v>0</v>
      </c>
      <c r="S40" s="87">
        <f ca="1" t="shared" si="9"/>
        <v>1</v>
      </c>
      <c r="T40" s="87">
        <f ca="1" t="shared" si="9"/>
        <v>0</v>
      </c>
      <c r="U40" s="86">
        <f ca="1" t="shared" si="10"/>
        <v>66.39857339289601</v>
      </c>
      <c r="V40" s="87">
        <f ca="1" t="shared" si="10"/>
        <v>158.90627218413582</v>
      </c>
      <c r="W40" s="88">
        <f ca="1" t="shared" si="10"/>
        <v>-409.8027786960789</v>
      </c>
      <c r="X40" s="20">
        <f t="shared" si="5"/>
        <v>90</v>
      </c>
      <c r="Y40" s="118" t="s">
        <v>519</v>
      </c>
    </row>
    <row r="41" spans="3:25" ht="12.75">
      <c r="C41" s="18"/>
      <c r="D41" s="19" t="s">
        <v>520</v>
      </c>
      <c r="E41" s="19" t="s">
        <v>529</v>
      </c>
      <c r="F41" s="20"/>
      <c r="G41" s="20"/>
      <c r="H41" s="19" t="s">
        <v>126</v>
      </c>
      <c r="I41" s="86">
        <f ca="1" t="shared" si="6"/>
      </c>
      <c r="J41" s="87">
        <f ca="1" t="shared" si="6"/>
      </c>
      <c r="K41" s="88">
        <f ca="1" t="shared" si="6"/>
      </c>
      <c r="L41" s="87">
        <f ca="1" t="shared" si="7"/>
      </c>
      <c r="M41" s="87">
        <f ca="1" t="shared" si="7"/>
      </c>
      <c r="N41" s="87">
        <f ca="1" t="shared" si="7"/>
      </c>
      <c r="O41" s="86">
        <f ca="1" t="shared" si="8"/>
      </c>
      <c r="P41" s="87">
        <f ca="1" t="shared" si="8"/>
      </c>
      <c r="Q41" s="88">
        <f ca="1" t="shared" si="8"/>
      </c>
      <c r="R41" s="87">
        <f ca="1" t="shared" si="9"/>
      </c>
      <c r="S41" s="87">
        <f ca="1" t="shared" si="9"/>
      </c>
      <c r="T41" s="87">
        <f ca="1" t="shared" si="9"/>
      </c>
      <c r="U41" s="86">
        <f ca="1" t="shared" si="10"/>
      </c>
      <c r="V41" s="87">
        <f ca="1" t="shared" si="10"/>
      </c>
      <c r="W41" s="88">
        <f ca="1" t="shared" si="10"/>
      </c>
      <c r="X41" s="20">
        <f t="shared" si="5"/>
      </c>
      <c r="Y41" s="118" t="s">
        <v>520</v>
      </c>
    </row>
    <row r="42" spans="3:25" ht="12.75">
      <c r="C42" s="18"/>
      <c r="D42" s="19" t="s">
        <v>521</v>
      </c>
      <c r="E42" s="19" t="s">
        <v>529</v>
      </c>
      <c r="F42" s="20"/>
      <c r="G42" s="20"/>
      <c r="H42" s="19" t="s">
        <v>126</v>
      </c>
      <c r="I42" s="86">
        <f aca="true" ca="1" t="shared" si="11" ref="I42:K48">IF(OR(Flag="Ignore",Flag="Det",Flag="Hole"),"",INDIRECT(Flag&amp;"Calc!"&amp;Axe&amp;Flag))</f>
      </c>
      <c r="J42" s="87">
        <f ca="1" t="shared" si="11"/>
      </c>
      <c r="K42" s="88">
        <f ca="1" t="shared" si="11"/>
      </c>
      <c r="L42" s="87">
        <f aca="true" ca="1" t="shared" si="12" ref="L42:N48">IF(OR(Flag="Ignore",Flag="Det",Flag="Hole"),"",INDIRECT(Flag&amp;"Calc!"&amp;Axe&amp;"Norm"))</f>
      </c>
      <c r="M42" s="87">
        <f ca="1" t="shared" si="12"/>
      </c>
      <c r="N42" s="87">
        <f ca="1" t="shared" si="12"/>
      </c>
      <c r="O42" s="86">
        <f aca="true" ca="1" t="shared" si="13" ref="O42:Q48">IF(OR(Flag="Ignore",Flag="Det",Flag="Hole"),"",INDIRECT(Axe&amp;"mirr")+IF(ThMirr="Thick",Thick,Thin)*INDIRECT(Axe&amp;"norm"))</f>
      </c>
      <c r="P42" s="87">
        <f ca="1" t="shared" si="13"/>
      </c>
      <c r="Q42" s="88">
        <f ca="1" t="shared" si="13"/>
      </c>
      <c r="R42" s="87">
        <f aca="true" ca="1" t="shared" si="14" ref="R42:T48">IF(OR(Flag="Ignore",Flag="Det",Flag="Hole"),"",INDIRECT(Flag&amp;"Calc!"&amp;Axe&amp;"sag"))</f>
      </c>
      <c r="S42" s="87">
        <f ca="1" t="shared" si="14"/>
      </c>
      <c r="T42" s="87">
        <f ca="1" t="shared" si="14"/>
      </c>
      <c r="U42" s="86">
        <f aca="true" ca="1" t="shared" si="15" ref="U42:W47">IF(OR(Flag="Ignore",Flag="Det",Flag="Hole"),"",INDIRECT(Axe&amp;"spig")+DowlSep*DowlDir*INDIRECT(Axe&amp;"sag"))</f>
      </c>
      <c r="V42" s="87">
        <f ca="1" t="shared" si="15"/>
      </c>
      <c r="W42" s="88">
        <f ca="1" t="shared" si="15"/>
      </c>
      <c r="X42" s="20">
        <f t="shared" si="5"/>
      </c>
      <c r="Y42" s="118" t="s">
        <v>521</v>
      </c>
    </row>
    <row r="43" spans="3:25" ht="12.75">
      <c r="C43" s="18"/>
      <c r="D43" s="19" t="s">
        <v>522</v>
      </c>
      <c r="E43" s="19" t="s">
        <v>529</v>
      </c>
      <c r="F43" s="20"/>
      <c r="G43" s="20"/>
      <c r="H43" s="19" t="s">
        <v>126</v>
      </c>
      <c r="I43" s="86">
        <f ca="1" t="shared" si="11"/>
      </c>
      <c r="J43" s="87">
        <f ca="1" t="shared" si="11"/>
      </c>
      <c r="K43" s="88">
        <f ca="1" t="shared" si="11"/>
      </c>
      <c r="L43" s="87">
        <f ca="1" t="shared" si="12"/>
      </c>
      <c r="M43" s="87">
        <f ca="1" t="shared" si="12"/>
      </c>
      <c r="N43" s="87">
        <f ca="1" t="shared" si="12"/>
      </c>
      <c r="O43" s="86">
        <f ca="1" t="shared" si="13"/>
      </c>
      <c r="P43" s="87">
        <f ca="1" t="shared" si="13"/>
      </c>
      <c r="Q43" s="88">
        <f ca="1" t="shared" si="13"/>
      </c>
      <c r="R43" s="87">
        <f ca="1" t="shared" si="14"/>
      </c>
      <c r="S43" s="87">
        <f ca="1" t="shared" si="14"/>
      </c>
      <c r="T43" s="87">
        <f ca="1" t="shared" si="14"/>
      </c>
      <c r="U43" s="86">
        <f ca="1" t="shared" si="15"/>
      </c>
      <c r="V43" s="87">
        <f ca="1" t="shared" si="15"/>
      </c>
      <c r="W43" s="88">
        <f ca="1" t="shared" si="15"/>
      </c>
      <c r="X43" s="20">
        <f t="shared" si="5"/>
      </c>
      <c r="Y43" s="118" t="s">
        <v>522</v>
      </c>
    </row>
    <row r="44" spans="3:25" ht="12.75">
      <c r="C44" s="18"/>
      <c r="D44" s="19" t="s">
        <v>523</v>
      </c>
      <c r="E44" s="19" t="s">
        <v>529</v>
      </c>
      <c r="F44" s="20"/>
      <c r="G44" s="20">
        <v>-1</v>
      </c>
      <c r="H44" s="19" t="s">
        <v>385</v>
      </c>
      <c r="I44" s="86">
        <f ca="1" t="shared" si="11"/>
        <v>73.13211000000001</v>
      </c>
      <c r="J44" s="87">
        <f ca="1" t="shared" si="11"/>
        <v>170.856678</v>
      </c>
      <c r="K44" s="88">
        <f ca="1" t="shared" si="11"/>
        <v>-457.998533</v>
      </c>
      <c r="L44" s="87">
        <f ca="1" t="shared" si="12"/>
        <v>0.9659258262890682</v>
      </c>
      <c r="M44" s="87">
        <f ca="1" t="shared" si="12"/>
        <v>0</v>
      </c>
      <c r="N44" s="87">
        <f ca="1" t="shared" si="12"/>
        <v>-0.258819045102521</v>
      </c>
      <c r="O44" s="86">
        <f ca="1" t="shared" si="13"/>
        <v>66.39857339289601</v>
      </c>
      <c r="P44" s="87">
        <f ca="1" t="shared" si="13"/>
        <v>170.856678</v>
      </c>
      <c r="Q44" s="88">
        <f ca="1" t="shared" si="13"/>
        <v>-456.1942873039211</v>
      </c>
      <c r="R44" s="87">
        <f ca="1" t="shared" si="14"/>
        <v>0</v>
      </c>
      <c r="S44" s="87">
        <f ca="1" t="shared" si="14"/>
        <v>1</v>
      </c>
      <c r="T44" s="87">
        <f ca="1" t="shared" si="14"/>
        <v>0</v>
      </c>
      <c r="U44" s="86">
        <f ca="1" t="shared" si="15"/>
        <v>66.39857339289601</v>
      </c>
      <c r="V44" s="87">
        <f ca="1" t="shared" si="15"/>
        <v>158.90627218413582</v>
      </c>
      <c r="W44" s="88">
        <f ca="1" t="shared" si="15"/>
        <v>-456.1942873039211</v>
      </c>
      <c r="X44" s="20">
        <f t="shared" si="5"/>
        <v>90</v>
      </c>
      <c r="Y44" s="118" t="s">
        <v>523</v>
      </c>
    </row>
    <row r="45" spans="3:25" ht="12.75">
      <c r="C45" s="18"/>
      <c r="D45" s="19" t="s">
        <v>514</v>
      </c>
      <c r="E45" s="19" t="s">
        <v>529</v>
      </c>
      <c r="F45" s="20"/>
      <c r="G45" s="20"/>
      <c r="H45" s="19" t="s">
        <v>126</v>
      </c>
      <c r="I45" s="86">
        <f ca="1" t="shared" si="11"/>
      </c>
      <c r="J45" s="87">
        <f ca="1" t="shared" si="11"/>
      </c>
      <c r="K45" s="88">
        <f ca="1" t="shared" si="11"/>
      </c>
      <c r="L45" s="87">
        <f ca="1" t="shared" si="12"/>
      </c>
      <c r="M45" s="87">
        <f ca="1" t="shared" si="12"/>
      </c>
      <c r="N45" s="87">
        <f ca="1" t="shared" si="12"/>
      </c>
      <c r="O45" s="86">
        <f ca="1" t="shared" si="13"/>
      </c>
      <c r="P45" s="87">
        <f ca="1" t="shared" si="13"/>
      </c>
      <c r="Q45" s="88">
        <f ca="1" t="shared" si="13"/>
      </c>
      <c r="R45" s="87">
        <f ca="1" t="shared" si="14"/>
      </c>
      <c r="S45" s="87">
        <f ca="1" t="shared" si="14"/>
      </c>
      <c r="T45" s="87">
        <f ca="1" t="shared" si="14"/>
      </c>
      <c r="U45" s="86">
        <f ca="1" t="shared" si="15"/>
      </c>
      <c r="V45" s="87">
        <f ca="1" t="shared" si="15"/>
      </c>
      <c r="W45" s="88">
        <f ca="1" t="shared" si="15"/>
      </c>
      <c r="X45" s="20">
        <f t="shared" si="5"/>
      </c>
      <c r="Y45" s="118" t="s">
        <v>514</v>
      </c>
    </row>
    <row r="46" spans="3:25" ht="12.75">
      <c r="C46" s="18"/>
      <c r="D46" s="19" t="s">
        <v>524</v>
      </c>
      <c r="E46" s="19" t="s">
        <v>529</v>
      </c>
      <c r="F46" s="20"/>
      <c r="G46" s="20">
        <v>-1</v>
      </c>
      <c r="H46" s="19" t="s">
        <v>385</v>
      </c>
      <c r="I46" s="86">
        <f ca="1" t="shared" si="11"/>
        <v>91.509169</v>
      </c>
      <c r="J46" s="87">
        <f ca="1" t="shared" si="11"/>
        <v>170.856678</v>
      </c>
      <c r="K46" s="88">
        <f ca="1" t="shared" si="11"/>
        <v>-620.588533</v>
      </c>
      <c r="L46" s="87">
        <f ca="1" t="shared" si="12"/>
        <v>0.984807753012208</v>
      </c>
      <c r="M46" s="87">
        <f ca="1" t="shared" si="12"/>
        <v>0</v>
      </c>
      <c r="N46" s="87">
        <f ca="1" t="shared" si="12"/>
        <v>0.17364817766693028</v>
      </c>
      <c r="O46" s="86">
        <f ca="1" t="shared" si="13"/>
        <v>84.6440051588553</v>
      </c>
      <c r="P46" s="87">
        <f ca="1" t="shared" si="13"/>
        <v>170.856678</v>
      </c>
      <c r="Q46" s="88">
        <f ca="1" t="shared" si="13"/>
        <v>-621.7990466121779</v>
      </c>
      <c r="R46" s="87">
        <f ca="1" t="shared" si="14"/>
        <v>0.0054241286205614836</v>
      </c>
      <c r="S46" s="87">
        <f ca="1" t="shared" si="14"/>
        <v>0.9995120273540129</v>
      </c>
      <c r="T46" s="87">
        <f ca="1" t="shared" si="14"/>
        <v>-0.03076176203305844</v>
      </c>
      <c r="U46" s="86">
        <f ca="1" t="shared" si="15"/>
        <v>84.57918462064214</v>
      </c>
      <c r="V46" s="87">
        <f ca="1" t="shared" si="15"/>
        <v>158.9121036552824</v>
      </c>
      <c r="W46" s="88">
        <f ca="1" t="shared" si="15"/>
        <v>-621.4314310722718</v>
      </c>
      <c r="X46" s="20">
        <f t="shared" si="5"/>
        <v>90</v>
      </c>
      <c r="Y46" s="118" t="s">
        <v>524</v>
      </c>
    </row>
    <row r="47" spans="3:25" ht="12.75">
      <c r="C47" s="18"/>
      <c r="D47" s="19" t="s">
        <v>525</v>
      </c>
      <c r="E47" s="19" t="s">
        <v>529</v>
      </c>
      <c r="F47" s="20"/>
      <c r="G47" s="20">
        <v>-1</v>
      </c>
      <c r="H47" s="19" t="s">
        <v>385</v>
      </c>
      <c r="I47" s="86">
        <f ca="1" t="shared" si="11"/>
        <v>182.672823</v>
      </c>
      <c r="J47" s="87">
        <f ca="1" t="shared" si="11"/>
        <v>170.856678</v>
      </c>
      <c r="K47" s="88">
        <f ca="1" t="shared" si="11"/>
        <v>-636.663145</v>
      </c>
      <c r="L47" s="87">
        <f ca="1" t="shared" si="12"/>
        <v>-0.696364240320019</v>
      </c>
      <c r="M47" s="87">
        <f ca="1" t="shared" si="12"/>
        <v>0.7071067811865475</v>
      </c>
      <c r="N47" s="87">
        <f ca="1" t="shared" si="12"/>
        <v>0.1227878039689728</v>
      </c>
      <c r="O47" s="86">
        <f ca="1" t="shared" si="13"/>
        <v>187.5272269060301</v>
      </c>
      <c r="P47" s="87">
        <f ca="1" t="shared" si="13"/>
        <v>165.9273870889749</v>
      </c>
      <c r="Q47" s="88">
        <f ca="1" t="shared" si="13"/>
        <v>-637.5191073838896</v>
      </c>
      <c r="R47" s="87">
        <f ca="1" t="shared" si="14"/>
        <v>0.6963642403200189</v>
      </c>
      <c r="S47" s="87">
        <f ca="1" t="shared" si="14"/>
        <v>0.7071067811865476</v>
      </c>
      <c r="T47" s="87">
        <f ca="1" t="shared" si="14"/>
        <v>-0.12278780396897278</v>
      </c>
      <c r="U47" s="86">
        <f ca="1" t="shared" si="15"/>
        <v>179.20539163854994</v>
      </c>
      <c r="V47" s="87">
        <f ca="1" t="shared" si="15"/>
        <v>157.4771740986462</v>
      </c>
      <c r="W47" s="88">
        <f ca="1" t="shared" si="15"/>
        <v>-636.0517432972216</v>
      </c>
      <c r="X47" s="20">
        <f t="shared" si="5"/>
        <v>90</v>
      </c>
      <c r="Y47" s="118" t="s">
        <v>525</v>
      </c>
    </row>
    <row r="48" spans="3:25" ht="13.5" thickBot="1">
      <c r="C48" s="14"/>
      <c r="D48" s="15" t="s">
        <v>526</v>
      </c>
      <c r="E48" s="15" t="s">
        <v>529</v>
      </c>
      <c r="F48" s="16"/>
      <c r="G48" s="16"/>
      <c r="H48" s="15" t="s">
        <v>158</v>
      </c>
      <c r="I48" s="93">
        <f ca="1" t="shared" si="11"/>
      </c>
      <c r="J48" s="94">
        <f ca="1" t="shared" si="11"/>
      </c>
      <c r="K48" s="95">
        <f ca="1" t="shared" si="11"/>
      </c>
      <c r="L48" s="94">
        <f ca="1" t="shared" si="12"/>
      </c>
      <c r="M48" s="94">
        <f ca="1" t="shared" si="12"/>
      </c>
      <c r="N48" s="94">
        <f ca="1" t="shared" si="12"/>
      </c>
      <c r="O48" s="93">
        <f ca="1" t="shared" si="13"/>
      </c>
      <c r="P48" s="94">
        <f ca="1" t="shared" si="13"/>
      </c>
      <c r="Q48" s="95">
        <f ca="1" t="shared" si="13"/>
      </c>
      <c r="R48" s="94">
        <f ca="1" t="shared" si="14"/>
      </c>
      <c r="S48" s="94">
        <f ca="1" t="shared" si="14"/>
      </c>
      <c r="T48" s="94">
        <f ca="1" t="shared" si="14"/>
      </c>
      <c r="U48" s="93">
        <f aca="true" ca="1" t="shared" si="16" ref="U48:W49">IF(OR(Flag="Ignore",Flag="Det",Flag="Hole"),"",INDIRECT(Axe&amp;"spig")+DowlSep*DowlDir*INDIRECT(Axe&amp;"sag"))</f>
      </c>
      <c r="V48" s="94">
        <f ca="1" t="shared" si="16"/>
      </c>
      <c r="W48" s="95">
        <f ca="1" t="shared" si="16"/>
      </c>
      <c r="X48" s="16">
        <f>IF(OR(Flag="Ignore",Flag="Hole",Flag="Det"),"",ACOS(Xsag*Xnorm+Ysag*Ynorm+Zsag*Znorm)*180/PI())</f>
      </c>
      <c r="Y48" s="120" t="s">
        <v>526</v>
      </c>
    </row>
    <row r="49" spans="3:25" ht="13.5" thickBot="1">
      <c r="C49" s="108" t="s">
        <v>538</v>
      </c>
      <c r="D49" s="109" t="s">
        <v>539</v>
      </c>
      <c r="E49" s="109"/>
      <c r="F49" s="106"/>
      <c r="G49" s="106">
        <v>-1</v>
      </c>
      <c r="H49" s="109"/>
      <c r="I49" s="115">
        <f>2*VertexCalc!$G$28-I27</f>
        <v>72.751059</v>
      </c>
      <c r="J49" s="110">
        <f>J27</f>
        <v>170.856678</v>
      </c>
      <c r="K49" s="116">
        <f>K27</f>
        <v>-234.578533</v>
      </c>
      <c r="L49" s="110">
        <f>-L27</f>
        <v>0.984807753012208</v>
      </c>
      <c r="M49" s="110">
        <f>M27</f>
        <v>0</v>
      </c>
      <c r="N49" s="110">
        <f>N27</f>
        <v>-0.17364817766693033</v>
      </c>
      <c r="O49" s="115">
        <f ca="1">IF(OR(Flag="Ignore",Flag="Det",Flag="Hole"),"",INDIRECT(Axe&amp;"mirr")+IF(ThMirr="Thick",Thick,Thin)*(-1)*INDIRECT(Axe&amp;"norm"))</f>
        <v>79.6162228411447</v>
      </c>
      <c r="P49" s="110">
        <f ca="1">IF(OR(Flag="Ignore",Flag="Det",Flag="Hole"),"",INDIRECT(Axe&amp;"mirr")+IF(ThMirr="Thick",Thick,Thin)*(-1)*INDIRECT(Axe&amp;"norm"))</f>
        <v>170.856678</v>
      </c>
      <c r="Q49" s="116">
        <f ca="1">IF(OR(Flag="Ignore",Flag="Det",Flag="Hole"),"",INDIRECT(Axe&amp;"mirr")+IF(ThMirr="Thick",Thick,Thin)*(-1)*INDIRECT(Axe&amp;"norm"))</f>
        <v>-235.78904661217797</v>
      </c>
      <c r="R49" s="110">
        <f>-R27</f>
        <v>0.018814150275320164</v>
      </c>
      <c r="S49" s="110">
        <f>S27</f>
        <v>0.9941132045189992</v>
      </c>
      <c r="T49" s="110">
        <f>T27</f>
        <v>0.10670034840797878</v>
      </c>
      <c r="U49" s="115">
        <f ca="1" t="shared" si="16"/>
        <v>79.39138611027397</v>
      </c>
      <c r="V49" s="110">
        <f ca="1" t="shared" si="16"/>
        <v>158.9766217790888</v>
      </c>
      <c r="W49" s="116">
        <f ca="1" t="shared" si="16"/>
        <v>-237.0641590763474</v>
      </c>
      <c r="X49" s="106">
        <f>IF(OR(Flag="Ignore",Flag="Hole",Flag="Det"),"",ACOS(Xsag*Xnorm+Ysag*Ynorm+Zsag*Znorm)*180/PI())</f>
        <v>90</v>
      </c>
      <c r="Y49" s="24" t="s">
        <v>539</v>
      </c>
    </row>
    <row r="50" spans="1:25" ht="13.5" thickBot="1">
      <c r="A50" s="5" t="s">
        <v>553</v>
      </c>
      <c r="C50" s="19"/>
      <c r="D50" s="19"/>
      <c r="E50" s="19"/>
      <c r="F50" s="20"/>
      <c r="G50" s="20"/>
      <c r="H50" s="19"/>
      <c r="I50" s="93" t="s">
        <v>543</v>
      </c>
      <c r="J50" s="94" t="s">
        <v>544</v>
      </c>
      <c r="K50" s="95" t="s">
        <v>545</v>
      </c>
      <c r="L50" s="87" t="s">
        <v>543</v>
      </c>
      <c r="M50" s="87" t="s">
        <v>544</v>
      </c>
      <c r="N50" s="87" t="s">
        <v>545</v>
      </c>
      <c r="O50" s="93" t="s">
        <v>543</v>
      </c>
      <c r="P50" s="94" t="s">
        <v>544</v>
      </c>
      <c r="Q50" s="95" t="s">
        <v>545</v>
      </c>
      <c r="R50" s="87" t="s">
        <v>543</v>
      </c>
      <c r="S50" s="87" t="s">
        <v>544</v>
      </c>
      <c r="T50" s="87" t="s">
        <v>545</v>
      </c>
      <c r="U50" s="93" t="s">
        <v>543</v>
      </c>
      <c r="V50" s="94" t="s">
        <v>544</v>
      </c>
      <c r="W50" s="95" t="s">
        <v>545</v>
      </c>
      <c r="X50" s="20"/>
      <c r="Y50" s="19"/>
    </row>
    <row r="51" spans="3:24" ht="12.75">
      <c r="C51" s="23" t="s">
        <v>135</v>
      </c>
      <c r="I51" s="87"/>
      <c r="J51" s="87"/>
      <c r="K51" s="87"/>
      <c r="L51" s="87"/>
      <c r="M51" s="87"/>
      <c r="N51" s="87"/>
      <c r="O51" s="87"/>
      <c r="P51" s="87"/>
      <c r="Q51" s="87"/>
      <c r="R51" s="87"/>
      <c r="S51" s="87"/>
      <c r="T51" s="87"/>
      <c r="U51" s="87"/>
      <c r="V51" s="87"/>
      <c r="W51" s="87"/>
      <c r="X51" s="20"/>
    </row>
    <row r="52" spans="3:25" ht="12.75">
      <c r="C52" s="29" t="s">
        <v>46</v>
      </c>
      <c r="D52" s="29" t="s">
        <v>408</v>
      </c>
      <c r="E52" s="29" t="s">
        <v>301</v>
      </c>
      <c r="F52" s="29" t="s">
        <v>409</v>
      </c>
      <c r="G52" s="107"/>
      <c r="I52" s="87"/>
      <c r="J52" s="87"/>
      <c r="K52" s="87"/>
      <c r="L52" s="87"/>
      <c r="M52" s="87"/>
      <c r="N52" s="87"/>
      <c r="O52" s="87"/>
      <c r="P52" s="87"/>
      <c r="Q52" s="87"/>
      <c r="R52" s="87"/>
      <c r="S52" s="87"/>
      <c r="T52" s="87"/>
      <c r="U52" s="87"/>
      <c r="V52" s="87"/>
      <c r="W52" s="87"/>
      <c r="X52" s="20"/>
      <c r="Y52" s="29"/>
    </row>
    <row r="53" spans="3:25" ht="12.75">
      <c r="C53" s="19" t="s">
        <v>17</v>
      </c>
      <c r="D53" s="19" t="str">
        <f>"-Zsyno"</f>
        <v>-Zsyno</v>
      </c>
      <c r="E53" s="19" t="s">
        <v>405</v>
      </c>
      <c r="F53" s="19" t="s">
        <v>128</v>
      </c>
      <c r="G53" s="20"/>
      <c r="I53" s="87"/>
      <c r="J53" s="87"/>
      <c r="K53" s="87"/>
      <c r="L53" s="87"/>
      <c r="M53" s="87"/>
      <c r="N53" s="87"/>
      <c r="O53" s="87"/>
      <c r="P53" s="87"/>
      <c r="Q53" s="87"/>
      <c r="R53" s="87"/>
      <c r="S53" s="87"/>
      <c r="T53" s="87"/>
      <c r="U53" s="87"/>
      <c r="V53" s="87"/>
      <c r="W53" s="87"/>
      <c r="X53" s="20"/>
      <c r="Y53" s="19"/>
    </row>
    <row r="54" spans="3:25" ht="12.75">
      <c r="C54" s="19" t="s">
        <v>80</v>
      </c>
      <c r="D54" s="19" t="s">
        <v>131</v>
      </c>
      <c r="E54" s="19" t="s">
        <v>406</v>
      </c>
      <c r="F54" s="19" t="s">
        <v>129</v>
      </c>
      <c r="G54" s="20"/>
      <c r="I54" s="87"/>
      <c r="J54" s="87"/>
      <c r="K54" s="87"/>
      <c r="L54" s="87"/>
      <c r="M54" s="87"/>
      <c r="N54" s="87"/>
      <c r="O54" s="87"/>
      <c r="P54" s="87"/>
      <c r="Q54" s="87"/>
      <c r="R54" s="87"/>
      <c r="S54" s="87"/>
      <c r="T54" s="87"/>
      <c r="U54" s="87"/>
      <c r="V54" s="87"/>
      <c r="W54" s="87"/>
      <c r="X54" s="20"/>
      <c r="Y54" s="19"/>
    </row>
    <row r="55" spans="3:25" ht="12.75">
      <c r="C55" s="19" t="s">
        <v>81</v>
      </c>
      <c r="D55" s="19" t="s">
        <v>132</v>
      </c>
      <c r="E55" s="19" t="s">
        <v>407</v>
      </c>
      <c r="F55" s="19" t="s">
        <v>130</v>
      </c>
      <c r="G55" s="20"/>
      <c r="I55" s="87"/>
      <c r="J55" s="87"/>
      <c r="K55" s="87"/>
      <c r="L55" s="87"/>
      <c r="M55" s="87"/>
      <c r="N55" s="87"/>
      <c r="O55" s="87"/>
      <c r="P55" s="87"/>
      <c r="Q55" s="87"/>
      <c r="R55" s="87"/>
      <c r="S55" s="87"/>
      <c r="T55" s="87"/>
      <c r="U55" s="87"/>
      <c r="V55" s="87"/>
      <c r="W55" s="87"/>
      <c r="X55" s="20"/>
      <c r="Y55" s="19"/>
    </row>
    <row r="56" spans="3:25" ht="12.75">
      <c r="C56" s="19"/>
      <c r="D56" s="19"/>
      <c r="E56" s="19"/>
      <c r="F56" s="20"/>
      <c r="G56" s="20"/>
      <c r="H56" s="19"/>
      <c r="I56" s="87"/>
      <c r="J56" s="87"/>
      <c r="K56" s="87"/>
      <c r="L56" s="87"/>
      <c r="M56" s="87"/>
      <c r="N56" s="87"/>
      <c r="O56" s="87"/>
      <c r="P56" s="87"/>
      <c r="Q56" s="87"/>
      <c r="R56" s="87"/>
      <c r="S56" s="87"/>
      <c r="T56" s="87"/>
      <c r="U56" s="87"/>
      <c r="V56" s="87"/>
      <c r="W56" s="87"/>
      <c r="X56" s="20"/>
      <c r="Y56" s="19"/>
    </row>
    <row r="57" spans="3:25" ht="12.75">
      <c r="C57" s="19"/>
      <c r="D57" s="19"/>
      <c r="E57" s="19"/>
      <c r="F57" s="20"/>
      <c r="G57" s="20"/>
      <c r="H57" s="19"/>
      <c r="I57" s="87"/>
      <c r="J57" s="87"/>
      <c r="K57" s="87"/>
      <c r="L57" s="87"/>
      <c r="M57" s="87"/>
      <c r="N57" s="87"/>
      <c r="O57" s="87"/>
      <c r="P57" s="87"/>
      <c r="Q57" s="87"/>
      <c r="R57" s="87"/>
      <c r="S57" s="87"/>
      <c r="T57" s="87"/>
      <c r="U57" s="87"/>
      <c r="V57" s="87"/>
      <c r="W57" s="87"/>
      <c r="X57" s="20"/>
      <c r="Y57" s="19">
        <v>-1</v>
      </c>
    </row>
    <row r="58" spans="3:25" ht="12.75">
      <c r="C58" s="19"/>
      <c r="D58" s="19"/>
      <c r="E58" s="19"/>
      <c r="F58" s="20"/>
      <c r="G58" s="20"/>
      <c r="H58" s="19"/>
      <c r="I58" s="87"/>
      <c r="J58" s="87"/>
      <c r="K58" s="87"/>
      <c r="L58" s="87"/>
      <c r="M58" s="87"/>
      <c r="N58" s="87"/>
      <c r="O58" s="87"/>
      <c r="P58" s="87"/>
      <c r="Q58" s="87"/>
      <c r="R58" s="87"/>
      <c r="S58" s="87"/>
      <c r="T58" s="87"/>
      <c r="U58" s="87"/>
      <c r="V58" s="87"/>
      <c r="W58" s="87"/>
      <c r="X58" s="20"/>
      <c r="Y58" s="19"/>
    </row>
    <row r="59" spans="3:25" ht="26.25">
      <c r="C59" s="121" t="s">
        <v>599</v>
      </c>
      <c r="D59" s="19"/>
      <c r="G59" s="20"/>
      <c r="H59" s="19"/>
      <c r="I59" s="87"/>
      <c r="J59" s="87"/>
      <c r="K59" s="87"/>
      <c r="L59" s="87"/>
      <c r="M59" s="87"/>
      <c r="N59" s="87"/>
      <c r="O59" s="87"/>
      <c r="P59" s="87"/>
      <c r="Q59" s="87"/>
      <c r="R59" s="87"/>
      <c r="S59" s="87"/>
      <c r="T59" s="87"/>
      <c r="U59" s="87"/>
      <c r="V59" s="87"/>
      <c r="W59" s="87"/>
      <c r="X59" s="20"/>
      <c r="Y59" s="19"/>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pageMargins left="0.33" right="0.28" top="0.88" bottom="0.78" header="0.5118110236220472" footer="0.5118110236220472"/>
  <pageSetup fitToHeight="1" fitToWidth="1" horizontalDpi="600" verticalDpi="600" orientation="landscape" paperSize="9" scale="46" r:id="rId3"/>
  <headerFooter alignWithMargins="0">
    <oddHeader>&amp;L&amp;F, &amp;A&amp;R&amp;T, &amp;D</oddHeader>
    <oddFooter>&amp;CPage &amp;P of &amp;N</oddFooter>
  </headerFooter>
  <legacyDrawing r:id="rId2"/>
  <oleObjects>
    <oleObject progId="Word.Picture.8" shapeId="30454569" r:id="rId1"/>
  </oleObjects>
</worksheet>
</file>

<file path=xl/worksheets/sheet7.xml><?xml version="1.0" encoding="utf-8"?>
<worksheet xmlns="http://schemas.openxmlformats.org/spreadsheetml/2006/main" xmlns:r="http://schemas.openxmlformats.org/officeDocument/2006/relationships">
  <sheetPr>
    <pageSetUpPr fitToPage="1"/>
  </sheetPr>
  <dimension ref="A1:AE65"/>
  <sheetViews>
    <sheetView workbookViewId="0" topLeftCell="K1">
      <selection activeCell="B26" sqref="A26:IV26"/>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14" width="13.66015625" style="87" customWidth="1"/>
    <col min="15" max="17" width="14.16015625" style="89" customWidth="1"/>
    <col min="18" max="20" width="13.66015625" style="87" customWidth="1"/>
    <col min="21" max="23" width="14.16015625" style="89" customWidth="1"/>
    <col min="24" max="24" width="11" style="20" customWidth="1"/>
    <col min="25" max="25" width="12" style="20" customWidth="1"/>
    <col min="26" max="31" width="9.33203125" style="20" customWidth="1"/>
    <col min="32" max="16384" width="12" style="1" customWidth="1"/>
  </cols>
  <sheetData>
    <row r="1" spans="3:31" s="5" customFormat="1" ht="12.75">
      <c r="C1" s="5" t="s">
        <v>127</v>
      </c>
      <c r="D1" s="5" t="s">
        <v>2</v>
      </c>
      <c r="E1" s="5" t="s">
        <v>530</v>
      </c>
      <c r="F1" s="6" t="s">
        <v>592</v>
      </c>
      <c r="G1" s="6" t="s">
        <v>463</v>
      </c>
      <c r="H1" s="5" t="s">
        <v>156</v>
      </c>
      <c r="I1" s="82" t="s">
        <v>18</v>
      </c>
      <c r="J1" s="83" t="s">
        <v>19</v>
      </c>
      <c r="K1" s="84" t="s">
        <v>20</v>
      </c>
      <c r="L1" s="96" t="s">
        <v>14</v>
      </c>
      <c r="M1" s="96" t="s">
        <v>15</v>
      </c>
      <c r="N1" s="96" t="s">
        <v>16</v>
      </c>
      <c r="O1" s="82" t="s">
        <v>11</v>
      </c>
      <c r="P1" s="83" t="s">
        <v>12</v>
      </c>
      <c r="Q1" s="84" t="s">
        <v>13</v>
      </c>
      <c r="R1" s="96" t="s">
        <v>21</v>
      </c>
      <c r="S1" s="96" t="s">
        <v>22</v>
      </c>
      <c r="T1" s="96" t="s">
        <v>23</v>
      </c>
      <c r="U1" s="82" t="s">
        <v>24</v>
      </c>
      <c r="V1" s="83" t="s">
        <v>25</v>
      </c>
      <c r="W1" s="84" t="s">
        <v>26</v>
      </c>
      <c r="X1" s="26" t="s">
        <v>403</v>
      </c>
      <c r="Y1" s="5" t="s">
        <v>2</v>
      </c>
      <c r="Z1" s="26"/>
      <c r="AA1" s="26"/>
      <c r="AB1" s="26"/>
      <c r="AC1" s="26"/>
      <c r="AD1" s="26"/>
      <c r="AE1" s="26"/>
    </row>
    <row r="2" spans="4:25" ht="13.5" thickBot="1">
      <c r="D2" s="1" t="s">
        <v>91</v>
      </c>
      <c r="E2" s="1" t="s">
        <v>527</v>
      </c>
      <c r="H2" s="1" t="s">
        <v>126</v>
      </c>
      <c r="I2" s="86">
        <f ca="1">IF(OR(Flag="Ignore",Flag="Det",Flag="Hole"),"",INDIRECT("VertexCalc!X"&amp;Local)*(Interfaces!Xmirr-VertexCalc!Xmirr)+INDIRECT("VertexCalc!Y"&amp;Local)*(Interfaces!Ymirr-VertexCalc!Ymirr)+INDIRECT("VertexCalc!Z"&amp;Local)*(Interfaces!Zmirr-VertexCalc!Zmirr))</f>
      </c>
      <c r="J2" s="87">
        <f ca="1">IF(OR(Flag="Ignore",Flag="Det",Flag="Hole"),"",INDIRECT("VertexCalc!X"&amp;Local)*(Interfaces!Xmirr-VertexCalc!Xmirr)+INDIRECT("VertexCalc!Y"&amp;Local)*(Interfaces!Ymirr-VertexCalc!Ymirr)+INDIRECT("VertexCalc!Z"&amp;Local)*(Interfaces!Zmirr-VertexCalc!Zmirr))</f>
      </c>
      <c r="K2" s="88">
        <f ca="1">IF(OR(Flag="Ignore",Flag="Det",Flag="Hole"),"",INDIRECT("VertexCalc!X"&amp;Local)*(Interfaces!Xmirr-VertexCalc!Xmirr)+INDIRECT("VertexCalc!Y"&amp;Local)*(Interfaces!Ymirr-VertexCalc!Ymirr)+INDIRECT("VertexCalc!Z"&amp;Local)*(Interfaces!Zmirr-VertexCalc!Zmirr))</f>
      </c>
      <c r="L2" s="87">
        <f ca="1">IF(OR(Flag="Ignore",Flag="Det",Flag="Hole"),"",(INDIRECT("VertexCalc!X"&amp;Local)*Interfaces!Xnorm+INDIRECT("VertexCalc!Y"&amp;Local)*Interfaces!Ynorm+INDIRECT("VertexCalc!Z"&amp;Local)*Interfaces!Znorm))</f>
      </c>
      <c r="M2" s="87">
        <f ca="1">IF(OR(Flag="Ignore",Flag="Det",Flag="Hole"),"",(INDIRECT("VertexCalc!X"&amp;Local)*Interfaces!Xnorm+INDIRECT("VertexCalc!Y"&amp;Local)*Interfaces!Ynorm+INDIRECT("VertexCalc!Z"&amp;Local)*Interfaces!Znorm))</f>
      </c>
      <c r="N2" s="87">
        <f ca="1">IF(OR(Flag="Ignore",Flag="Det",Flag="Hole"),"",(INDIRECT("VertexCalc!X"&amp;Local)*Interfaces!Xnorm+INDIRECT("VertexCalc!Y"&amp;Local)*Interfaces!Ynorm+INDIRECT("VertexCalc!Z"&amp;Local)*Interfaces!Znorm))</f>
      </c>
      <c r="O2" s="86">
        <f aca="true" ca="1" t="shared" si="0" ref="O2:Q21">IF(OR(Flag="Ignore",Flag="Det",Flag="Hole"),"",INDIRECT(Axe&amp;"mirr")+IF(ThMirr="Thick",Thick,Thin)*INDIRECT(Axe&amp;"norm"))</f>
      </c>
      <c r="P2" s="87">
        <f ca="1" t="shared" si="0"/>
      </c>
      <c r="Q2" s="88">
        <f ca="1" t="shared" si="0"/>
      </c>
      <c r="R2" s="87">
        <f ca="1">IF(OR(Flag="Ignore",Flag="Det",Flag="Hole"),"",INDIRECT("VertexCalc!X"&amp;Local)*Interfaces!Xsag+INDIRECT("VertexCalc!Y"&amp;Local)*Interfaces!Ysag+INDIRECT("VertexCalc!Z"&amp;Local)*Interfaces!Zsag)</f>
      </c>
      <c r="S2" s="87">
        <f ca="1">IF(OR(Flag="Ignore",Flag="Det",Flag="Hole"),"",INDIRECT("VertexCalc!X"&amp;Local)*Interfaces!Xsag+INDIRECT("VertexCalc!Y"&amp;Local)*Interfaces!Ysag+INDIRECT("VertexCalc!Z"&amp;Local)*Interfaces!Zsag)</f>
      </c>
      <c r="T2" s="87">
        <f ca="1">IF(OR(Flag="Ignore",Flag="Det",Flag="Hole"),"",INDIRECT("VertexCalc!X"&amp;Local)*Interfaces!Xsag+INDIRECT("VertexCalc!Y"&amp;Local)*Interfaces!Ysag+INDIRECT("VertexCalc!Z"&amp;Local)*Interfaces!Zsag)</f>
      </c>
      <c r="U2" s="86">
        <f aca="true" ca="1" t="shared" si="1" ref="U2:W21">IF(OR(Flag="Ignore",Flag="Det",Flag="Hole"),"",INDIRECT(Axe&amp;"spig")+DowlSep*DowlDir*INDIRECT(Axe&amp;"sag"))</f>
      </c>
      <c r="V2" s="87">
        <f ca="1" t="shared" si="1"/>
      </c>
      <c r="W2" s="88">
        <f ca="1" t="shared" si="1"/>
      </c>
      <c r="X2" s="20">
        <f>IF(OR(Flag="Ignore",Flag="Hole",Flag="Det"),"",ACOS(Xsag*Xnorm+Ysag*Ynorm+Zsag*Znorm)*180/PI())</f>
      </c>
      <c r="Y2" s="1" t="s">
        <v>91</v>
      </c>
    </row>
    <row r="3" spans="3:25" ht="12.75">
      <c r="C3" s="10" t="s">
        <v>120</v>
      </c>
      <c r="D3" s="11" t="s">
        <v>92</v>
      </c>
      <c r="E3" s="11" t="s">
        <v>527</v>
      </c>
      <c r="F3" s="12"/>
      <c r="G3" s="12"/>
      <c r="H3" s="11" t="s">
        <v>126</v>
      </c>
      <c r="I3" s="90">
        <f ca="1">IF(OR(Flag="Ignore",Flag="Det",Flag="Hole"),"",INDIRECT("VertexCalc!X"&amp;Local)*(Interfaces!Xmirr-VertexCalc!Xmirr)+INDIRECT("VertexCalc!Y"&amp;Local)*(Interfaces!Ymirr-VertexCalc!Ymirr)+INDIRECT("VertexCalc!Z"&amp;Local)*(Interfaces!Zmirr-VertexCalc!Zmirr))</f>
      </c>
      <c r="J3" s="91">
        <f ca="1">IF(OR(Flag="Ignore",Flag="Det",Flag="Hole"),"",INDIRECT("VertexCalc!X"&amp;Local)*(Interfaces!Xmirr-VertexCalc!Xmirr)+INDIRECT("VertexCalc!Y"&amp;Local)*(Interfaces!Ymirr-VertexCalc!Ymirr)+INDIRECT("VertexCalc!Z"&amp;Local)*(Interfaces!Zmirr-VertexCalc!Zmirr))</f>
      </c>
      <c r="K3" s="92">
        <f ca="1">IF(OR(Flag="Ignore",Flag="Det",Flag="Hole"),"",INDIRECT("VertexCalc!X"&amp;Local)*(Interfaces!Xmirr-VertexCalc!Xmirr)+INDIRECT("VertexCalc!Y"&amp;Local)*(Interfaces!Ymirr-VertexCalc!Ymirr)+INDIRECT("VertexCalc!Z"&amp;Local)*(Interfaces!Zmirr-VertexCalc!Zmirr))</f>
      </c>
      <c r="L3" s="91">
        <f ca="1">IF(OR(Flag="Ignore",Flag="Det",Flag="Hole"),"",(INDIRECT("VertexCalc!X"&amp;Local)*Interfaces!Xnorm+INDIRECT("VertexCalc!Y"&amp;Local)*Interfaces!Ynorm+INDIRECT("VertexCalc!Z"&amp;Local)*Interfaces!Znorm))</f>
      </c>
      <c r="M3" s="91">
        <f ca="1">IF(OR(Flag="Ignore",Flag="Det",Flag="Hole"),"",(INDIRECT("VertexCalc!X"&amp;Local)*Interfaces!Xnorm+INDIRECT("VertexCalc!Y"&amp;Local)*Interfaces!Ynorm+INDIRECT("VertexCalc!Z"&amp;Local)*Interfaces!Znorm))</f>
      </c>
      <c r="N3" s="91">
        <f ca="1">IF(OR(Flag="Ignore",Flag="Det",Flag="Hole"),"",(INDIRECT("VertexCalc!X"&amp;Local)*Interfaces!Xnorm+INDIRECT("VertexCalc!Y"&amp;Local)*Interfaces!Ynorm+INDIRECT("VertexCalc!Z"&amp;Local)*Interfaces!Znorm))</f>
      </c>
      <c r="O3" s="90">
        <f ca="1" t="shared" si="0"/>
      </c>
      <c r="P3" s="91">
        <f ca="1" t="shared" si="0"/>
      </c>
      <c r="Q3" s="92">
        <f ca="1" t="shared" si="0"/>
      </c>
      <c r="R3" s="91">
        <f ca="1">IF(OR(Flag="Ignore",Flag="Det",Flag="Hole"),"",INDIRECT("VertexCalc!X"&amp;Local)*Interfaces!Xsag+INDIRECT("VertexCalc!Y"&amp;Local)*Interfaces!Ysag+INDIRECT("VertexCalc!Z"&amp;Local)*Interfaces!Zsag)</f>
      </c>
      <c r="S3" s="91">
        <f ca="1">IF(OR(Flag="Ignore",Flag="Det",Flag="Hole"),"",INDIRECT("VertexCalc!X"&amp;Local)*Interfaces!Xsag+INDIRECT("VertexCalc!Y"&amp;Local)*Interfaces!Ysag+INDIRECT("VertexCalc!Z"&amp;Local)*Interfaces!Zsag)</f>
      </c>
      <c r="T3" s="91">
        <f ca="1">IF(OR(Flag="Ignore",Flag="Det",Flag="Hole"),"",INDIRECT("VertexCalc!X"&amp;Local)*Interfaces!Xsag+INDIRECT("VertexCalc!Y"&amp;Local)*Interfaces!Ysag+INDIRECT("VertexCalc!Z"&amp;Local)*Interfaces!Zsag)</f>
      </c>
      <c r="U3" s="90">
        <f ca="1" t="shared" si="1"/>
      </c>
      <c r="V3" s="91">
        <f ca="1" t="shared" si="1"/>
      </c>
      <c r="W3" s="92">
        <f ca="1" t="shared" si="1"/>
      </c>
      <c r="X3" s="12">
        <f aca="true" t="shared" si="2" ref="X3:X48">IF(OR(Flag="Ignore",Flag="Hole",Flag="Det"),"",ACOS(Xsag*Xnorm+Ysag*Ynorm+Zsag*Znorm)*180/PI())</f>
      </c>
      <c r="Y3" s="122" t="s">
        <v>92</v>
      </c>
    </row>
    <row r="4" spans="3:25" ht="13.5" thickBot="1">
      <c r="C4" s="14"/>
      <c r="D4" s="15" t="s">
        <v>93</v>
      </c>
      <c r="E4" s="15" t="s">
        <v>527</v>
      </c>
      <c r="F4" s="16"/>
      <c r="G4" s="16"/>
      <c r="H4" s="15" t="s">
        <v>126</v>
      </c>
      <c r="I4" s="93">
        <f ca="1">IF(OR(Flag="Ignore",Flag="Det",Flag="Hole"),"",INDIRECT("VertexCalc!X"&amp;Local)*(Interfaces!Xmirr-VertexCalc!Xmirr)+INDIRECT("VertexCalc!Y"&amp;Local)*(Interfaces!Ymirr-VertexCalc!Ymirr)+INDIRECT("VertexCalc!Z"&amp;Local)*(Interfaces!Zmirr-VertexCalc!Zmirr))</f>
      </c>
      <c r="J4" s="94">
        <f ca="1">IF(OR(Flag="Ignore",Flag="Det",Flag="Hole"),"",INDIRECT("VertexCalc!X"&amp;Local)*(Interfaces!Xmirr-VertexCalc!Xmirr)+INDIRECT("VertexCalc!Y"&amp;Local)*(Interfaces!Ymirr-VertexCalc!Ymirr)+INDIRECT("VertexCalc!Z"&amp;Local)*(Interfaces!Zmirr-VertexCalc!Zmirr))</f>
      </c>
      <c r="K4" s="95">
        <f ca="1">IF(OR(Flag="Ignore",Flag="Det",Flag="Hole"),"",INDIRECT("VertexCalc!X"&amp;Local)*(Interfaces!Xmirr-VertexCalc!Xmirr)+INDIRECT("VertexCalc!Y"&amp;Local)*(Interfaces!Ymirr-VertexCalc!Ymirr)+INDIRECT("VertexCalc!Z"&amp;Local)*(Interfaces!Zmirr-VertexCalc!Zmirr))</f>
      </c>
      <c r="L4" s="94">
        <f ca="1">IF(OR(Flag="Ignore",Flag="Det",Flag="Hole"),"",(INDIRECT("VertexCalc!X"&amp;Local)*Interfaces!Xnorm+INDIRECT("VertexCalc!Y"&amp;Local)*Interfaces!Ynorm+INDIRECT("VertexCalc!Z"&amp;Local)*Interfaces!Znorm))</f>
      </c>
      <c r="M4" s="94">
        <f ca="1">IF(OR(Flag="Ignore",Flag="Det",Flag="Hole"),"",(INDIRECT("VertexCalc!X"&amp;Local)*Interfaces!Xnorm+INDIRECT("VertexCalc!Y"&amp;Local)*Interfaces!Ynorm+INDIRECT("VertexCalc!Z"&amp;Local)*Interfaces!Znorm))</f>
      </c>
      <c r="N4" s="94">
        <f ca="1">IF(OR(Flag="Ignore",Flag="Det",Flag="Hole"),"",(INDIRECT("VertexCalc!X"&amp;Local)*Interfaces!Xnorm+INDIRECT("VertexCalc!Y"&amp;Local)*Interfaces!Ynorm+INDIRECT("VertexCalc!Z"&amp;Local)*Interfaces!Znorm))</f>
      </c>
      <c r="O4" s="93">
        <f ca="1" t="shared" si="0"/>
      </c>
      <c r="P4" s="94">
        <f ca="1" t="shared" si="0"/>
      </c>
      <c r="Q4" s="95">
        <f ca="1" t="shared" si="0"/>
      </c>
      <c r="R4" s="94">
        <f ca="1">IF(OR(Flag="Ignore",Flag="Det",Flag="Hole"),"",INDIRECT("VertexCalc!X"&amp;Local)*Interfaces!Xsag+INDIRECT("VertexCalc!Y"&amp;Local)*Interfaces!Ysag+INDIRECT("VertexCalc!Z"&amp;Local)*Interfaces!Zsag)</f>
      </c>
      <c r="S4" s="94">
        <f ca="1">IF(OR(Flag="Ignore",Flag="Det",Flag="Hole"),"",INDIRECT("VertexCalc!X"&amp;Local)*Interfaces!Xsag+INDIRECT("VertexCalc!Y"&amp;Local)*Interfaces!Ysag+INDIRECT("VertexCalc!Z"&amp;Local)*Interfaces!Zsag)</f>
      </c>
      <c r="T4" s="94">
        <f ca="1">IF(OR(Flag="Ignore",Flag="Det",Flag="Hole"),"",INDIRECT("VertexCalc!X"&amp;Local)*Interfaces!Xsag+INDIRECT("VertexCalc!Y"&amp;Local)*Interfaces!Ysag+INDIRECT("VertexCalc!Z"&amp;Local)*Interfaces!Zsag)</f>
      </c>
      <c r="U4" s="93">
        <f ca="1" t="shared" si="1"/>
      </c>
      <c r="V4" s="94">
        <f ca="1" t="shared" si="1"/>
      </c>
      <c r="W4" s="95">
        <f ca="1" t="shared" si="1"/>
      </c>
      <c r="X4" s="16">
        <f t="shared" si="2"/>
      </c>
      <c r="Y4" s="123" t="s">
        <v>93</v>
      </c>
    </row>
    <row r="5" spans="1:25" ht="12.75">
      <c r="A5" s="19"/>
      <c r="B5" s="19"/>
      <c r="C5" s="10" t="s">
        <v>121</v>
      </c>
      <c r="D5" s="11" t="s">
        <v>94</v>
      </c>
      <c r="E5" s="11" t="s">
        <v>527</v>
      </c>
      <c r="F5" s="12"/>
      <c r="G5" s="12"/>
      <c r="H5" s="11" t="s">
        <v>157</v>
      </c>
      <c r="I5" s="90">
        <f ca="1">IF(OR(Flag="Ignore",Flag="Det",Flag="Hole"),"",INDIRECT("VertexCalc!X"&amp;Local)*(Interfaces!Xmirr-VertexCalc!Xmirr)+INDIRECT("VertexCalc!Y"&amp;Local)*(Interfaces!Ymirr-VertexCalc!Ymirr)+INDIRECT("VertexCalc!Z"&amp;Local)*(Interfaces!Zmirr-VertexCalc!Zmirr))</f>
      </c>
      <c r="J5" s="91">
        <f ca="1">IF(OR(Flag="Ignore",Flag="Det",Flag="Hole"),"",INDIRECT("VertexCalc!X"&amp;Local)*(Interfaces!Xmirr-VertexCalc!Xmirr)+INDIRECT("VertexCalc!Y"&amp;Local)*(Interfaces!Ymirr-VertexCalc!Ymirr)+INDIRECT("VertexCalc!Z"&amp;Local)*(Interfaces!Zmirr-VertexCalc!Zmirr))</f>
      </c>
      <c r="K5" s="92">
        <f ca="1">IF(OR(Flag="Ignore",Flag="Det",Flag="Hole"),"",INDIRECT("VertexCalc!X"&amp;Local)*(Interfaces!Xmirr-VertexCalc!Xmirr)+INDIRECT("VertexCalc!Y"&amp;Local)*(Interfaces!Ymirr-VertexCalc!Ymirr)+INDIRECT("VertexCalc!Z"&amp;Local)*(Interfaces!Zmirr-VertexCalc!Zmirr))</f>
      </c>
      <c r="L5" s="91">
        <f ca="1">IF(OR(Flag="Ignore",Flag="Det",Flag="Hole"),"",(INDIRECT("VertexCalc!X"&amp;Local)*Interfaces!Xnorm+INDIRECT("VertexCalc!Y"&amp;Local)*Interfaces!Ynorm+INDIRECT("VertexCalc!Z"&amp;Local)*Interfaces!Znorm))</f>
      </c>
      <c r="M5" s="91">
        <f ca="1">IF(OR(Flag="Ignore",Flag="Det",Flag="Hole"),"",(INDIRECT("VertexCalc!X"&amp;Local)*Interfaces!Xnorm+INDIRECT("VertexCalc!Y"&amp;Local)*Interfaces!Ynorm+INDIRECT("VertexCalc!Z"&amp;Local)*Interfaces!Znorm))</f>
      </c>
      <c r="N5" s="91">
        <f ca="1">IF(OR(Flag="Ignore",Flag="Det",Flag="Hole"),"",(INDIRECT("VertexCalc!X"&amp;Local)*Interfaces!Xnorm+INDIRECT("VertexCalc!Y"&amp;Local)*Interfaces!Ynorm+INDIRECT("VertexCalc!Z"&amp;Local)*Interfaces!Znorm))</f>
      </c>
      <c r="O5" s="90">
        <f ca="1" t="shared" si="0"/>
      </c>
      <c r="P5" s="91">
        <f ca="1" t="shared" si="0"/>
      </c>
      <c r="Q5" s="92">
        <f ca="1" t="shared" si="0"/>
      </c>
      <c r="R5" s="91">
        <f ca="1">IF(OR(Flag="Ignore",Flag="Det",Flag="Hole"),"",INDIRECT("VertexCalc!X"&amp;Local)*Interfaces!Xsag+INDIRECT("VertexCalc!Y"&amp;Local)*Interfaces!Ysag+INDIRECT("VertexCalc!Z"&amp;Local)*Interfaces!Zsag)</f>
      </c>
      <c r="S5" s="91">
        <f ca="1">IF(OR(Flag="Ignore",Flag="Det",Flag="Hole"),"",INDIRECT("VertexCalc!X"&amp;Local)*Interfaces!Xsag+INDIRECT("VertexCalc!Y"&amp;Local)*Interfaces!Ysag+INDIRECT("VertexCalc!Z"&amp;Local)*Interfaces!Zsag)</f>
      </c>
      <c r="T5" s="91">
        <f ca="1">IF(OR(Flag="Ignore",Flag="Det",Flag="Hole"),"",INDIRECT("VertexCalc!X"&amp;Local)*Interfaces!Xsag+INDIRECT("VertexCalc!Y"&amp;Local)*Interfaces!Ysag+INDIRECT("VertexCalc!Z"&amp;Local)*Interfaces!Zsag)</f>
      </c>
      <c r="U5" s="90">
        <f ca="1" t="shared" si="1"/>
      </c>
      <c r="V5" s="91">
        <f ca="1" t="shared" si="1"/>
      </c>
      <c r="W5" s="92">
        <f ca="1" t="shared" si="1"/>
      </c>
      <c r="X5" s="12">
        <f t="shared" si="2"/>
      </c>
      <c r="Y5" s="122" t="s">
        <v>94</v>
      </c>
    </row>
    <row r="6" spans="3:25" ht="12.75">
      <c r="C6" s="18"/>
      <c r="D6" s="19" t="s">
        <v>95</v>
      </c>
      <c r="E6" s="19" t="s">
        <v>527</v>
      </c>
      <c r="F6" s="20" t="s">
        <v>594</v>
      </c>
      <c r="G6" s="20">
        <v>1</v>
      </c>
      <c r="H6" s="19" t="s">
        <v>159</v>
      </c>
      <c r="I6" s="86">
        <f ca="1">IF(OR(Flag="Ignore",Flag="Det",Flag="Hole"),"",INDIRECT("VertexCalc!X"&amp;Local)*(Interfaces!Xmirr-VertexCalc!Xmirr)+INDIRECT("VertexCalc!Y"&amp;Local)*(Interfaces!Ymirr-VertexCalc!Ymirr)+INDIRECT("VertexCalc!Z"&amp;Local)*(Interfaces!Zmirr-VertexCalc!Zmirr))</f>
        <v>29.842008897909132</v>
      </c>
      <c r="J6" s="87">
        <f ca="1">IF(OR(Flag="Ignore",Flag="Det",Flag="Hole"),"",INDIRECT("VertexCalc!X"&amp;Local)*(Interfaces!Xmirr-VertexCalc!Xmirr)+INDIRECT("VertexCalc!Y"&amp;Local)*(Interfaces!Ymirr-VertexCalc!Ymirr)+INDIRECT("VertexCalc!Z"&amp;Local)*(Interfaces!Zmirr-VertexCalc!Zmirr))</f>
        <v>-19.500476</v>
      </c>
      <c r="K6" s="88">
        <f ca="1">IF(OR(Flag="Ignore",Flag="Det",Flag="Hole"),"",INDIRECT("VertexCalc!X"&amp;Local)*(Interfaces!Xmirr-VertexCalc!Xmirr)+INDIRECT("VertexCalc!Y"&amp;Local)*(Interfaces!Ymirr-VertexCalc!Ymirr)+INDIRECT("VertexCalc!Z"&amp;Local)*(Interfaces!Zmirr-VertexCalc!Zmirr))</f>
        <v>145.0002098453071</v>
      </c>
      <c r="L6" s="87">
        <f ca="1">IF(OR(Flag="Ignore",Flag="Det",Flag="Hole"),"",(INDIRECT("VertexCalc!X"&amp;Local)*Interfaces!Xnorm+INDIRECT("VertexCalc!Y"&amp;Local)*Interfaces!Ynorm+INDIRECT("VertexCalc!Z"&amp;Local)*Interfaces!Znorm))</f>
        <v>0.9231515556994206</v>
      </c>
      <c r="M6" s="87">
        <f ca="1">IF(OR(Flag="Ignore",Flag="Det",Flag="Hole"),"",(INDIRECT("VertexCalc!X"&amp;Local)*Interfaces!Xnorm+INDIRECT("VertexCalc!Y"&amp;Local)*Interfaces!Ynorm+INDIRECT("VertexCalc!Z"&amp;Local)*Interfaces!Znorm))</f>
        <v>0.05123993058213288</v>
      </c>
      <c r="N6" s="87">
        <f ca="1">IF(OR(Flag="Ignore",Flag="Det",Flag="Hole"),"",(INDIRECT("VertexCalc!X"&amp;Local)*Interfaces!Xnorm+INDIRECT("VertexCalc!Y"&amp;Local)*Interfaces!Ynorm+INDIRECT("VertexCalc!Z"&amp;Local)*Interfaces!Znorm))</f>
        <v>-0.3810061347585857</v>
      </c>
      <c r="O6" s="86">
        <f ca="1" t="shared" si="0"/>
        <v>16.051964247716125</v>
      </c>
      <c r="P6" s="87">
        <f ca="1" t="shared" si="0"/>
        <v>-20.265898455541496</v>
      </c>
      <c r="Q6" s="88">
        <f ca="1" t="shared" si="0"/>
        <v>150.69168225618077</v>
      </c>
      <c r="R6" s="87">
        <f ca="1">IF(OR(Flag="Ignore",Flag="Det",Flag="Hole"),"",INDIRECT("VertexCalc!X"&amp;Local)*Interfaces!Xsag+INDIRECT("VertexCalc!Y"&amp;Local)*Interfaces!Ysag+INDIRECT("VertexCalc!Z"&amp;Local)*Interfaces!Zsag)</f>
        <v>-0.052141597762138704</v>
      </c>
      <c r="S6" s="87">
        <f ca="1">IF(OR(Flag="Ignore",Flag="Det",Flag="Hole"),"",INDIRECT("VertexCalc!X"&amp;Local)*Interfaces!Xsag+INDIRECT("VertexCalc!Y"&amp;Local)*Interfaces!Ysag+INDIRECT("VertexCalc!Z"&amp;Local)*Interfaces!Zsag)</f>
        <v>0.9986079521963203</v>
      </c>
      <c r="T6" s="87">
        <f ca="1">IF(OR(Flag="Ignore",Flag="Det",Flag="Hole"),"",INDIRECT("VertexCalc!X"&amp;Local)*Interfaces!Xsag+INDIRECT("VertexCalc!Y"&amp;Local)*Interfaces!Ysag+INDIRECT("VertexCalc!Z"&amp;Local)*Interfaces!Zsag)</f>
        <v>0.00796313964985344</v>
      </c>
      <c r="U6" s="86">
        <f ca="1" t="shared" si="1"/>
        <v>15.428850994571013</v>
      </c>
      <c r="V6" s="87">
        <f ca="1" t="shared" si="1"/>
        <v>-8.332128175846389</v>
      </c>
      <c r="W6" s="88">
        <f ca="1" t="shared" si="1"/>
        <v>150.7868450065649</v>
      </c>
      <c r="X6" s="20">
        <f t="shared" si="2"/>
        <v>90</v>
      </c>
      <c r="Y6" s="124" t="s">
        <v>95</v>
      </c>
    </row>
    <row r="7" spans="1:25" ht="12.75">
      <c r="A7" s="23" t="s">
        <v>593</v>
      </c>
      <c r="C7" s="18"/>
      <c r="D7" s="19" t="s">
        <v>97</v>
      </c>
      <c r="E7" s="19" t="s">
        <v>527</v>
      </c>
      <c r="F7" s="20"/>
      <c r="G7" s="20"/>
      <c r="H7" s="19" t="s">
        <v>126</v>
      </c>
      <c r="I7" s="86">
        <f ca="1">IF(OR(Flag="Ignore",Flag="Det",Flag="Hole"),"",INDIRECT("VertexCalc!X"&amp;Local)*(Interfaces!Xmirr-VertexCalc!Xmirr)+INDIRECT("VertexCalc!Y"&amp;Local)*(Interfaces!Ymirr-VertexCalc!Ymirr)+INDIRECT("VertexCalc!Z"&amp;Local)*(Interfaces!Zmirr-VertexCalc!Zmirr))</f>
      </c>
      <c r="J7" s="87">
        <f ca="1">IF(OR(Flag="Ignore",Flag="Det",Flag="Hole"),"",INDIRECT("VertexCalc!X"&amp;Local)*(Interfaces!Xmirr-VertexCalc!Xmirr)+INDIRECT("VertexCalc!Y"&amp;Local)*(Interfaces!Ymirr-VertexCalc!Ymirr)+INDIRECT("VertexCalc!Z"&amp;Local)*(Interfaces!Zmirr-VertexCalc!Zmirr))</f>
      </c>
      <c r="K7" s="88">
        <f ca="1">IF(OR(Flag="Ignore",Flag="Det",Flag="Hole"),"",INDIRECT("VertexCalc!X"&amp;Local)*(Interfaces!Xmirr-VertexCalc!Xmirr)+INDIRECT("VertexCalc!Y"&amp;Local)*(Interfaces!Ymirr-VertexCalc!Ymirr)+INDIRECT("VertexCalc!Z"&amp;Local)*(Interfaces!Zmirr-VertexCalc!Zmirr))</f>
      </c>
      <c r="L7" s="87">
        <f ca="1">IF(OR(Flag="Ignore",Flag="Det",Flag="Hole"),"",(INDIRECT("VertexCalc!X"&amp;Local)*Interfaces!Xnorm+INDIRECT("VertexCalc!Y"&amp;Local)*Interfaces!Ynorm+INDIRECT("VertexCalc!Z"&amp;Local)*Interfaces!Znorm))</f>
      </c>
      <c r="M7" s="87">
        <f ca="1">IF(OR(Flag="Ignore",Flag="Det",Flag="Hole"),"",(INDIRECT("VertexCalc!X"&amp;Local)*Interfaces!Xnorm+INDIRECT("VertexCalc!Y"&amp;Local)*Interfaces!Ynorm+INDIRECT("VertexCalc!Z"&amp;Local)*Interfaces!Znorm))</f>
      </c>
      <c r="N7" s="87">
        <f ca="1">IF(OR(Flag="Ignore",Flag="Det",Flag="Hole"),"",(INDIRECT("VertexCalc!X"&amp;Local)*Interfaces!Xnorm+INDIRECT("VertexCalc!Y"&amp;Local)*Interfaces!Ynorm+INDIRECT("VertexCalc!Z"&amp;Local)*Interfaces!Znorm))</f>
      </c>
      <c r="O7" s="86">
        <f ca="1" t="shared" si="0"/>
      </c>
      <c r="P7" s="87">
        <f ca="1" t="shared" si="0"/>
      </c>
      <c r="Q7" s="88">
        <f ca="1" t="shared" si="0"/>
      </c>
      <c r="R7" s="87">
        <f ca="1">IF(OR(Flag="Ignore",Flag="Det",Flag="Hole"),"",INDIRECT("VertexCalc!X"&amp;Local)*Interfaces!Xsag+INDIRECT("VertexCalc!Y"&amp;Local)*Interfaces!Ysag+INDIRECT("VertexCalc!Z"&amp;Local)*Interfaces!Zsag)</f>
      </c>
      <c r="S7" s="87">
        <f ca="1">IF(OR(Flag="Ignore",Flag="Det",Flag="Hole"),"",INDIRECT("VertexCalc!X"&amp;Local)*Interfaces!Xsag+INDIRECT("VertexCalc!Y"&amp;Local)*Interfaces!Ysag+INDIRECT("VertexCalc!Z"&amp;Local)*Interfaces!Zsag)</f>
      </c>
      <c r="T7" s="87">
        <f ca="1">IF(OR(Flag="Ignore",Flag="Det",Flag="Hole"),"",INDIRECT("VertexCalc!X"&amp;Local)*Interfaces!Xsag+INDIRECT("VertexCalc!Y"&amp;Local)*Interfaces!Ysag+INDIRECT("VertexCalc!Z"&amp;Local)*Interfaces!Zsag)</f>
      </c>
      <c r="U7" s="86">
        <f ca="1" t="shared" si="1"/>
      </c>
      <c r="V7" s="87">
        <f ca="1" t="shared" si="1"/>
      </c>
      <c r="W7" s="88">
        <f ca="1" t="shared" si="1"/>
      </c>
      <c r="X7" s="20">
        <f t="shared" si="2"/>
      </c>
      <c r="Y7" s="124" t="s">
        <v>97</v>
      </c>
    </row>
    <row r="8" spans="1:25" ht="13.5" thickBot="1">
      <c r="A8" s="1" t="s">
        <v>594</v>
      </c>
      <c r="B8" s="1">
        <f ca="1">INDIRECT("interfaces!"&amp;A8)</f>
        <v>-14.938007269830203</v>
      </c>
      <c r="C8" s="14"/>
      <c r="D8" s="15" t="s">
        <v>98</v>
      </c>
      <c r="E8" s="15" t="s">
        <v>527</v>
      </c>
      <c r="F8" s="16" t="s">
        <v>594</v>
      </c>
      <c r="G8" s="16">
        <v>1</v>
      </c>
      <c r="H8" s="15" t="s">
        <v>160</v>
      </c>
      <c r="I8" s="93">
        <f ca="1">IF(OR(Flag="Ignore",Flag="Det",Flag="Hole"),"",INDIRECT("VertexCalc!X"&amp;Local)*(Interfaces!Xmirr-VertexCalc!Xmirr)+INDIRECT("VertexCalc!Y"&amp;Local)*(Interfaces!Ymirr-VertexCalc!Ymirr)+INDIRECT("VertexCalc!Z"&amp;Local)*(Interfaces!Zmirr-VertexCalc!Zmirr))</f>
        <v>0.6875339169940939</v>
      </c>
      <c r="J8" s="94">
        <f ca="1">IF(OR(Flag="Ignore",Flag="Det",Flag="Hole"),"",INDIRECT("VertexCalc!X"&amp;Local)*(Interfaces!Xmirr-VertexCalc!Xmirr)+INDIRECT("VertexCalc!Y"&amp;Local)*(Interfaces!Ymirr-VertexCalc!Ymirr)+INDIRECT("VertexCalc!Z"&amp;Local)*(Interfaces!Zmirr-VertexCalc!Zmirr))</f>
        <v>19.499867</v>
      </c>
      <c r="K8" s="95">
        <f ca="1">IF(OR(Flag="Ignore",Flag="Det",Flag="Hole"),"",INDIRECT("VertexCalc!X"&amp;Local)*(Interfaces!Xmirr-VertexCalc!Xmirr)+INDIRECT("VertexCalc!Y"&amp;Local)*(Interfaces!Ymirr-VertexCalc!Ymirr)+INDIRECT("VertexCalc!Z"&amp;Local)*(Interfaces!Zmirr-VertexCalc!Zmirr))</f>
        <v>-1.4999497851430932</v>
      </c>
      <c r="L8" s="94">
        <f ca="1">IF(OR(Flag="Ignore",Flag="Det",Flag="Hole"),"",(INDIRECT("VertexCalc!X"&amp;Local)*Interfaces!Xnorm+INDIRECT("VertexCalc!Y"&amp;Local)*Interfaces!Ynorm+INDIRECT("VertexCalc!Z"&amp;Local)*Interfaces!Znorm))</f>
        <v>0.9975313232274583</v>
      </c>
      <c r="M8" s="94">
        <f ca="1">IF(OR(Flag="Ignore",Flag="Det",Flag="Hole"),"",(INDIRECT("VertexCalc!X"&amp;Local)*Interfaces!Xnorm+INDIRECT("VertexCalc!Y"&amp;Local)*Interfaces!Ynorm+INDIRECT("VertexCalc!Z"&amp;Local)*Interfaces!Znorm))</f>
        <v>-0.07003815177270171</v>
      </c>
      <c r="N8" s="94">
        <f ca="1">IF(OR(Flag="Ignore",Flag="Det",Flag="Hole"),"",(INDIRECT("VertexCalc!X"&amp;Local)*Interfaces!Xnorm+INDIRECT("VertexCalc!Y"&amp;Local)*Interfaces!Ynorm+INDIRECT("VertexCalc!Z"&amp;Local)*Interfaces!Znorm))</f>
        <v>0.0050908227567223185</v>
      </c>
      <c r="O8" s="93">
        <f ca="1" t="shared" si="0"/>
        <v>-14.21359624126102</v>
      </c>
      <c r="P8" s="94">
        <f ca="1" t="shared" si="0"/>
        <v>20.546097420346086</v>
      </c>
      <c r="Q8" s="95">
        <f ca="1" t="shared" si="0"/>
        <v>-1.5759965324924283</v>
      </c>
      <c r="R8" s="94">
        <f ca="1">IF(OR(Flag="Ignore",Flag="Det",Flag="Hole"),"",INDIRECT("VertexCalc!X"&amp;Local)*Interfaces!Xsag+INDIRECT("VertexCalc!Y"&amp;Local)*Interfaces!Ysag+INDIRECT("VertexCalc!Z"&amp;Local)*Interfaces!Zsag)</f>
        <v>0.06993038698993691</v>
      </c>
      <c r="S8" s="94">
        <f ca="1">IF(OR(Flag="Ignore",Flag="Det",Flag="Hole"),"",INDIRECT("VertexCalc!X"&amp;Local)*Interfaces!Xsag+INDIRECT("VertexCalc!Y"&amp;Local)*Interfaces!Ysag+INDIRECT("VertexCalc!Z"&amp;Local)*Interfaces!Zsag)</f>
        <v>0.9973722810806622</v>
      </c>
      <c r="T8" s="94">
        <f ca="1">IF(OR(Flag="Ignore",Flag="Det",Flag="Hole"),"",INDIRECT("VertexCalc!X"&amp;Local)*Interfaces!Xsag+INDIRECT("VertexCalc!Y"&amp;Local)*Interfaces!Ysag+INDIRECT("VertexCalc!Z"&amp;Local)*Interfaces!Zsag)</f>
        <v>0.01892812477225754</v>
      </c>
      <c r="U8" s="93">
        <f ca="1" t="shared" si="1"/>
        <v>-13.377899737870848</v>
      </c>
      <c r="V8" s="94">
        <f ca="1" t="shared" si="1"/>
        <v>32.46510092875414</v>
      </c>
      <c r="W8" s="95">
        <f ca="1" t="shared" si="1"/>
        <v>-1.3497977601306392</v>
      </c>
      <c r="X8" s="16">
        <f t="shared" si="2"/>
        <v>90.00000000000001</v>
      </c>
      <c r="Y8" s="123" t="s">
        <v>98</v>
      </c>
    </row>
    <row r="9" spans="1:25" ht="12.75">
      <c r="A9" s="1" t="s">
        <v>595</v>
      </c>
      <c r="B9" s="1">
        <f ca="1">INDIRECT("interfaces!"&amp;A9)</f>
        <v>-6.971070059254095</v>
      </c>
      <c r="C9" s="10" t="s">
        <v>122</v>
      </c>
      <c r="D9" s="11" t="s">
        <v>101</v>
      </c>
      <c r="E9" s="11" t="s">
        <v>527</v>
      </c>
      <c r="F9" s="12"/>
      <c r="G9" s="12">
        <v>1</v>
      </c>
      <c r="H9" s="11" t="s">
        <v>385</v>
      </c>
      <c r="I9" s="90">
        <f ca="1">IF(OR(Flag="Ignore",Flag="Det",Flag="Hole"),"",INDIRECT("VertexCalc!X"&amp;Local)*(Interfaces!Xmirr-VertexCalc!Xmirr)+INDIRECT("VertexCalc!Y"&amp;Local)*(Interfaces!Ymirr-VertexCalc!Ymirr)+INDIRECT("VertexCalc!Z"&amp;Local)*(Interfaces!Zmirr-VertexCalc!Zmirr))</f>
        <v>0</v>
      </c>
      <c r="J9" s="91">
        <f ca="1">IF(OR(Flag="Ignore",Flag="Det",Flag="Hole"),"",INDIRECT("VertexCalc!X"&amp;Local)*(Interfaces!Xmirr-VertexCalc!Xmirr)+INDIRECT("VertexCalc!Y"&amp;Local)*(Interfaces!Ymirr-VertexCalc!Ymirr)+INDIRECT("VertexCalc!Z"&amp;Local)*(Interfaces!Zmirr-VertexCalc!Zmirr))</f>
        <v>0</v>
      </c>
      <c r="K9" s="92">
        <f ca="1">IF(OR(Flag="Ignore",Flag="Det",Flag="Hole"),"",INDIRECT("VertexCalc!X"&amp;Local)*(Interfaces!Xmirr-VertexCalc!Xmirr)+INDIRECT("VertexCalc!Y"&amp;Local)*(Interfaces!Ymirr-VertexCalc!Ymirr)+INDIRECT("VertexCalc!Z"&amp;Local)*(Interfaces!Zmirr-VertexCalc!Zmirr))</f>
        <v>0</v>
      </c>
      <c r="L9" s="91">
        <f ca="1">IF(OR(Flag="Ignore",Flag="Det",Flag="Hole"),"",(INDIRECT("VertexCalc!X"&amp;Local)*Interfaces!Xnorm+INDIRECT("VertexCalc!Y"&amp;Local)*Interfaces!Ynorm+INDIRECT("VertexCalc!Z"&amp;Local)*Interfaces!Znorm))</f>
        <v>1</v>
      </c>
      <c r="M9" s="91">
        <f ca="1">IF(OR(Flag="Ignore",Flag="Det",Flag="Hole"),"",(INDIRECT("VertexCalc!X"&amp;Local)*Interfaces!Xnorm+INDIRECT("VertexCalc!Y"&amp;Local)*Interfaces!Ynorm+INDIRECT("VertexCalc!Z"&amp;Local)*Interfaces!Znorm))</f>
        <v>0</v>
      </c>
      <c r="N9" s="91">
        <f ca="1">IF(OR(Flag="Ignore",Flag="Det",Flag="Hole"),"",(INDIRECT("VertexCalc!X"&amp;Local)*Interfaces!Xnorm+INDIRECT("VertexCalc!Y"&amp;Local)*Interfaces!Ynorm+INDIRECT("VertexCalc!Z"&amp;Local)*Interfaces!Znorm))</f>
        <v>0</v>
      </c>
      <c r="O9" s="90">
        <f ca="1" t="shared" si="0"/>
        <v>-6.971070059254095</v>
      </c>
      <c r="P9" s="91">
        <f ca="1" t="shared" si="0"/>
        <v>0</v>
      </c>
      <c r="Q9" s="92">
        <f ca="1" t="shared" si="0"/>
        <v>0</v>
      </c>
      <c r="R9" s="91">
        <f ca="1">IF(OR(Flag="Ignore",Flag="Det",Flag="Hole"),"",INDIRECT("VertexCalc!X"&amp;Local)*Interfaces!Xsag+INDIRECT("VertexCalc!Y"&amp;Local)*Interfaces!Ysag+INDIRECT("VertexCalc!Z"&amp;Local)*Interfaces!Zsag)</f>
        <v>0</v>
      </c>
      <c r="S9" s="91">
        <f ca="1">IF(OR(Flag="Ignore",Flag="Det",Flag="Hole"),"",INDIRECT("VertexCalc!X"&amp;Local)*Interfaces!Xsag+INDIRECT("VertexCalc!Y"&amp;Local)*Interfaces!Ysag+INDIRECT("VertexCalc!Z"&amp;Local)*Interfaces!Zsag)</f>
        <v>1</v>
      </c>
      <c r="T9" s="91">
        <f ca="1">IF(OR(Flag="Ignore",Flag="Det",Flag="Hole"),"",INDIRECT("VertexCalc!X"&amp;Local)*Interfaces!Xsag+INDIRECT("VertexCalc!Y"&amp;Local)*Interfaces!Ysag+INDIRECT("VertexCalc!Z"&amp;Local)*Interfaces!Zsag)</f>
        <v>0</v>
      </c>
      <c r="U9" s="90">
        <f ca="1" t="shared" si="1"/>
        <v>-6.971070059254095</v>
      </c>
      <c r="V9" s="91">
        <f ca="1" t="shared" si="1"/>
        <v>11.950405815864162</v>
      </c>
      <c r="W9" s="92">
        <f ca="1" t="shared" si="1"/>
        <v>0</v>
      </c>
      <c r="X9" s="12">
        <f t="shared" si="2"/>
        <v>90</v>
      </c>
      <c r="Y9" s="122" t="s">
        <v>101</v>
      </c>
    </row>
    <row r="10" spans="3:25" ht="12.75">
      <c r="C10" s="18"/>
      <c r="D10" s="19" t="s">
        <v>104</v>
      </c>
      <c r="E10" s="19" t="s">
        <v>527</v>
      </c>
      <c r="F10" s="20" t="s">
        <v>594</v>
      </c>
      <c r="G10" s="20">
        <v>1</v>
      </c>
      <c r="H10" s="19" t="s">
        <v>385</v>
      </c>
      <c r="I10" s="86">
        <f ca="1">IF(OR(Flag="Ignore",Flag="Det",Flag="Hole"),"",INDIRECT("VertexCalc!X"&amp;Local)*(Interfaces!Xmirr-VertexCalc!Xmirr)+INDIRECT("VertexCalc!Y"&amp;Local)*(Interfaces!Ymirr-VertexCalc!Ymirr)+INDIRECT("VertexCalc!Z"&amp;Local)*(Interfaces!Zmirr-VertexCalc!Zmirr))</f>
        <v>0</v>
      </c>
      <c r="J10" s="87">
        <f ca="1">IF(OR(Flag="Ignore",Flag="Det",Flag="Hole"),"",INDIRECT("VertexCalc!X"&amp;Local)*(Interfaces!Xmirr-VertexCalc!Xmirr)+INDIRECT("VertexCalc!Y"&amp;Local)*(Interfaces!Ymirr-VertexCalc!Ymirr)+INDIRECT("VertexCalc!Z"&amp;Local)*(Interfaces!Zmirr-VertexCalc!Zmirr))</f>
        <v>0</v>
      </c>
      <c r="K10" s="88">
        <f ca="1">IF(OR(Flag="Ignore",Flag="Det",Flag="Hole"),"",INDIRECT("VertexCalc!X"&amp;Local)*(Interfaces!Xmirr-VertexCalc!Xmirr)+INDIRECT("VertexCalc!Y"&amp;Local)*(Interfaces!Ymirr-VertexCalc!Ymirr)+INDIRECT("VertexCalc!Z"&amp;Local)*(Interfaces!Zmirr-VertexCalc!Zmirr))</f>
        <v>0</v>
      </c>
      <c r="L10" s="87">
        <f ca="1">IF(OR(Flag="Ignore",Flag="Det",Flag="Hole"),"",(INDIRECT("VertexCalc!X"&amp;Local)*Interfaces!Xnorm+INDIRECT("VertexCalc!Y"&amp;Local)*Interfaces!Ynorm+INDIRECT("VertexCalc!Z"&amp;Local)*Interfaces!Znorm))</f>
        <v>0.9999999999999999</v>
      </c>
      <c r="M10" s="87">
        <f ca="1">IF(OR(Flag="Ignore",Flag="Det",Flag="Hole"),"",(INDIRECT("VertexCalc!X"&amp;Local)*Interfaces!Xnorm+INDIRECT("VertexCalc!Y"&amp;Local)*Interfaces!Ynorm+INDIRECT("VertexCalc!Z"&amp;Local)*Interfaces!Znorm))</f>
        <v>0</v>
      </c>
      <c r="N10" s="87">
        <f ca="1">IF(OR(Flag="Ignore",Flag="Det",Flag="Hole"),"",(INDIRECT("VertexCalc!X"&amp;Local)*Interfaces!Xnorm+INDIRECT("VertexCalc!Y"&amp;Local)*Interfaces!Ynorm+INDIRECT("VertexCalc!Z"&amp;Local)*Interfaces!Znorm))</f>
        <v>0</v>
      </c>
      <c r="O10" s="86">
        <f ca="1" t="shared" si="0"/>
        <v>-14.938007269830202</v>
      </c>
      <c r="P10" s="87">
        <f ca="1" t="shared" si="0"/>
        <v>0</v>
      </c>
      <c r="Q10" s="88">
        <f ca="1" t="shared" si="0"/>
        <v>0</v>
      </c>
      <c r="R10" s="87">
        <f ca="1">IF(OR(Flag="Ignore",Flag="Det",Flag="Hole"),"",INDIRECT("VertexCalc!X"&amp;Local)*Interfaces!Xsag+INDIRECT("VertexCalc!Y"&amp;Local)*Interfaces!Ysag+INDIRECT("VertexCalc!Z"&amp;Local)*Interfaces!Zsag)</f>
        <v>0</v>
      </c>
      <c r="S10" s="87">
        <f ca="1">IF(OR(Flag="Ignore",Flag="Det",Flag="Hole"),"",INDIRECT("VertexCalc!X"&amp;Local)*Interfaces!Xsag+INDIRECT("VertexCalc!Y"&amp;Local)*Interfaces!Ysag+INDIRECT("VertexCalc!Z"&amp;Local)*Interfaces!Zsag)</f>
        <v>1</v>
      </c>
      <c r="T10" s="87">
        <f ca="1">IF(OR(Flag="Ignore",Flag="Det",Flag="Hole"),"",INDIRECT("VertexCalc!X"&amp;Local)*Interfaces!Xsag+INDIRECT("VertexCalc!Y"&amp;Local)*Interfaces!Ysag+INDIRECT("VertexCalc!Z"&amp;Local)*Interfaces!Zsag)</f>
        <v>0</v>
      </c>
      <c r="U10" s="86">
        <f ca="1" t="shared" si="1"/>
        <v>-14.938007269830202</v>
      </c>
      <c r="V10" s="87">
        <f ca="1" t="shared" si="1"/>
        <v>11.950405815864162</v>
      </c>
      <c r="W10" s="88">
        <f ca="1" t="shared" si="1"/>
        <v>0</v>
      </c>
      <c r="X10" s="20">
        <f t="shared" si="2"/>
        <v>90</v>
      </c>
      <c r="Y10" s="124" t="s">
        <v>104</v>
      </c>
    </row>
    <row r="11" spans="1:25" ht="12.75">
      <c r="A11" s="23" t="s">
        <v>598</v>
      </c>
      <c r="C11" s="18"/>
      <c r="D11" s="19" t="s">
        <v>107</v>
      </c>
      <c r="E11" s="19" t="s">
        <v>527</v>
      </c>
      <c r="F11" s="20"/>
      <c r="G11" s="20">
        <v>1</v>
      </c>
      <c r="H11" s="19" t="s">
        <v>385</v>
      </c>
      <c r="I11" s="86">
        <f ca="1">IF(OR(Flag="Ignore",Flag="Det",Flag="Hole"),"",INDIRECT("VertexCalc!X"&amp;Local)*(Interfaces!Xmirr-VertexCalc!Xmirr)+INDIRECT("VertexCalc!Y"&amp;Local)*(Interfaces!Ymirr-VertexCalc!Ymirr)+INDIRECT("VertexCalc!Z"&amp;Local)*(Interfaces!Zmirr-VertexCalc!Zmirr))</f>
        <v>0</v>
      </c>
      <c r="J11" s="87">
        <f ca="1">IF(OR(Flag="Ignore",Flag="Det",Flag="Hole"),"",INDIRECT("VertexCalc!X"&amp;Local)*(Interfaces!Xmirr-VertexCalc!Xmirr)+INDIRECT("VertexCalc!Y"&amp;Local)*(Interfaces!Ymirr-VertexCalc!Ymirr)+INDIRECT("VertexCalc!Z"&amp;Local)*(Interfaces!Zmirr-VertexCalc!Zmirr))</f>
        <v>0</v>
      </c>
      <c r="K11" s="88">
        <f ca="1">IF(OR(Flag="Ignore",Flag="Det",Flag="Hole"),"",INDIRECT("VertexCalc!X"&amp;Local)*(Interfaces!Xmirr-VertexCalc!Xmirr)+INDIRECT("VertexCalc!Y"&amp;Local)*(Interfaces!Ymirr-VertexCalc!Ymirr)+INDIRECT("VertexCalc!Z"&amp;Local)*(Interfaces!Zmirr-VertexCalc!Zmirr))</f>
        <v>0</v>
      </c>
      <c r="L11" s="87">
        <f ca="1">IF(OR(Flag="Ignore",Flag="Det",Flag="Hole"),"",(INDIRECT("VertexCalc!X"&amp;Local)*Interfaces!Xnorm+INDIRECT("VertexCalc!Y"&amp;Local)*Interfaces!Ynorm+INDIRECT("VertexCalc!Z"&amp;Local)*Interfaces!Znorm))</f>
        <v>1</v>
      </c>
      <c r="M11" s="87">
        <f ca="1">IF(OR(Flag="Ignore",Flag="Det",Flag="Hole"),"",(INDIRECT("VertexCalc!X"&amp;Local)*Interfaces!Xnorm+INDIRECT("VertexCalc!Y"&amp;Local)*Interfaces!Ynorm+INDIRECT("VertexCalc!Z"&amp;Local)*Interfaces!Znorm))</f>
        <v>0</v>
      </c>
      <c r="N11" s="87">
        <f ca="1">IF(OR(Flag="Ignore",Flag="Det",Flag="Hole"),"",(INDIRECT("VertexCalc!X"&amp;Local)*Interfaces!Xnorm+INDIRECT("VertexCalc!Y"&amp;Local)*Interfaces!Ynorm+INDIRECT("VertexCalc!Z"&amp;Local)*Interfaces!Znorm))</f>
        <v>0</v>
      </c>
      <c r="O11" s="86">
        <f ca="1" t="shared" si="0"/>
        <v>-6.971070059254095</v>
      </c>
      <c r="P11" s="87">
        <f ca="1" t="shared" si="0"/>
        <v>0</v>
      </c>
      <c r="Q11" s="88">
        <f ca="1" t="shared" si="0"/>
        <v>0</v>
      </c>
      <c r="R11" s="87">
        <f ca="1">IF(OR(Flag="Ignore",Flag="Det",Flag="Hole"),"",INDIRECT("VertexCalc!X"&amp;Local)*Interfaces!Xsag+INDIRECT("VertexCalc!Y"&amp;Local)*Interfaces!Ysag+INDIRECT("VertexCalc!Z"&amp;Local)*Interfaces!Zsag)</f>
        <v>0</v>
      </c>
      <c r="S11" s="87">
        <f ca="1">IF(OR(Flag="Ignore",Flag="Det",Flag="Hole"),"",INDIRECT("VertexCalc!X"&amp;Local)*Interfaces!Xsag+INDIRECT("VertexCalc!Y"&amp;Local)*Interfaces!Ysag+INDIRECT("VertexCalc!Z"&amp;Local)*Interfaces!Zsag)</f>
        <v>1</v>
      </c>
      <c r="T11" s="87">
        <f ca="1">IF(OR(Flag="Ignore",Flag="Det",Flag="Hole"),"",INDIRECT("VertexCalc!X"&amp;Local)*Interfaces!Xsag+INDIRECT("VertexCalc!Y"&amp;Local)*Interfaces!Ysag+INDIRECT("VertexCalc!Z"&amp;Local)*Interfaces!Zsag)</f>
        <v>0</v>
      </c>
      <c r="U11" s="86">
        <f ca="1" t="shared" si="1"/>
        <v>-6.971070059254095</v>
      </c>
      <c r="V11" s="87">
        <f ca="1" t="shared" si="1"/>
        <v>11.950405815864162</v>
      </c>
      <c r="W11" s="88">
        <f ca="1" t="shared" si="1"/>
        <v>0</v>
      </c>
      <c r="X11" s="20">
        <f t="shared" si="2"/>
        <v>90</v>
      </c>
      <c r="Y11" s="124" t="s">
        <v>107</v>
      </c>
    </row>
    <row r="12" spans="1:25" ht="12.75">
      <c r="A12" s="1" t="s">
        <v>390</v>
      </c>
      <c r="B12" s="1">
        <f ca="1">INDIRECT("interfaces!"&amp;A12)</f>
        <v>11.950405815864162</v>
      </c>
      <c r="C12" s="18"/>
      <c r="D12" s="19" t="s">
        <v>108</v>
      </c>
      <c r="E12" s="19" t="s">
        <v>527</v>
      </c>
      <c r="F12" s="20"/>
      <c r="G12" s="20"/>
      <c r="H12" s="19" t="s">
        <v>157</v>
      </c>
      <c r="I12" s="86">
        <f ca="1">IF(OR(Flag="Ignore",Flag="Det",Flag="Hole"),"",INDIRECT("VertexCalc!X"&amp;Local)*(Interfaces!Xmirr-VertexCalc!Xmirr)+INDIRECT("VertexCalc!Y"&amp;Local)*(Interfaces!Ymirr-VertexCalc!Ymirr)+INDIRECT("VertexCalc!Z"&amp;Local)*(Interfaces!Zmirr-VertexCalc!Zmirr))</f>
      </c>
      <c r="J12" s="87">
        <f ca="1">IF(OR(Flag="Ignore",Flag="Det",Flag="Hole"),"",INDIRECT("VertexCalc!X"&amp;Local)*(Interfaces!Xmirr-VertexCalc!Xmirr)+INDIRECT("VertexCalc!Y"&amp;Local)*(Interfaces!Ymirr-VertexCalc!Ymirr)+INDIRECT("VertexCalc!Z"&amp;Local)*(Interfaces!Zmirr-VertexCalc!Zmirr))</f>
      </c>
      <c r="K12" s="88">
        <f ca="1">IF(OR(Flag="Ignore",Flag="Det",Flag="Hole"),"",INDIRECT("VertexCalc!X"&amp;Local)*(Interfaces!Xmirr-VertexCalc!Xmirr)+INDIRECT("VertexCalc!Y"&amp;Local)*(Interfaces!Ymirr-VertexCalc!Ymirr)+INDIRECT("VertexCalc!Z"&amp;Local)*(Interfaces!Zmirr-VertexCalc!Zmirr))</f>
      </c>
      <c r="L12" s="87">
        <f ca="1">IF(OR(Flag="Ignore",Flag="Det",Flag="Hole"),"",(INDIRECT("VertexCalc!X"&amp;Local)*Interfaces!Xnorm+INDIRECT("VertexCalc!Y"&amp;Local)*Interfaces!Ynorm+INDIRECT("VertexCalc!Z"&amp;Local)*Interfaces!Znorm))</f>
      </c>
      <c r="M12" s="87">
        <f ca="1">IF(OR(Flag="Ignore",Flag="Det",Flag="Hole"),"",(INDIRECT("VertexCalc!X"&amp;Local)*Interfaces!Xnorm+INDIRECT("VertexCalc!Y"&amp;Local)*Interfaces!Ynorm+INDIRECT("VertexCalc!Z"&amp;Local)*Interfaces!Znorm))</f>
      </c>
      <c r="N12" s="87">
        <f ca="1">IF(OR(Flag="Ignore",Flag="Det",Flag="Hole"),"",(INDIRECT("VertexCalc!X"&amp;Local)*Interfaces!Xnorm+INDIRECT("VertexCalc!Y"&amp;Local)*Interfaces!Ynorm+INDIRECT("VertexCalc!Z"&amp;Local)*Interfaces!Znorm))</f>
      </c>
      <c r="O12" s="86">
        <f ca="1" t="shared" si="0"/>
      </c>
      <c r="P12" s="87">
        <f ca="1" t="shared" si="0"/>
      </c>
      <c r="Q12" s="88">
        <f ca="1" t="shared" si="0"/>
      </c>
      <c r="R12" s="87">
        <f ca="1">IF(OR(Flag="Ignore",Flag="Det",Flag="Hole"),"",INDIRECT("VertexCalc!X"&amp;Local)*Interfaces!Xsag+INDIRECT("VertexCalc!Y"&amp;Local)*Interfaces!Ysag+INDIRECT("VertexCalc!Z"&amp;Local)*Interfaces!Zsag)</f>
      </c>
      <c r="S12" s="87">
        <f ca="1">IF(OR(Flag="Ignore",Flag="Det",Flag="Hole"),"",INDIRECT("VertexCalc!X"&amp;Local)*Interfaces!Xsag+INDIRECT("VertexCalc!Y"&amp;Local)*Interfaces!Ysag+INDIRECT("VertexCalc!Z"&amp;Local)*Interfaces!Zsag)</f>
      </c>
      <c r="T12" s="87">
        <f ca="1">IF(OR(Flag="Ignore",Flag="Det",Flag="Hole"),"",INDIRECT("VertexCalc!X"&amp;Local)*Interfaces!Xsag+INDIRECT("VertexCalc!Y"&amp;Local)*Interfaces!Ysag+INDIRECT("VertexCalc!Z"&amp;Local)*Interfaces!Zsag)</f>
      </c>
      <c r="U12" s="86">
        <f ca="1" t="shared" si="1"/>
      </c>
      <c r="V12" s="87">
        <f ca="1" t="shared" si="1"/>
      </c>
      <c r="W12" s="88">
        <f ca="1" t="shared" si="1"/>
      </c>
      <c r="X12" s="20">
        <f t="shared" si="2"/>
      </c>
      <c r="Y12" s="124" t="s">
        <v>108</v>
      </c>
    </row>
    <row r="13" spans="3:25" ht="13.5" thickBot="1">
      <c r="C13" s="14"/>
      <c r="D13" s="15" t="s">
        <v>109</v>
      </c>
      <c r="E13" s="15" t="s">
        <v>527</v>
      </c>
      <c r="F13" s="16" t="s">
        <v>594</v>
      </c>
      <c r="G13" s="16">
        <v>1</v>
      </c>
      <c r="H13" s="15" t="s">
        <v>385</v>
      </c>
      <c r="I13" s="93">
        <f ca="1">IF(OR(Flag="Ignore",Flag="Det",Flag="Hole"),"",INDIRECT("VertexCalc!X"&amp;Local)*(Interfaces!Xmirr-VertexCalc!Xmirr)+INDIRECT("VertexCalc!Y"&amp;Local)*(Interfaces!Ymirr-VertexCalc!Ymirr)+INDIRECT("VertexCalc!Z"&amp;Local)*(Interfaces!Zmirr-VertexCalc!Zmirr))</f>
        <v>0</v>
      </c>
      <c r="J13" s="94">
        <f ca="1">IF(OR(Flag="Ignore",Flag="Det",Flag="Hole"),"",INDIRECT("VertexCalc!X"&amp;Local)*(Interfaces!Xmirr-VertexCalc!Xmirr)+INDIRECT("VertexCalc!Y"&amp;Local)*(Interfaces!Ymirr-VertexCalc!Ymirr)+INDIRECT("VertexCalc!Z"&amp;Local)*(Interfaces!Zmirr-VertexCalc!Zmirr))</f>
        <v>0</v>
      </c>
      <c r="K13" s="95">
        <f ca="1">IF(OR(Flag="Ignore",Flag="Det",Flag="Hole"),"",INDIRECT("VertexCalc!X"&amp;Local)*(Interfaces!Xmirr-VertexCalc!Xmirr)+INDIRECT("VertexCalc!Y"&amp;Local)*(Interfaces!Ymirr-VertexCalc!Ymirr)+INDIRECT("VertexCalc!Z"&amp;Local)*(Interfaces!Zmirr-VertexCalc!Zmirr))</f>
        <v>0</v>
      </c>
      <c r="L13" s="94">
        <f ca="1">IF(OR(Flag="Ignore",Flag="Det",Flag="Hole"),"",(INDIRECT("VertexCalc!X"&amp;Local)*Interfaces!Xnorm+INDIRECT("VertexCalc!Y"&amp;Local)*Interfaces!Ynorm+INDIRECT("VertexCalc!Z"&amp;Local)*Interfaces!Znorm))</f>
        <v>1</v>
      </c>
      <c r="M13" s="94">
        <f ca="1">IF(OR(Flag="Ignore",Flag="Det",Flag="Hole"),"",(INDIRECT("VertexCalc!X"&amp;Local)*Interfaces!Xnorm+INDIRECT("VertexCalc!Y"&amp;Local)*Interfaces!Ynorm+INDIRECT("VertexCalc!Z"&amp;Local)*Interfaces!Znorm))</f>
        <v>0</v>
      </c>
      <c r="N13" s="94">
        <f ca="1">IF(OR(Flag="Ignore",Flag="Det",Flag="Hole"),"",(INDIRECT("VertexCalc!X"&amp;Local)*Interfaces!Xnorm+INDIRECT("VertexCalc!Y"&amp;Local)*Interfaces!Ynorm+INDIRECT("VertexCalc!Z"&amp;Local)*Interfaces!Znorm))</f>
        <v>0</v>
      </c>
      <c r="O13" s="93">
        <f ca="1" t="shared" si="0"/>
        <v>-14.938007269830203</v>
      </c>
      <c r="P13" s="94">
        <f ca="1" t="shared" si="0"/>
        <v>0</v>
      </c>
      <c r="Q13" s="95">
        <f ca="1" t="shared" si="0"/>
        <v>0</v>
      </c>
      <c r="R13" s="94">
        <f ca="1">IF(OR(Flag="Ignore",Flag="Det",Flag="Hole"),"",INDIRECT("VertexCalc!X"&amp;Local)*Interfaces!Xsag+INDIRECT("VertexCalc!Y"&amp;Local)*Interfaces!Ysag+INDIRECT("VertexCalc!Z"&amp;Local)*Interfaces!Zsag)</f>
        <v>0</v>
      </c>
      <c r="S13" s="94">
        <f ca="1">IF(OR(Flag="Ignore",Flag="Det",Flag="Hole"),"",INDIRECT("VertexCalc!X"&amp;Local)*Interfaces!Xsag+INDIRECT("VertexCalc!Y"&amp;Local)*Interfaces!Ysag+INDIRECT("VertexCalc!Z"&amp;Local)*Interfaces!Zsag)</f>
        <v>1</v>
      </c>
      <c r="T13" s="94">
        <f ca="1">IF(OR(Flag="Ignore",Flag="Det",Flag="Hole"),"",INDIRECT("VertexCalc!X"&amp;Local)*Interfaces!Xsag+INDIRECT("VertexCalc!Y"&amp;Local)*Interfaces!Ysag+INDIRECT("VertexCalc!Z"&amp;Local)*Interfaces!Zsag)</f>
        <v>0</v>
      </c>
      <c r="U13" s="93">
        <f ca="1" t="shared" si="1"/>
        <v>-14.938007269830203</v>
      </c>
      <c r="V13" s="94">
        <f ca="1" t="shared" si="1"/>
        <v>11.950405815864162</v>
      </c>
      <c r="W13" s="95">
        <f ca="1" t="shared" si="1"/>
        <v>0</v>
      </c>
      <c r="X13" s="16">
        <f t="shared" si="2"/>
        <v>90</v>
      </c>
      <c r="Y13" s="123" t="s">
        <v>109</v>
      </c>
    </row>
    <row r="14" spans="3:25" ht="12.75">
      <c r="C14" s="10" t="s">
        <v>123</v>
      </c>
      <c r="D14" s="11" t="s">
        <v>111</v>
      </c>
      <c r="E14" s="11" t="s">
        <v>527</v>
      </c>
      <c r="F14" s="12"/>
      <c r="G14" s="12"/>
      <c r="H14" s="11" t="s">
        <v>126</v>
      </c>
      <c r="I14" s="90">
        <f ca="1">IF(OR(Flag="Ignore",Flag="Det",Flag="Hole"),"",INDIRECT("VertexCalc!X"&amp;Local)*(Interfaces!Xmirr-VertexCalc!Xmirr)+INDIRECT("VertexCalc!Y"&amp;Local)*(Interfaces!Ymirr-VertexCalc!Ymirr)+INDIRECT("VertexCalc!Z"&amp;Local)*(Interfaces!Zmirr-VertexCalc!Zmirr))</f>
      </c>
      <c r="J14" s="91">
        <f ca="1">IF(OR(Flag="Ignore",Flag="Det",Flag="Hole"),"",INDIRECT("VertexCalc!X"&amp;Local)*(Interfaces!Xmirr-VertexCalc!Xmirr)+INDIRECT("VertexCalc!Y"&amp;Local)*(Interfaces!Ymirr-VertexCalc!Ymirr)+INDIRECT("VertexCalc!Z"&amp;Local)*(Interfaces!Zmirr-VertexCalc!Zmirr))</f>
      </c>
      <c r="K14" s="92">
        <f ca="1">IF(OR(Flag="Ignore",Flag="Det",Flag="Hole"),"",INDIRECT("VertexCalc!X"&amp;Local)*(Interfaces!Xmirr-VertexCalc!Xmirr)+INDIRECT("VertexCalc!Y"&amp;Local)*(Interfaces!Ymirr-VertexCalc!Ymirr)+INDIRECT("VertexCalc!Z"&amp;Local)*(Interfaces!Zmirr-VertexCalc!Zmirr))</f>
      </c>
      <c r="L14" s="91">
        <f ca="1">IF(OR(Flag="Ignore",Flag="Det",Flag="Hole"),"",(INDIRECT("VertexCalc!X"&amp;Local)*Interfaces!Xnorm+INDIRECT("VertexCalc!Y"&amp;Local)*Interfaces!Ynorm+INDIRECT("VertexCalc!Z"&amp;Local)*Interfaces!Znorm))</f>
      </c>
      <c r="M14" s="91">
        <f ca="1">IF(OR(Flag="Ignore",Flag="Det",Flag="Hole"),"",(INDIRECT("VertexCalc!X"&amp;Local)*Interfaces!Xnorm+INDIRECT("VertexCalc!Y"&amp;Local)*Interfaces!Ynorm+INDIRECT("VertexCalc!Z"&amp;Local)*Interfaces!Znorm))</f>
      </c>
      <c r="N14" s="91">
        <f ca="1">IF(OR(Flag="Ignore",Flag="Det",Flag="Hole"),"",(INDIRECT("VertexCalc!X"&amp;Local)*Interfaces!Xnorm+INDIRECT("VertexCalc!Y"&amp;Local)*Interfaces!Ynorm+INDIRECT("VertexCalc!Z"&amp;Local)*Interfaces!Znorm))</f>
      </c>
      <c r="O14" s="90">
        <f ca="1" t="shared" si="0"/>
      </c>
      <c r="P14" s="91">
        <f ca="1" t="shared" si="0"/>
      </c>
      <c r="Q14" s="92">
        <f ca="1" t="shared" si="0"/>
      </c>
      <c r="R14" s="91">
        <f ca="1">IF(OR(Flag="Ignore",Flag="Det",Flag="Hole"),"",INDIRECT("VertexCalc!X"&amp;Local)*Interfaces!Xsag+INDIRECT("VertexCalc!Y"&amp;Local)*Interfaces!Ysag+INDIRECT("VertexCalc!Z"&amp;Local)*Interfaces!Zsag)</f>
      </c>
      <c r="S14" s="91">
        <f ca="1">IF(OR(Flag="Ignore",Flag="Det",Flag="Hole"),"",INDIRECT("VertexCalc!X"&amp;Local)*Interfaces!Xsag+INDIRECT("VertexCalc!Y"&amp;Local)*Interfaces!Ysag+INDIRECT("VertexCalc!Z"&amp;Local)*Interfaces!Zsag)</f>
      </c>
      <c r="T14" s="91">
        <f ca="1">IF(OR(Flag="Ignore",Flag="Det",Flag="Hole"),"",INDIRECT("VertexCalc!X"&amp;Local)*Interfaces!Xsag+INDIRECT("VertexCalc!Y"&amp;Local)*Interfaces!Ysag+INDIRECT("VertexCalc!Z"&amp;Local)*Interfaces!Zsag)</f>
      </c>
      <c r="U14" s="90">
        <f ca="1" t="shared" si="1"/>
      </c>
      <c r="V14" s="91">
        <f ca="1" t="shared" si="1"/>
      </c>
      <c r="W14" s="92">
        <f ca="1" t="shared" si="1"/>
      </c>
      <c r="X14" s="12">
        <f t="shared" si="2"/>
      </c>
      <c r="Y14" s="122" t="s">
        <v>111</v>
      </c>
    </row>
    <row r="15" spans="3:25" ht="12.75">
      <c r="C15" s="18"/>
      <c r="D15" s="19" t="s">
        <v>113</v>
      </c>
      <c r="E15" s="19" t="s">
        <v>527</v>
      </c>
      <c r="F15" s="20"/>
      <c r="G15" s="20">
        <v>-1</v>
      </c>
      <c r="H15" s="19" t="s">
        <v>385</v>
      </c>
      <c r="I15" s="86">
        <f ca="1">IF(OR(Flag="Ignore",Flag="Det",Flag="Hole"),"",INDIRECT("VertexCalc!X"&amp;Local)*(Interfaces!Xmirr-VertexCalc!Xmirr)+INDIRECT("VertexCalc!Y"&amp;Local)*(Interfaces!Ymirr-VertexCalc!Ymirr)+INDIRECT("VertexCalc!Z"&amp;Local)*(Interfaces!Zmirr-VertexCalc!Zmirr))</f>
        <v>0</v>
      </c>
      <c r="J15" s="87">
        <f ca="1">IF(OR(Flag="Ignore",Flag="Det",Flag="Hole"),"",INDIRECT("VertexCalc!X"&amp;Local)*(Interfaces!Xmirr-VertexCalc!Xmirr)+INDIRECT("VertexCalc!Y"&amp;Local)*(Interfaces!Ymirr-VertexCalc!Ymirr)+INDIRECT("VertexCalc!Z"&amp;Local)*(Interfaces!Zmirr-VertexCalc!Zmirr))</f>
        <v>0</v>
      </c>
      <c r="K15" s="88">
        <f ca="1">IF(OR(Flag="Ignore",Flag="Det",Flag="Hole"),"",INDIRECT("VertexCalc!X"&amp;Local)*(Interfaces!Xmirr-VertexCalc!Xmirr)+INDIRECT("VertexCalc!Y"&amp;Local)*(Interfaces!Ymirr-VertexCalc!Ymirr)+INDIRECT("VertexCalc!Z"&amp;Local)*(Interfaces!Zmirr-VertexCalc!Zmirr))</f>
        <v>0</v>
      </c>
      <c r="L15" s="87">
        <f ca="1">IF(OR(Flag="Ignore",Flag="Det",Flag="Hole"),"",(INDIRECT("VertexCalc!X"&amp;Local)*Interfaces!Xnorm+INDIRECT("VertexCalc!Y"&amp;Local)*Interfaces!Ynorm+INDIRECT("VertexCalc!Z"&amp;Local)*Interfaces!Znorm))</f>
        <v>1</v>
      </c>
      <c r="M15" s="87">
        <f ca="1">IF(OR(Flag="Ignore",Flag="Det",Flag="Hole"),"",(INDIRECT("VertexCalc!X"&amp;Local)*Interfaces!Xnorm+INDIRECT("VertexCalc!Y"&amp;Local)*Interfaces!Ynorm+INDIRECT("VertexCalc!Z"&amp;Local)*Interfaces!Znorm))</f>
        <v>0</v>
      </c>
      <c r="N15" s="87">
        <f ca="1">IF(OR(Flag="Ignore",Flag="Det",Flag="Hole"),"",(INDIRECT("VertexCalc!X"&amp;Local)*Interfaces!Xnorm+INDIRECT("VertexCalc!Y"&amp;Local)*Interfaces!Ynorm+INDIRECT("VertexCalc!Z"&amp;Local)*Interfaces!Znorm))</f>
        <v>0</v>
      </c>
      <c r="O15" s="86">
        <f ca="1" t="shared" si="0"/>
        <v>-6.971070059254095</v>
      </c>
      <c r="P15" s="87">
        <f ca="1" t="shared" si="0"/>
        <v>0</v>
      </c>
      <c r="Q15" s="88">
        <f ca="1" t="shared" si="0"/>
        <v>0</v>
      </c>
      <c r="R15" s="87">
        <f ca="1">IF(OR(Flag="Ignore",Flag="Det",Flag="Hole"),"",INDIRECT("VertexCalc!X"&amp;Local)*Interfaces!Xsag+INDIRECT("VertexCalc!Y"&amp;Local)*Interfaces!Ysag+INDIRECT("VertexCalc!Z"&amp;Local)*Interfaces!Zsag)</f>
        <v>0</v>
      </c>
      <c r="S15" s="87">
        <f ca="1">IF(OR(Flag="Ignore",Flag="Det",Flag="Hole"),"",INDIRECT("VertexCalc!X"&amp;Local)*Interfaces!Xsag+INDIRECT("VertexCalc!Y"&amp;Local)*Interfaces!Ysag+INDIRECT("VertexCalc!Z"&amp;Local)*Interfaces!Zsag)</f>
        <v>1</v>
      </c>
      <c r="T15" s="87">
        <f ca="1">IF(OR(Flag="Ignore",Flag="Det",Flag="Hole"),"",INDIRECT("VertexCalc!X"&amp;Local)*Interfaces!Xsag+INDIRECT("VertexCalc!Y"&amp;Local)*Interfaces!Ysag+INDIRECT("VertexCalc!Z"&amp;Local)*Interfaces!Zsag)</f>
        <v>5.551115123125783E-17</v>
      </c>
      <c r="U15" s="86">
        <f ca="1" t="shared" si="1"/>
        <v>-6.971070059254095</v>
      </c>
      <c r="V15" s="87">
        <f ca="1" t="shared" si="1"/>
        <v>-11.950405815864162</v>
      </c>
      <c r="W15" s="88">
        <f ca="1" t="shared" si="1"/>
        <v>-6.633807845193386E-16</v>
      </c>
      <c r="X15" s="20">
        <f t="shared" si="2"/>
        <v>90</v>
      </c>
      <c r="Y15" s="124" t="s">
        <v>113</v>
      </c>
    </row>
    <row r="16" spans="3:25" ht="13.5" thickBot="1">
      <c r="C16" s="14"/>
      <c r="D16" s="15" t="s">
        <v>115</v>
      </c>
      <c r="E16" s="15" t="s">
        <v>527</v>
      </c>
      <c r="F16" s="16"/>
      <c r="G16" s="16"/>
      <c r="H16" s="15" t="s">
        <v>158</v>
      </c>
      <c r="I16" s="93">
        <f ca="1">IF(OR(Flag="Ignore",Flag="Det",Flag="Hole"),"",INDIRECT("VertexCalc!X"&amp;Local)*(Interfaces!Xmirr-VertexCalc!Xmirr)+INDIRECT("VertexCalc!Y"&amp;Local)*(Interfaces!Ymirr-VertexCalc!Ymirr)+INDIRECT("VertexCalc!Z"&amp;Local)*(Interfaces!Zmirr-VertexCalc!Zmirr))</f>
      </c>
      <c r="J16" s="94">
        <f ca="1">IF(OR(Flag="Ignore",Flag="Det",Flag="Hole"),"",INDIRECT("VertexCalc!X"&amp;Local)*(Interfaces!Xmirr-VertexCalc!Xmirr)+INDIRECT("VertexCalc!Y"&amp;Local)*(Interfaces!Ymirr-VertexCalc!Ymirr)+INDIRECT("VertexCalc!Z"&amp;Local)*(Interfaces!Zmirr-VertexCalc!Zmirr))</f>
      </c>
      <c r="K16" s="95">
        <f ca="1">IF(OR(Flag="Ignore",Flag="Det",Flag="Hole"),"",INDIRECT("VertexCalc!X"&amp;Local)*(Interfaces!Xmirr-VertexCalc!Xmirr)+INDIRECT("VertexCalc!Y"&amp;Local)*(Interfaces!Ymirr-VertexCalc!Ymirr)+INDIRECT("VertexCalc!Z"&amp;Local)*(Interfaces!Zmirr-VertexCalc!Zmirr))</f>
      </c>
      <c r="L16" s="94">
        <f ca="1">IF(OR(Flag="Ignore",Flag="Det",Flag="Hole"),"",(INDIRECT("VertexCalc!X"&amp;Local)*Interfaces!Xnorm+INDIRECT("VertexCalc!Y"&amp;Local)*Interfaces!Ynorm+INDIRECT("VertexCalc!Z"&amp;Local)*Interfaces!Znorm))</f>
      </c>
      <c r="M16" s="94">
        <f ca="1">IF(OR(Flag="Ignore",Flag="Det",Flag="Hole"),"",(INDIRECT("VertexCalc!X"&amp;Local)*Interfaces!Xnorm+INDIRECT("VertexCalc!Y"&amp;Local)*Interfaces!Ynorm+INDIRECT("VertexCalc!Z"&amp;Local)*Interfaces!Znorm))</f>
      </c>
      <c r="N16" s="94">
        <f ca="1">IF(OR(Flag="Ignore",Flag="Det",Flag="Hole"),"",(INDIRECT("VertexCalc!X"&amp;Local)*Interfaces!Xnorm+INDIRECT("VertexCalc!Y"&amp;Local)*Interfaces!Ynorm+INDIRECT("VertexCalc!Z"&amp;Local)*Interfaces!Znorm))</f>
      </c>
      <c r="O16" s="93">
        <f ca="1" t="shared" si="0"/>
      </c>
      <c r="P16" s="94">
        <f ca="1" t="shared" si="0"/>
      </c>
      <c r="Q16" s="95">
        <f ca="1" t="shared" si="0"/>
      </c>
      <c r="R16" s="94">
        <f ca="1">IF(OR(Flag="Ignore",Flag="Det",Flag="Hole"),"",INDIRECT("VertexCalc!X"&amp;Local)*Interfaces!Xsag+INDIRECT("VertexCalc!Y"&amp;Local)*Interfaces!Ysag+INDIRECT("VertexCalc!Z"&amp;Local)*Interfaces!Zsag)</f>
      </c>
      <c r="S16" s="94">
        <f ca="1">IF(OR(Flag="Ignore",Flag="Det",Flag="Hole"),"",INDIRECT("VertexCalc!X"&amp;Local)*Interfaces!Xsag+INDIRECT("VertexCalc!Y"&amp;Local)*Interfaces!Ysag+INDIRECT("VertexCalc!Z"&amp;Local)*Interfaces!Zsag)</f>
      </c>
      <c r="T16" s="94">
        <f ca="1">IF(OR(Flag="Ignore",Flag="Det",Flag="Hole"),"",INDIRECT("VertexCalc!X"&amp;Local)*Interfaces!Xsag+INDIRECT("VertexCalc!Y"&amp;Local)*Interfaces!Ysag+INDIRECT("VertexCalc!Z"&amp;Local)*Interfaces!Zsag)</f>
      </c>
      <c r="U16" s="93">
        <f ca="1" t="shared" si="1"/>
      </c>
      <c r="V16" s="94">
        <f ca="1" t="shared" si="1"/>
      </c>
      <c r="W16" s="95">
        <f ca="1" t="shared" si="1"/>
      </c>
      <c r="X16" s="16">
        <f t="shared" si="2"/>
      </c>
      <c r="Y16" s="123" t="s">
        <v>115</v>
      </c>
    </row>
    <row r="17" spans="4:25" ht="13.5" thickBot="1">
      <c r="D17" s="1" t="s">
        <v>111</v>
      </c>
      <c r="E17" s="1" t="s">
        <v>527</v>
      </c>
      <c r="H17" s="1" t="s">
        <v>126</v>
      </c>
      <c r="I17" s="86">
        <f ca="1">IF(OR(Flag="Ignore",Flag="Det",Flag="Hole"),"",INDIRECT("VertexCalc!X"&amp;Local)*(Interfaces!Xmirr-VertexCalc!Xmirr)+INDIRECT("VertexCalc!Y"&amp;Local)*(Interfaces!Ymirr-VertexCalc!Ymirr)+INDIRECT("VertexCalc!Z"&amp;Local)*(Interfaces!Zmirr-VertexCalc!Zmirr))</f>
      </c>
      <c r="J17" s="87">
        <f ca="1">IF(OR(Flag="Ignore",Flag="Det",Flag="Hole"),"",INDIRECT("VertexCalc!X"&amp;Local)*(Interfaces!Xmirr-VertexCalc!Xmirr)+INDIRECT("VertexCalc!Y"&amp;Local)*(Interfaces!Ymirr-VertexCalc!Ymirr)+INDIRECT("VertexCalc!Z"&amp;Local)*(Interfaces!Zmirr-VertexCalc!Zmirr))</f>
      </c>
      <c r="K17" s="88">
        <f ca="1">IF(OR(Flag="Ignore",Flag="Det",Flag="Hole"),"",INDIRECT("VertexCalc!X"&amp;Local)*(Interfaces!Xmirr-VertexCalc!Xmirr)+INDIRECT("VertexCalc!Y"&amp;Local)*(Interfaces!Ymirr-VertexCalc!Ymirr)+INDIRECT("VertexCalc!Z"&amp;Local)*(Interfaces!Zmirr-VertexCalc!Zmirr))</f>
      </c>
      <c r="L17" s="87">
        <f ca="1">IF(OR(Flag="Ignore",Flag="Det",Flag="Hole"),"",(INDIRECT("VertexCalc!X"&amp;Local)*Interfaces!Xnorm+INDIRECT("VertexCalc!Y"&amp;Local)*Interfaces!Ynorm+INDIRECT("VertexCalc!Z"&amp;Local)*Interfaces!Znorm))</f>
      </c>
      <c r="M17" s="87">
        <f ca="1">IF(OR(Flag="Ignore",Flag="Det",Flag="Hole"),"",(INDIRECT("VertexCalc!X"&amp;Local)*Interfaces!Xnorm+INDIRECT("VertexCalc!Y"&amp;Local)*Interfaces!Ynorm+INDIRECT("VertexCalc!Z"&amp;Local)*Interfaces!Znorm))</f>
      </c>
      <c r="N17" s="87">
        <f ca="1">IF(OR(Flag="Ignore",Flag="Det",Flag="Hole"),"",(INDIRECT("VertexCalc!X"&amp;Local)*Interfaces!Xnorm+INDIRECT("VertexCalc!Y"&amp;Local)*Interfaces!Ynorm+INDIRECT("VertexCalc!Z"&amp;Local)*Interfaces!Znorm))</f>
      </c>
      <c r="O17" s="86">
        <f ca="1" t="shared" si="0"/>
      </c>
      <c r="P17" s="87">
        <f ca="1" t="shared" si="0"/>
      </c>
      <c r="Q17" s="88">
        <f ca="1" t="shared" si="0"/>
      </c>
      <c r="R17" s="87">
        <f ca="1">IF(OR(Flag="Ignore",Flag="Det",Flag="Hole"),"",INDIRECT("VertexCalc!X"&amp;Local)*Interfaces!Xsag+INDIRECT("VertexCalc!Y"&amp;Local)*Interfaces!Ysag+INDIRECT("VertexCalc!Z"&amp;Local)*Interfaces!Zsag)</f>
      </c>
      <c r="S17" s="87">
        <f ca="1">IF(OR(Flag="Ignore",Flag="Det",Flag="Hole"),"",INDIRECT("VertexCalc!X"&amp;Local)*Interfaces!Xsag+INDIRECT("VertexCalc!Y"&amp;Local)*Interfaces!Ysag+INDIRECT("VertexCalc!Z"&amp;Local)*Interfaces!Zsag)</f>
      </c>
      <c r="T17" s="87">
        <f ca="1">IF(OR(Flag="Ignore",Flag="Det",Flag="Hole"),"",INDIRECT("VertexCalc!X"&amp;Local)*Interfaces!Xsag+INDIRECT("VertexCalc!Y"&amp;Local)*Interfaces!Ysag+INDIRECT("VertexCalc!Z"&amp;Local)*Interfaces!Zsag)</f>
      </c>
      <c r="U17" s="86">
        <f ca="1" t="shared" si="1"/>
      </c>
      <c r="V17" s="87">
        <f ca="1" t="shared" si="1"/>
      </c>
      <c r="W17" s="88">
        <f ca="1" t="shared" si="1"/>
      </c>
      <c r="X17" s="20">
        <f t="shared" si="2"/>
      </c>
      <c r="Y17" s="1" t="s">
        <v>111</v>
      </c>
    </row>
    <row r="18" spans="3:25" ht="12.75">
      <c r="C18" s="10" t="s">
        <v>124</v>
      </c>
      <c r="D18" s="11" t="s">
        <v>116</v>
      </c>
      <c r="E18" s="11" t="s">
        <v>527</v>
      </c>
      <c r="F18" s="12"/>
      <c r="G18" s="12"/>
      <c r="H18" s="11" t="s">
        <v>126</v>
      </c>
      <c r="I18" s="90">
        <f ca="1">IF(OR(Flag="Ignore",Flag="Det",Flag="Hole"),"",INDIRECT("VertexCalc!X"&amp;Local)*(Interfaces!Xmirr-VertexCalc!Xmirr)+INDIRECT("VertexCalc!Y"&amp;Local)*(Interfaces!Ymirr-VertexCalc!Ymirr)+INDIRECT("VertexCalc!Z"&amp;Local)*(Interfaces!Zmirr-VertexCalc!Zmirr))</f>
      </c>
      <c r="J18" s="91">
        <f ca="1">IF(OR(Flag="Ignore",Flag="Det",Flag="Hole"),"",INDIRECT("VertexCalc!X"&amp;Local)*(Interfaces!Xmirr-VertexCalc!Xmirr)+INDIRECT("VertexCalc!Y"&amp;Local)*(Interfaces!Ymirr-VertexCalc!Ymirr)+INDIRECT("VertexCalc!Z"&amp;Local)*(Interfaces!Zmirr-VertexCalc!Zmirr))</f>
      </c>
      <c r="K18" s="92">
        <f ca="1">IF(OR(Flag="Ignore",Flag="Det",Flag="Hole"),"",INDIRECT("VertexCalc!X"&amp;Local)*(Interfaces!Xmirr-VertexCalc!Xmirr)+INDIRECT("VertexCalc!Y"&amp;Local)*(Interfaces!Ymirr-VertexCalc!Ymirr)+INDIRECT("VertexCalc!Z"&amp;Local)*(Interfaces!Zmirr-VertexCalc!Zmirr))</f>
      </c>
      <c r="L18" s="91">
        <f ca="1">IF(OR(Flag="Ignore",Flag="Det",Flag="Hole"),"",(INDIRECT("VertexCalc!X"&amp;Local)*Interfaces!Xnorm+INDIRECT("VertexCalc!Y"&amp;Local)*Interfaces!Ynorm+INDIRECT("VertexCalc!Z"&amp;Local)*Interfaces!Znorm))</f>
      </c>
      <c r="M18" s="91">
        <f ca="1">IF(OR(Flag="Ignore",Flag="Det",Flag="Hole"),"",(INDIRECT("VertexCalc!X"&amp;Local)*Interfaces!Xnorm+INDIRECT("VertexCalc!Y"&amp;Local)*Interfaces!Ynorm+INDIRECT("VertexCalc!Z"&amp;Local)*Interfaces!Znorm))</f>
      </c>
      <c r="N18" s="91">
        <f ca="1">IF(OR(Flag="Ignore",Flag="Det",Flag="Hole"),"",(INDIRECT("VertexCalc!X"&amp;Local)*Interfaces!Xnorm+INDIRECT("VertexCalc!Y"&amp;Local)*Interfaces!Ynorm+INDIRECT("VertexCalc!Z"&amp;Local)*Interfaces!Znorm))</f>
      </c>
      <c r="O18" s="90">
        <f ca="1" t="shared" si="0"/>
      </c>
      <c r="P18" s="91">
        <f ca="1" t="shared" si="0"/>
      </c>
      <c r="Q18" s="92">
        <f ca="1" t="shared" si="0"/>
      </c>
      <c r="R18" s="91">
        <f ca="1">IF(OR(Flag="Ignore",Flag="Det",Flag="Hole"),"",INDIRECT("VertexCalc!X"&amp;Local)*Interfaces!Xsag+INDIRECT("VertexCalc!Y"&amp;Local)*Interfaces!Ysag+INDIRECT("VertexCalc!Z"&amp;Local)*Interfaces!Zsag)</f>
      </c>
      <c r="S18" s="91">
        <f ca="1">IF(OR(Flag="Ignore",Flag="Det",Flag="Hole"),"",INDIRECT("VertexCalc!X"&amp;Local)*Interfaces!Xsag+INDIRECT("VertexCalc!Y"&amp;Local)*Interfaces!Ysag+INDIRECT("VertexCalc!Z"&amp;Local)*Interfaces!Zsag)</f>
      </c>
      <c r="T18" s="91">
        <f ca="1">IF(OR(Flag="Ignore",Flag="Det",Flag="Hole"),"",INDIRECT("VertexCalc!X"&amp;Local)*Interfaces!Xsag+INDIRECT("VertexCalc!Y"&amp;Local)*Interfaces!Ysag+INDIRECT("VertexCalc!Z"&amp;Local)*Interfaces!Zsag)</f>
      </c>
      <c r="U18" s="90">
        <f ca="1" t="shared" si="1"/>
      </c>
      <c r="V18" s="91">
        <f ca="1" t="shared" si="1"/>
      </c>
      <c r="W18" s="92">
        <f ca="1" t="shared" si="1"/>
      </c>
      <c r="X18" s="12">
        <f t="shared" si="2"/>
      </c>
      <c r="Y18" s="122" t="s">
        <v>116</v>
      </c>
    </row>
    <row r="19" spans="3:25" ht="13.5" thickBot="1">
      <c r="C19" s="14"/>
      <c r="D19" s="15" t="s">
        <v>117</v>
      </c>
      <c r="E19" s="15" t="s">
        <v>527</v>
      </c>
      <c r="F19" s="16"/>
      <c r="G19" s="16"/>
      <c r="H19" s="15" t="s">
        <v>158</v>
      </c>
      <c r="I19" s="93">
        <f ca="1">IF(OR(Flag="Ignore",Flag="Det",Flag="Hole"),"",INDIRECT("VertexCalc!X"&amp;Local)*(Interfaces!Xmirr-VertexCalc!Xmirr)+INDIRECT("VertexCalc!Y"&amp;Local)*(Interfaces!Ymirr-VertexCalc!Ymirr)+INDIRECT("VertexCalc!Z"&amp;Local)*(Interfaces!Zmirr-VertexCalc!Zmirr))</f>
      </c>
      <c r="J19" s="94">
        <f ca="1">IF(OR(Flag="Ignore",Flag="Det",Flag="Hole"),"",INDIRECT("VertexCalc!X"&amp;Local)*(Interfaces!Xmirr-VertexCalc!Xmirr)+INDIRECT("VertexCalc!Y"&amp;Local)*(Interfaces!Ymirr-VertexCalc!Ymirr)+INDIRECT("VertexCalc!Z"&amp;Local)*(Interfaces!Zmirr-VertexCalc!Zmirr))</f>
      </c>
      <c r="K19" s="95">
        <f ca="1">IF(OR(Flag="Ignore",Flag="Det",Flag="Hole"),"",INDIRECT("VertexCalc!X"&amp;Local)*(Interfaces!Xmirr-VertexCalc!Xmirr)+INDIRECT("VertexCalc!Y"&amp;Local)*(Interfaces!Ymirr-VertexCalc!Ymirr)+INDIRECT("VertexCalc!Z"&amp;Local)*(Interfaces!Zmirr-VertexCalc!Zmirr))</f>
      </c>
      <c r="L19" s="94">
        <f ca="1">IF(OR(Flag="Ignore",Flag="Det",Flag="Hole"),"",(INDIRECT("VertexCalc!X"&amp;Local)*Interfaces!Xnorm+INDIRECT("VertexCalc!Y"&amp;Local)*Interfaces!Ynorm+INDIRECT("VertexCalc!Z"&amp;Local)*Interfaces!Znorm))</f>
      </c>
      <c r="M19" s="94">
        <f ca="1">IF(OR(Flag="Ignore",Flag="Det",Flag="Hole"),"",(INDIRECT("VertexCalc!X"&amp;Local)*Interfaces!Xnorm+INDIRECT("VertexCalc!Y"&amp;Local)*Interfaces!Ynorm+INDIRECT("VertexCalc!Z"&amp;Local)*Interfaces!Znorm))</f>
      </c>
      <c r="N19" s="94">
        <f ca="1">IF(OR(Flag="Ignore",Flag="Det",Flag="Hole"),"",(INDIRECT("VertexCalc!X"&amp;Local)*Interfaces!Xnorm+INDIRECT("VertexCalc!Y"&amp;Local)*Interfaces!Ynorm+INDIRECT("VertexCalc!Z"&amp;Local)*Interfaces!Znorm))</f>
      </c>
      <c r="O19" s="93">
        <f ca="1" t="shared" si="0"/>
      </c>
      <c r="P19" s="94">
        <f ca="1" t="shared" si="0"/>
      </c>
      <c r="Q19" s="95">
        <f ca="1" t="shared" si="0"/>
      </c>
      <c r="R19" s="94">
        <f ca="1">IF(OR(Flag="Ignore",Flag="Det",Flag="Hole"),"",INDIRECT("VertexCalc!X"&amp;Local)*Interfaces!Xsag+INDIRECT("VertexCalc!Y"&amp;Local)*Interfaces!Ysag+INDIRECT("VertexCalc!Z"&amp;Local)*Interfaces!Zsag)</f>
      </c>
      <c r="S19" s="94">
        <f ca="1">IF(OR(Flag="Ignore",Flag="Det",Flag="Hole"),"",INDIRECT("VertexCalc!X"&amp;Local)*Interfaces!Xsag+INDIRECT("VertexCalc!Y"&amp;Local)*Interfaces!Ysag+INDIRECT("VertexCalc!Z"&amp;Local)*Interfaces!Zsag)</f>
      </c>
      <c r="T19" s="94">
        <f ca="1">IF(OR(Flag="Ignore",Flag="Det",Flag="Hole"),"",INDIRECT("VertexCalc!X"&amp;Local)*Interfaces!Xsag+INDIRECT("VertexCalc!Y"&amp;Local)*Interfaces!Ysag+INDIRECT("VertexCalc!Z"&amp;Local)*Interfaces!Zsag)</f>
      </c>
      <c r="U19" s="93">
        <f ca="1" t="shared" si="1"/>
      </c>
      <c r="V19" s="94">
        <f ca="1" t="shared" si="1"/>
      </c>
      <c r="W19" s="95">
        <f ca="1" t="shared" si="1"/>
      </c>
      <c r="X19" s="16">
        <f t="shared" si="2"/>
      </c>
      <c r="Y19" s="123" t="s">
        <v>117</v>
      </c>
    </row>
    <row r="20" spans="4:25" ht="13.5" thickBot="1">
      <c r="D20" s="1" t="s">
        <v>116</v>
      </c>
      <c r="E20" s="1" t="s">
        <v>527</v>
      </c>
      <c r="H20" s="1" t="s">
        <v>126</v>
      </c>
      <c r="I20" s="86">
        <f ca="1">IF(OR(Flag="Ignore",Flag="Det",Flag="Hole"),"",INDIRECT("VertexCalc!X"&amp;Local)*(Interfaces!Xmirr-VertexCalc!Xmirr)+INDIRECT("VertexCalc!Y"&amp;Local)*(Interfaces!Ymirr-VertexCalc!Ymirr)+INDIRECT("VertexCalc!Z"&amp;Local)*(Interfaces!Zmirr-VertexCalc!Zmirr))</f>
      </c>
      <c r="J20" s="87">
        <f ca="1">IF(OR(Flag="Ignore",Flag="Det",Flag="Hole"),"",INDIRECT("VertexCalc!X"&amp;Local)*(Interfaces!Xmirr-VertexCalc!Xmirr)+INDIRECT("VertexCalc!Y"&amp;Local)*(Interfaces!Ymirr-VertexCalc!Ymirr)+INDIRECT("VertexCalc!Z"&amp;Local)*(Interfaces!Zmirr-VertexCalc!Zmirr))</f>
      </c>
      <c r="K20" s="88">
        <f ca="1">IF(OR(Flag="Ignore",Flag="Det",Flag="Hole"),"",INDIRECT("VertexCalc!X"&amp;Local)*(Interfaces!Xmirr-VertexCalc!Xmirr)+INDIRECT("VertexCalc!Y"&amp;Local)*(Interfaces!Ymirr-VertexCalc!Ymirr)+INDIRECT("VertexCalc!Z"&amp;Local)*(Interfaces!Zmirr-VertexCalc!Zmirr))</f>
      </c>
      <c r="L20" s="87">
        <f ca="1">IF(OR(Flag="Ignore",Flag="Det",Flag="Hole"),"",(INDIRECT("VertexCalc!X"&amp;Local)*Interfaces!Xnorm+INDIRECT("VertexCalc!Y"&amp;Local)*Interfaces!Ynorm+INDIRECT("VertexCalc!Z"&amp;Local)*Interfaces!Znorm))</f>
      </c>
      <c r="M20" s="87">
        <f ca="1">IF(OR(Flag="Ignore",Flag="Det",Flag="Hole"),"",(INDIRECT("VertexCalc!X"&amp;Local)*Interfaces!Xnorm+INDIRECT("VertexCalc!Y"&amp;Local)*Interfaces!Ynorm+INDIRECT("VertexCalc!Z"&amp;Local)*Interfaces!Znorm))</f>
      </c>
      <c r="N20" s="87">
        <f ca="1">IF(OR(Flag="Ignore",Flag="Det",Flag="Hole"),"",(INDIRECT("VertexCalc!X"&amp;Local)*Interfaces!Xnorm+INDIRECT("VertexCalc!Y"&amp;Local)*Interfaces!Ynorm+INDIRECT("VertexCalc!Z"&amp;Local)*Interfaces!Znorm))</f>
      </c>
      <c r="O20" s="86">
        <f ca="1" t="shared" si="0"/>
      </c>
      <c r="P20" s="87">
        <f ca="1" t="shared" si="0"/>
      </c>
      <c r="Q20" s="88">
        <f ca="1" t="shared" si="0"/>
      </c>
      <c r="R20" s="87">
        <f ca="1">IF(OR(Flag="Ignore",Flag="Det",Flag="Hole"),"",INDIRECT("VertexCalc!X"&amp;Local)*Interfaces!Xsag+INDIRECT("VertexCalc!Y"&amp;Local)*Interfaces!Ysag+INDIRECT("VertexCalc!Z"&amp;Local)*Interfaces!Zsag)</f>
      </c>
      <c r="S20" s="87">
        <f ca="1">IF(OR(Flag="Ignore",Flag="Det",Flag="Hole"),"",INDIRECT("VertexCalc!X"&amp;Local)*Interfaces!Xsag+INDIRECT("VertexCalc!Y"&amp;Local)*Interfaces!Ysag+INDIRECT("VertexCalc!Z"&amp;Local)*Interfaces!Zsag)</f>
      </c>
      <c r="T20" s="87">
        <f ca="1">IF(OR(Flag="Ignore",Flag="Det",Flag="Hole"),"",INDIRECT("VertexCalc!X"&amp;Local)*Interfaces!Xsag+INDIRECT("VertexCalc!Y"&amp;Local)*Interfaces!Ysag+INDIRECT("VertexCalc!Z"&amp;Local)*Interfaces!Zsag)</f>
      </c>
      <c r="U20" s="86">
        <f ca="1" t="shared" si="1"/>
      </c>
      <c r="V20" s="87">
        <f ca="1" t="shared" si="1"/>
      </c>
      <c r="W20" s="88">
        <f ca="1" t="shared" si="1"/>
      </c>
      <c r="X20" s="20">
        <f t="shared" si="2"/>
      </c>
      <c r="Y20" s="1" t="s">
        <v>116</v>
      </c>
    </row>
    <row r="21" spans="3:25" ht="12.75">
      <c r="C21" s="10" t="s">
        <v>125</v>
      </c>
      <c r="D21" s="11" t="s">
        <v>118</v>
      </c>
      <c r="E21" s="11" t="s">
        <v>527</v>
      </c>
      <c r="F21" s="12"/>
      <c r="G21" s="12">
        <v>1</v>
      </c>
      <c r="H21" s="11" t="s">
        <v>385</v>
      </c>
      <c r="I21" s="90">
        <f ca="1">IF(OR(Flag="Ignore",Flag="Det",Flag="Hole"),"",INDIRECT("VertexCalc!X"&amp;Local)*(Interfaces!Xmirr-VertexCalc!Xmirr)+INDIRECT("VertexCalc!Y"&amp;Local)*(Interfaces!Ymirr-VertexCalc!Ymirr)+INDIRECT("VertexCalc!Z"&amp;Local)*(Interfaces!Zmirr-VertexCalc!Zmirr))</f>
        <v>0</v>
      </c>
      <c r="J21" s="91">
        <f ca="1">IF(OR(Flag="Ignore",Flag="Det",Flag="Hole"),"",INDIRECT("VertexCalc!X"&amp;Local)*(Interfaces!Xmirr-VertexCalc!Xmirr)+INDIRECT("VertexCalc!Y"&amp;Local)*(Interfaces!Ymirr-VertexCalc!Ymirr)+INDIRECT("VertexCalc!Z"&amp;Local)*(Interfaces!Zmirr-VertexCalc!Zmirr))</f>
        <v>0</v>
      </c>
      <c r="K21" s="92">
        <f ca="1">IF(OR(Flag="Ignore",Flag="Det",Flag="Hole"),"",INDIRECT("VertexCalc!X"&amp;Local)*(Interfaces!Xmirr-VertexCalc!Xmirr)+INDIRECT("VertexCalc!Y"&amp;Local)*(Interfaces!Ymirr-VertexCalc!Ymirr)+INDIRECT("VertexCalc!Z"&amp;Local)*(Interfaces!Zmirr-VertexCalc!Zmirr))</f>
        <v>0</v>
      </c>
      <c r="L21" s="91">
        <f ca="1">IF(OR(Flag="Ignore",Flag="Det",Flag="Hole"),"",(INDIRECT("VertexCalc!X"&amp;Local)*Interfaces!Xnorm+INDIRECT("VertexCalc!Y"&amp;Local)*Interfaces!Ynorm+INDIRECT("VertexCalc!Z"&amp;Local)*Interfaces!Znorm))</f>
        <v>1</v>
      </c>
      <c r="M21" s="91">
        <f ca="1">IF(OR(Flag="Ignore",Flag="Det",Flag="Hole"),"",(INDIRECT("VertexCalc!X"&amp;Local)*Interfaces!Xnorm+INDIRECT("VertexCalc!Y"&amp;Local)*Interfaces!Ynorm+INDIRECT("VertexCalc!Z"&amp;Local)*Interfaces!Znorm))</f>
        <v>0</v>
      </c>
      <c r="N21" s="91">
        <f ca="1">IF(OR(Flag="Ignore",Flag="Det",Flag="Hole"),"",(INDIRECT("VertexCalc!X"&amp;Local)*Interfaces!Xnorm+INDIRECT("VertexCalc!Y"&amp;Local)*Interfaces!Ynorm+INDIRECT("VertexCalc!Z"&amp;Local)*Interfaces!Znorm))</f>
        <v>0</v>
      </c>
      <c r="O21" s="90">
        <f ca="1" t="shared" si="0"/>
        <v>-6.971070059254095</v>
      </c>
      <c r="P21" s="91">
        <f ca="1" t="shared" si="0"/>
        <v>0</v>
      </c>
      <c r="Q21" s="92">
        <f ca="1" t="shared" si="0"/>
        <v>0</v>
      </c>
      <c r="R21" s="91">
        <f ca="1">IF(OR(Flag="Ignore",Flag="Det",Flag="Hole"),"",INDIRECT("VertexCalc!X"&amp;Local)*Interfaces!Xsag+INDIRECT("VertexCalc!Y"&amp;Local)*Interfaces!Ysag+INDIRECT("VertexCalc!Z"&amp;Local)*Interfaces!Zsag)</f>
        <v>0</v>
      </c>
      <c r="S21" s="91">
        <f ca="1">IF(OR(Flag="Ignore",Flag="Det",Flag="Hole"),"",INDIRECT("VertexCalc!X"&amp;Local)*Interfaces!Xsag+INDIRECT("VertexCalc!Y"&amp;Local)*Interfaces!Ysag+INDIRECT("VertexCalc!Z"&amp;Local)*Interfaces!Zsag)</f>
        <v>1</v>
      </c>
      <c r="T21" s="91">
        <f ca="1">IF(OR(Flag="Ignore",Flag="Det",Flag="Hole"),"",INDIRECT("VertexCalc!X"&amp;Local)*Interfaces!Xsag+INDIRECT("VertexCalc!Y"&amp;Local)*Interfaces!Ysag+INDIRECT("VertexCalc!Z"&amp;Local)*Interfaces!Zsag)</f>
        <v>0</v>
      </c>
      <c r="U21" s="90">
        <f ca="1" t="shared" si="1"/>
        <v>-6.971070059254095</v>
      </c>
      <c r="V21" s="91">
        <f ca="1" t="shared" si="1"/>
        <v>11.950405815864162</v>
      </c>
      <c r="W21" s="92">
        <f ca="1" t="shared" si="1"/>
        <v>0</v>
      </c>
      <c r="X21" s="12">
        <f t="shared" si="2"/>
        <v>90</v>
      </c>
      <c r="Y21" s="122" t="s">
        <v>118</v>
      </c>
    </row>
    <row r="22" spans="3:25" ht="13.5" thickBot="1">
      <c r="C22" s="14"/>
      <c r="D22" s="15" t="s">
        <v>119</v>
      </c>
      <c r="E22" s="15" t="s">
        <v>527</v>
      </c>
      <c r="F22" s="16"/>
      <c r="G22" s="16"/>
      <c r="H22" s="15" t="s">
        <v>158</v>
      </c>
      <c r="I22" s="93">
        <f ca="1">IF(OR(Flag="Ignore",Flag="Det",Flag="Hole"),"",INDIRECT("VertexCalc!X"&amp;Local)*(Interfaces!Xmirr-VertexCalc!Xmirr)+INDIRECT("VertexCalc!Y"&amp;Local)*(Interfaces!Ymirr-VertexCalc!Ymirr)+INDIRECT("VertexCalc!Z"&amp;Local)*(Interfaces!Zmirr-VertexCalc!Zmirr))</f>
      </c>
      <c r="J22" s="94">
        <f ca="1">IF(OR(Flag="Ignore",Flag="Det",Flag="Hole"),"",INDIRECT("VertexCalc!X"&amp;Local)*(Interfaces!Xmirr-VertexCalc!Xmirr)+INDIRECT("VertexCalc!Y"&amp;Local)*(Interfaces!Ymirr-VertexCalc!Ymirr)+INDIRECT("VertexCalc!Z"&amp;Local)*(Interfaces!Zmirr-VertexCalc!Zmirr))</f>
      </c>
      <c r="K22" s="95">
        <f ca="1">IF(OR(Flag="Ignore",Flag="Det",Flag="Hole"),"",INDIRECT("VertexCalc!X"&amp;Local)*(Interfaces!Xmirr-VertexCalc!Xmirr)+INDIRECT("VertexCalc!Y"&amp;Local)*(Interfaces!Ymirr-VertexCalc!Ymirr)+INDIRECT("VertexCalc!Z"&amp;Local)*(Interfaces!Zmirr-VertexCalc!Zmirr))</f>
      </c>
      <c r="L22" s="94">
        <f ca="1">IF(OR(Flag="Ignore",Flag="Det",Flag="Hole"),"",(INDIRECT("VertexCalc!X"&amp;Local)*Interfaces!Xnorm+INDIRECT("VertexCalc!Y"&amp;Local)*Interfaces!Ynorm+INDIRECT("VertexCalc!Z"&amp;Local)*Interfaces!Znorm))</f>
      </c>
      <c r="M22" s="94">
        <f ca="1">IF(OR(Flag="Ignore",Flag="Det",Flag="Hole"),"",(INDIRECT("VertexCalc!X"&amp;Local)*Interfaces!Xnorm+INDIRECT("VertexCalc!Y"&amp;Local)*Interfaces!Ynorm+INDIRECT("VertexCalc!Z"&amp;Local)*Interfaces!Znorm))</f>
      </c>
      <c r="N22" s="94">
        <f ca="1">IF(OR(Flag="Ignore",Flag="Det",Flag="Hole"),"",(INDIRECT("VertexCalc!X"&amp;Local)*Interfaces!Xnorm+INDIRECT("VertexCalc!Y"&amp;Local)*Interfaces!Ynorm+INDIRECT("VertexCalc!Z"&amp;Local)*Interfaces!Znorm))</f>
      </c>
      <c r="O22" s="93">
        <f aca="true" ca="1" t="shared" si="3" ref="O22:Q41">IF(OR(Flag="Ignore",Flag="Det",Flag="Hole"),"",INDIRECT(Axe&amp;"mirr")+IF(ThMirr="Thick",Thick,Thin)*INDIRECT(Axe&amp;"norm"))</f>
      </c>
      <c r="P22" s="94">
        <f ca="1" t="shared" si="3"/>
      </c>
      <c r="Q22" s="95">
        <f ca="1" t="shared" si="3"/>
      </c>
      <c r="R22" s="94">
        <f ca="1">IF(OR(Flag="Ignore",Flag="Det",Flag="Hole"),"",INDIRECT("VertexCalc!X"&amp;Local)*Interfaces!Xsag+INDIRECT("VertexCalc!Y"&amp;Local)*Interfaces!Ysag+INDIRECT("VertexCalc!Z"&amp;Local)*Interfaces!Zsag)</f>
      </c>
      <c r="S22" s="94">
        <f ca="1">IF(OR(Flag="Ignore",Flag="Det",Flag="Hole"),"",INDIRECT("VertexCalc!X"&amp;Local)*Interfaces!Xsag+INDIRECT("VertexCalc!Y"&amp;Local)*Interfaces!Ysag+INDIRECT("VertexCalc!Z"&amp;Local)*Interfaces!Zsag)</f>
      </c>
      <c r="T22" s="94">
        <f ca="1">IF(OR(Flag="Ignore",Flag="Det",Flag="Hole"),"",INDIRECT("VertexCalc!X"&amp;Local)*Interfaces!Xsag+INDIRECT("VertexCalc!Y"&amp;Local)*Interfaces!Ysag+INDIRECT("VertexCalc!Z"&amp;Local)*Interfaces!Zsag)</f>
      </c>
      <c r="U22" s="93">
        <f aca="true" ca="1" t="shared" si="4" ref="U22:W41">IF(OR(Flag="Ignore",Flag="Det",Flag="Hole"),"",INDIRECT(Axe&amp;"spig")+DowlSep*DowlDir*INDIRECT(Axe&amp;"sag"))</f>
      </c>
      <c r="V22" s="94">
        <f ca="1" t="shared" si="4"/>
      </c>
      <c r="W22" s="95">
        <f ca="1" t="shared" si="4"/>
      </c>
      <c r="X22" s="16">
        <f t="shared" si="2"/>
      </c>
      <c r="Y22" s="123" t="s">
        <v>119</v>
      </c>
    </row>
    <row r="23" spans="3:25" ht="13.5" thickBot="1">
      <c r="C23" s="18"/>
      <c r="D23" s="19" t="s">
        <v>98</v>
      </c>
      <c r="E23" s="19" t="s">
        <v>528</v>
      </c>
      <c r="F23" s="20"/>
      <c r="G23" s="20">
        <v>1</v>
      </c>
      <c r="H23" s="19" t="s">
        <v>126</v>
      </c>
      <c r="I23" s="86">
        <f ca="1">IF(OR(Flag="Ignore",Flag="Det",Flag="Hole"),"",INDIRECT("VertexCalc!X"&amp;Local)*(Interfaces!Xmirr-VertexCalc!Xmirr)+INDIRECT("VertexCalc!Y"&amp;Local)*(Interfaces!Ymirr-VertexCalc!Ymirr)+INDIRECT("VertexCalc!Z"&amp;Local)*(Interfaces!Zmirr-VertexCalc!Zmirr))</f>
      </c>
      <c r="J23" s="87">
        <f ca="1">IF(OR(Flag="Ignore",Flag="Det",Flag="Hole"),"",INDIRECT("VertexCalc!X"&amp;Local)*(Interfaces!Xmirr-VertexCalc!Xmirr)+INDIRECT("VertexCalc!Y"&amp;Local)*(Interfaces!Ymirr-VertexCalc!Ymirr)+INDIRECT("VertexCalc!Z"&amp;Local)*(Interfaces!Zmirr-VertexCalc!Zmirr))</f>
      </c>
      <c r="K23" s="88">
        <f ca="1">IF(OR(Flag="Ignore",Flag="Det",Flag="Hole"),"",INDIRECT("VertexCalc!X"&amp;Local)*(Interfaces!Xmirr-VertexCalc!Xmirr)+INDIRECT("VertexCalc!Y"&amp;Local)*(Interfaces!Ymirr-VertexCalc!Ymirr)+INDIRECT("VertexCalc!Z"&amp;Local)*(Interfaces!Zmirr-VertexCalc!Zmirr))</f>
      </c>
      <c r="L23" s="87">
        <f ca="1">IF(OR(Flag="Ignore",Flag="Det",Flag="Hole"),"",(INDIRECT("VertexCalc!X"&amp;Local)*Interfaces!Xnorm+INDIRECT("VertexCalc!Y"&amp;Local)*Interfaces!Ynorm+INDIRECT("VertexCalc!Z"&amp;Local)*Interfaces!Znorm))</f>
      </c>
      <c r="M23" s="87">
        <f ca="1">IF(OR(Flag="Ignore",Flag="Det",Flag="Hole"),"",(INDIRECT("VertexCalc!X"&amp;Local)*Interfaces!Xnorm+INDIRECT("VertexCalc!Y"&amp;Local)*Interfaces!Ynorm+INDIRECT("VertexCalc!Z"&amp;Local)*Interfaces!Znorm))</f>
      </c>
      <c r="N23" s="87">
        <f ca="1">IF(OR(Flag="Ignore",Flag="Det",Flag="Hole"),"",(INDIRECT("VertexCalc!X"&amp;Local)*Interfaces!Xnorm+INDIRECT("VertexCalc!Y"&amp;Local)*Interfaces!Ynorm+INDIRECT("VertexCalc!Z"&amp;Local)*Interfaces!Znorm))</f>
      </c>
      <c r="O23" s="86">
        <f ca="1" t="shared" si="3"/>
      </c>
      <c r="P23" s="87">
        <f ca="1" t="shared" si="3"/>
      </c>
      <c r="Q23" s="88">
        <f ca="1" t="shared" si="3"/>
      </c>
      <c r="R23" s="87">
        <f ca="1">IF(OR(Flag="Ignore",Flag="Det",Flag="Hole"),"",INDIRECT("VertexCalc!X"&amp;Local)*Interfaces!Xsag+INDIRECT("VertexCalc!Y"&amp;Local)*Interfaces!Ysag+INDIRECT("VertexCalc!Z"&amp;Local)*Interfaces!Zsag)</f>
      </c>
      <c r="S23" s="87">
        <f ca="1">IF(OR(Flag="Ignore",Flag="Det",Flag="Hole"),"",INDIRECT("VertexCalc!X"&amp;Local)*Interfaces!Xsag+INDIRECT("VertexCalc!Y"&amp;Local)*Interfaces!Ysag+INDIRECT("VertexCalc!Z"&amp;Local)*Interfaces!Zsag)</f>
      </c>
      <c r="T23" s="87">
        <f ca="1">IF(OR(Flag="Ignore",Flag="Det",Flag="Hole"),"",INDIRECT("VertexCalc!X"&amp;Local)*Interfaces!Xsag+INDIRECT("VertexCalc!Y"&amp;Local)*Interfaces!Ysag+INDIRECT("VertexCalc!Z"&amp;Local)*Interfaces!Zsag)</f>
      </c>
      <c r="U23" s="86">
        <f ca="1" t="shared" si="4"/>
      </c>
      <c r="V23" s="87">
        <f ca="1" t="shared" si="4"/>
      </c>
      <c r="W23" s="88">
        <f ca="1" t="shared" si="4"/>
      </c>
      <c r="X23" s="20">
        <f t="shared" si="2"/>
      </c>
      <c r="Y23" s="19" t="s">
        <v>98</v>
      </c>
    </row>
    <row r="24" spans="3:25" ht="12.75">
      <c r="C24" s="10" t="s">
        <v>502</v>
      </c>
      <c r="D24" s="11" t="s">
        <v>503</v>
      </c>
      <c r="E24" s="11" t="s">
        <v>528</v>
      </c>
      <c r="F24" s="12"/>
      <c r="G24" s="12">
        <v>1</v>
      </c>
      <c r="H24" s="11"/>
      <c r="I24" s="90">
        <f ca="1">IF(OR(Flag="Ignore",Flag="Det",Flag="Hole"),"",INDIRECT("VertexCalc!X"&amp;Local)*(Interfaces!Xmirr-VertexCalc!Xmirr)+INDIRECT("VertexCalc!Y"&amp;Local)*(Interfaces!Ymirr-VertexCalc!Ymirr)+INDIRECT("VertexCalc!Z"&amp;Local)*(Interfaces!Zmirr-VertexCalc!Zmirr))</f>
        <v>0</v>
      </c>
      <c r="J24" s="91">
        <f ca="1">IF(OR(Flag="Ignore",Flag="Det",Flag="Hole"),"",INDIRECT("VertexCalc!X"&amp;Local)*(Interfaces!Xmirr-VertexCalc!Xmirr)+INDIRECT("VertexCalc!Y"&amp;Local)*(Interfaces!Ymirr-VertexCalc!Ymirr)+INDIRECT("VertexCalc!Z"&amp;Local)*(Interfaces!Zmirr-VertexCalc!Zmirr))</f>
        <v>0</v>
      </c>
      <c r="K24" s="92">
        <f ca="1">IF(OR(Flag="Ignore",Flag="Det",Flag="Hole"),"",INDIRECT("VertexCalc!X"&amp;Local)*(Interfaces!Xmirr-VertexCalc!Xmirr)+INDIRECT("VertexCalc!Y"&amp;Local)*(Interfaces!Ymirr-VertexCalc!Ymirr)+INDIRECT("VertexCalc!Z"&amp;Local)*(Interfaces!Zmirr-VertexCalc!Zmirr))</f>
        <v>0</v>
      </c>
      <c r="L24" s="91">
        <f ca="1">IF(OR(Flag="Ignore",Flag="Det",Flag="Hole"),"",(INDIRECT("VertexCalc!X"&amp;Local)*Interfaces!Xnorm+INDIRECT("VertexCalc!Y"&amp;Local)*Interfaces!Ynorm+INDIRECT("VertexCalc!Z"&amp;Local)*Interfaces!Znorm))</f>
        <v>0.9999999999999999</v>
      </c>
      <c r="M24" s="91">
        <f ca="1">IF(OR(Flag="Ignore",Flag="Det",Flag="Hole"),"",(INDIRECT("VertexCalc!X"&amp;Local)*Interfaces!Xnorm+INDIRECT("VertexCalc!Y"&amp;Local)*Interfaces!Ynorm+INDIRECT("VertexCalc!Z"&amp;Local)*Interfaces!Znorm))</f>
        <v>6.938893903907228E-17</v>
      </c>
      <c r="N24" s="91">
        <f ca="1">IF(OR(Flag="Ignore",Flag="Det",Flag="Hole"),"",(INDIRECT("VertexCalc!X"&amp;Local)*Interfaces!Xnorm+INDIRECT("VertexCalc!Y"&amp;Local)*Interfaces!Ynorm+INDIRECT("VertexCalc!Z"&amp;Local)*Interfaces!Znorm))</f>
        <v>0</v>
      </c>
      <c r="O24" s="90">
        <f ca="1" t="shared" si="3"/>
        <v>-6.971070059254094</v>
      </c>
      <c r="P24" s="91">
        <f ca="1" t="shared" si="3"/>
        <v>-4.837151553786844E-16</v>
      </c>
      <c r="Q24" s="92">
        <f ca="1" t="shared" si="3"/>
        <v>0</v>
      </c>
      <c r="R24" s="91">
        <f ca="1">IF(OR(Flag="Ignore",Flag="Det",Flag="Hole"),"",INDIRECT("VertexCalc!X"&amp;Local)*Interfaces!Xsag+INDIRECT("VertexCalc!Y"&amp;Local)*Interfaces!Ysag+INDIRECT("VertexCalc!Z"&amp;Local)*Interfaces!Zsag)</f>
        <v>6.938893903907228E-17</v>
      </c>
      <c r="S24" s="91">
        <f ca="1">IF(OR(Flag="Ignore",Flag="Det",Flag="Hole"),"",INDIRECT("VertexCalc!X"&amp;Local)*Interfaces!Xsag+INDIRECT("VertexCalc!Y"&amp;Local)*Interfaces!Ysag+INDIRECT("VertexCalc!Z"&amp;Local)*Interfaces!Zsag)</f>
        <v>0.9999999999999998</v>
      </c>
      <c r="T24" s="91">
        <f ca="1">IF(OR(Flag="Ignore",Flag="Det",Flag="Hole"),"",INDIRECT("VertexCalc!X"&amp;Local)*Interfaces!Xsag+INDIRECT("VertexCalc!Y"&amp;Local)*Interfaces!Ysag+INDIRECT("VertexCalc!Z"&amp;Local)*Interfaces!Zsag)</f>
        <v>-5.551115123125783E-17</v>
      </c>
      <c r="U24" s="90">
        <f ca="1" t="shared" si="4"/>
        <v>-6.971070059254093</v>
      </c>
      <c r="V24" s="91">
        <f ca="1" t="shared" si="4"/>
        <v>11.95040581586416</v>
      </c>
      <c r="W24" s="92">
        <f ca="1" t="shared" si="4"/>
        <v>-6.633807845193386E-16</v>
      </c>
      <c r="X24" s="12">
        <f t="shared" si="2"/>
        <v>89.99999999999999</v>
      </c>
      <c r="Y24" s="122" t="s">
        <v>503</v>
      </c>
    </row>
    <row r="25" spans="3:25" ht="12.75">
      <c r="C25" s="18"/>
      <c r="D25" s="19" t="s">
        <v>504</v>
      </c>
      <c r="E25" s="19" t="s">
        <v>528</v>
      </c>
      <c r="F25" s="20"/>
      <c r="G25" s="20"/>
      <c r="H25" s="19" t="s">
        <v>157</v>
      </c>
      <c r="I25" s="86">
        <f ca="1">IF(OR(Flag="Ignore",Flag="Det",Flag="Hole"),"",INDIRECT("VertexCalc!X"&amp;Local)*(Interfaces!Xmirr-VertexCalc!Xmirr)+INDIRECT("VertexCalc!Y"&amp;Local)*(Interfaces!Ymirr-VertexCalc!Ymirr)+INDIRECT("VertexCalc!Z"&amp;Local)*(Interfaces!Zmirr-VertexCalc!Zmirr))</f>
      </c>
      <c r="J25" s="87">
        <f ca="1">IF(OR(Flag="Ignore",Flag="Det",Flag="Hole"),"",INDIRECT("VertexCalc!X"&amp;Local)*(Interfaces!Xmirr-VertexCalc!Xmirr)+INDIRECT("VertexCalc!Y"&amp;Local)*(Interfaces!Ymirr-VertexCalc!Ymirr)+INDIRECT("VertexCalc!Z"&amp;Local)*(Interfaces!Zmirr-VertexCalc!Zmirr))</f>
      </c>
      <c r="K25" s="88">
        <f ca="1">IF(OR(Flag="Ignore",Flag="Det",Flag="Hole"),"",INDIRECT("VertexCalc!X"&amp;Local)*(Interfaces!Xmirr-VertexCalc!Xmirr)+INDIRECT("VertexCalc!Y"&amp;Local)*(Interfaces!Ymirr-VertexCalc!Ymirr)+INDIRECT("VertexCalc!Z"&amp;Local)*(Interfaces!Zmirr-VertexCalc!Zmirr))</f>
      </c>
      <c r="L25" s="87">
        <f ca="1">IF(OR(Flag="Ignore",Flag="Det",Flag="Hole"),"",(INDIRECT("VertexCalc!X"&amp;Local)*Interfaces!Xnorm+INDIRECT("VertexCalc!Y"&amp;Local)*Interfaces!Ynorm+INDIRECT("VertexCalc!Z"&amp;Local)*Interfaces!Znorm))</f>
      </c>
      <c r="M25" s="87">
        <f ca="1">IF(OR(Flag="Ignore",Flag="Det",Flag="Hole"),"",(INDIRECT("VertexCalc!X"&amp;Local)*Interfaces!Xnorm+INDIRECT("VertexCalc!Y"&amp;Local)*Interfaces!Ynorm+INDIRECT("VertexCalc!Z"&amp;Local)*Interfaces!Znorm))</f>
      </c>
      <c r="N25" s="87">
        <f ca="1">IF(OR(Flag="Ignore",Flag="Det",Flag="Hole"),"",(INDIRECT("VertexCalc!X"&amp;Local)*Interfaces!Xnorm+INDIRECT("VertexCalc!Y"&amp;Local)*Interfaces!Ynorm+INDIRECT("VertexCalc!Z"&amp;Local)*Interfaces!Znorm))</f>
      </c>
      <c r="O25" s="86">
        <f ca="1" t="shared" si="3"/>
      </c>
      <c r="P25" s="87">
        <f ca="1" t="shared" si="3"/>
      </c>
      <c r="Q25" s="88">
        <f ca="1" t="shared" si="3"/>
      </c>
      <c r="R25" s="87">
        <f ca="1">IF(OR(Flag="Ignore",Flag="Det",Flag="Hole"),"",INDIRECT("VertexCalc!X"&amp;Local)*Interfaces!Xsag+INDIRECT("VertexCalc!Y"&amp;Local)*Interfaces!Ysag+INDIRECT("VertexCalc!Z"&amp;Local)*Interfaces!Zsag)</f>
      </c>
      <c r="S25" s="87">
        <f ca="1">IF(OR(Flag="Ignore",Flag="Det",Flag="Hole"),"",INDIRECT("VertexCalc!X"&amp;Local)*Interfaces!Xsag+INDIRECT("VertexCalc!Y"&amp;Local)*Interfaces!Ysag+INDIRECT("VertexCalc!Z"&amp;Local)*Interfaces!Zsag)</f>
      </c>
      <c r="T25" s="87">
        <f ca="1">IF(OR(Flag="Ignore",Flag="Det",Flag="Hole"),"",INDIRECT("VertexCalc!X"&amp;Local)*Interfaces!Xsag+INDIRECT("VertexCalc!Y"&amp;Local)*Interfaces!Ysag+INDIRECT("VertexCalc!Z"&amp;Local)*Interfaces!Zsag)</f>
      </c>
      <c r="U25" s="86">
        <f ca="1" t="shared" si="4"/>
      </c>
      <c r="V25" s="87">
        <f ca="1" t="shared" si="4"/>
      </c>
      <c r="W25" s="88">
        <f ca="1" t="shared" si="4"/>
      </c>
      <c r="X25" s="20">
        <f t="shared" si="2"/>
      </c>
      <c r="Y25" s="124" t="s">
        <v>504</v>
      </c>
    </row>
    <row r="26" spans="3:25" ht="12.75">
      <c r="C26" s="18"/>
      <c r="D26" s="19" t="s">
        <v>505</v>
      </c>
      <c r="E26" s="19" t="s">
        <v>528</v>
      </c>
      <c r="F26" s="20"/>
      <c r="G26" s="20">
        <v>-1</v>
      </c>
      <c r="H26" s="19"/>
      <c r="I26" s="86">
        <f ca="1">IF(OR(Flag="Ignore",Flag="Det",Flag="Hole"),"",INDIRECT("VertexCalc!X"&amp;Local)*(Interfaces!Xmirr-VertexCalc!Xmirr)+INDIRECT("VertexCalc!Y"&amp;Local)*(Interfaces!Ymirr-VertexCalc!Ymirr)+INDIRECT("VertexCalc!Z"&amp;Local)*(Interfaces!Zmirr-VertexCalc!Zmirr))</f>
        <v>0</v>
      </c>
      <c r="J26" s="87">
        <f ca="1">IF(OR(Flag="Ignore",Flag="Det",Flag="Hole"),"",INDIRECT("VertexCalc!X"&amp;Local)*(Interfaces!Xmirr-VertexCalc!Xmirr)+INDIRECT("VertexCalc!Y"&amp;Local)*(Interfaces!Ymirr-VertexCalc!Ymirr)+INDIRECT("VertexCalc!Z"&amp;Local)*(Interfaces!Zmirr-VertexCalc!Zmirr))</f>
        <v>0</v>
      </c>
      <c r="K26" s="88">
        <f ca="1">IF(OR(Flag="Ignore",Flag="Det",Flag="Hole"),"",INDIRECT("VertexCalc!X"&amp;Local)*(Interfaces!Xmirr-VertexCalc!Xmirr)+INDIRECT("VertexCalc!Y"&amp;Local)*(Interfaces!Ymirr-VertexCalc!Ymirr)+INDIRECT("VertexCalc!Z"&amp;Local)*(Interfaces!Zmirr-VertexCalc!Zmirr))</f>
        <v>0</v>
      </c>
      <c r="L26" s="87">
        <f ca="1">IF(OR(Flag="Ignore",Flag="Det",Flag="Hole"),"",(INDIRECT("VertexCalc!X"&amp;Local)*Interfaces!Xnorm+INDIRECT("VertexCalc!Y"&amp;Local)*Interfaces!Ynorm+INDIRECT("VertexCalc!Z"&amp;Local)*Interfaces!Znorm))</f>
        <v>0.9999999999999998</v>
      </c>
      <c r="M26" s="87">
        <f ca="1">IF(OR(Flag="Ignore",Flag="Det",Flag="Hole"),"",(INDIRECT("VertexCalc!X"&amp;Local)*Interfaces!Xnorm+INDIRECT("VertexCalc!Y"&amp;Local)*Interfaces!Ynorm+INDIRECT("VertexCalc!Z"&amp;Local)*Interfaces!Znorm))</f>
        <v>-6.245004513516506E-17</v>
      </c>
      <c r="N26" s="87">
        <f ca="1">IF(OR(Flag="Ignore",Flag="Det",Flag="Hole"),"",(INDIRECT("VertexCalc!X"&amp;Local)*Interfaces!Xnorm+INDIRECT("VertexCalc!Y"&amp;Local)*Interfaces!Ynorm+INDIRECT("VertexCalc!Z"&amp;Local)*Interfaces!Znorm))</f>
        <v>0</v>
      </c>
      <c r="O26" s="86">
        <f ca="1" t="shared" si="3"/>
        <v>-6.971070059254093</v>
      </c>
      <c r="P26" s="87">
        <f ca="1" t="shared" si="3"/>
        <v>4.35343639840816E-16</v>
      </c>
      <c r="Q26" s="88">
        <f ca="1" t="shared" si="3"/>
        <v>0</v>
      </c>
      <c r="R26" s="87">
        <f ca="1">IF(OR(Flag="Ignore",Flag="Det",Flag="Hole"),"",INDIRECT("VertexCalc!X"&amp;Local)*Interfaces!Xsag+INDIRECT("VertexCalc!Y"&amp;Local)*Interfaces!Ysag+INDIRECT("VertexCalc!Z"&amp;Local)*Interfaces!Zsag)</f>
        <v>-6.245004513516506E-17</v>
      </c>
      <c r="S26" s="87">
        <f ca="1">IF(OR(Flag="Ignore",Flag="Det",Flag="Hole"),"",INDIRECT("VertexCalc!X"&amp;Local)*Interfaces!Xsag+INDIRECT("VertexCalc!Y"&amp;Local)*Interfaces!Ysag+INDIRECT("VertexCalc!Z"&amp;Local)*Interfaces!Zsag)</f>
        <v>0.9999999999999999</v>
      </c>
      <c r="T26" s="87">
        <f ca="1">IF(OR(Flag="Ignore",Flag="Det",Flag="Hole"),"",INDIRECT("VertexCalc!X"&amp;Local)*Interfaces!Xsag+INDIRECT("VertexCalc!Y"&amp;Local)*Interfaces!Ysag+INDIRECT("VertexCalc!Z"&amp;Local)*Interfaces!Zsag)</f>
        <v>5.551115123125783E-17</v>
      </c>
      <c r="U26" s="86">
        <f ca="1" t="shared" si="4"/>
        <v>-6.971070059254092</v>
      </c>
      <c r="V26" s="87">
        <f ca="1" t="shared" si="4"/>
        <v>-11.95040581586416</v>
      </c>
      <c r="W26" s="88">
        <f ca="1" t="shared" si="4"/>
        <v>-6.633807845193386E-16</v>
      </c>
      <c r="X26" s="20">
        <f t="shared" si="2"/>
        <v>90.00000000000001</v>
      </c>
      <c r="Y26" s="124" t="s">
        <v>505</v>
      </c>
    </row>
    <row r="27" spans="3:25" ht="13.5" thickBot="1">
      <c r="C27" s="14"/>
      <c r="D27" s="15" t="s">
        <v>506</v>
      </c>
      <c r="E27" s="15" t="s">
        <v>528</v>
      </c>
      <c r="F27" s="16"/>
      <c r="G27" s="16">
        <v>-1</v>
      </c>
      <c r="H27" s="15"/>
      <c r="I27" s="93">
        <f ca="1">IF(OR(Flag="Ignore",Flag="Det",Flag="Hole"),"",INDIRECT("VertexCalc!X"&amp;Local)*(Interfaces!Xmirr-VertexCalc!Xmirr)+INDIRECT("VertexCalc!Y"&amp;Local)*(Interfaces!Ymirr-VertexCalc!Ymirr)+INDIRECT("VertexCalc!Z"&amp;Local)*(Interfaces!Zmirr-VertexCalc!Zmirr))</f>
        <v>0</v>
      </c>
      <c r="J27" s="94">
        <f ca="1">IF(OR(Flag="Ignore",Flag="Det",Flag="Hole"),"",INDIRECT("VertexCalc!X"&amp;Local)*(Interfaces!Xmirr-VertexCalc!Xmirr)+INDIRECT("VertexCalc!Y"&amp;Local)*(Interfaces!Ymirr-VertexCalc!Ymirr)+INDIRECT("VertexCalc!Z"&amp;Local)*(Interfaces!Zmirr-VertexCalc!Zmirr))</f>
        <v>0</v>
      </c>
      <c r="K27" s="95">
        <f ca="1">IF(OR(Flag="Ignore",Flag="Det",Flag="Hole"),"",INDIRECT("VertexCalc!X"&amp;Local)*(Interfaces!Xmirr-VertexCalc!Xmirr)+INDIRECT("VertexCalc!Y"&amp;Local)*(Interfaces!Ymirr-VertexCalc!Ymirr)+INDIRECT("VertexCalc!Z"&amp;Local)*(Interfaces!Zmirr-VertexCalc!Zmirr))</f>
        <v>0</v>
      </c>
      <c r="L27" s="94">
        <f ca="1">IF(OR(Flag="Ignore",Flag="Det",Flag="Hole"),"",(INDIRECT("VertexCalc!X"&amp;Local)*Interfaces!Xnorm+INDIRECT("VertexCalc!Y"&amp;Local)*Interfaces!Ynorm+INDIRECT("VertexCalc!Z"&amp;Local)*Interfaces!Znorm))</f>
        <v>0.9999999999999999</v>
      </c>
      <c r="M27" s="94">
        <f ca="1">IF(OR(Flag="Ignore",Flag="Det",Flag="Hole"),"",(INDIRECT("VertexCalc!X"&amp;Local)*Interfaces!Xnorm+INDIRECT("VertexCalc!Y"&amp;Local)*Interfaces!Ynorm+INDIRECT("VertexCalc!Z"&amp;Local)*Interfaces!Znorm))</f>
        <v>0</v>
      </c>
      <c r="N27" s="94">
        <f ca="1">IF(OR(Flag="Ignore",Flag="Det",Flag="Hole"),"",(INDIRECT("VertexCalc!X"&amp;Local)*Interfaces!Xnorm+INDIRECT("VertexCalc!Y"&amp;Local)*Interfaces!Ynorm+INDIRECT("VertexCalc!Z"&amp;Local)*Interfaces!Znorm))</f>
        <v>-2.7755575615628914E-17</v>
      </c>
      <c r="O27" s="93">
        <f ca="1" t="shared" si="3"/>
        <v>-6.971070059254094</v>
      </c>
      <c r="P27" s="94">
        <f ca="1" t="shared" si="3"/>
        <v>0</v>
      </c>
      <c r="Q27" s="95">
        <f ca="1" t="shared" si="3"/>
        <v>1.9348606215147377E-16</v>
      </c>
      <c r="R27" s="94">
        <f ca="1">IF(OR(Flag="Ignore",Flag="Det",Flag="Hole"),"",INDIRECT("VertexCalc!X"&amp;Local)*Interfaces!Xsag+INDIRECT("VertexCalc!Y"&amp;Local)*Interfaces!Ysag+INDIRECT("VertexCalc!Z"&amp;Local)*Interfaces!Zsag)</f>
        <v>0</v>
      </c>
      <c r="S27" s="94">
        <f ca="1">IF(OR(Flag="Ignore",Flag="Det",Flag="Hole"),"",INDIRECT("VertexCalc!X"&amp;Local)*Interfaces!Xsag+INDIRECT("VertexCalc!Y"&amp;Local)*Interfaces!Ysag+INDIRECT("VertexCalc!Z"&amp;Local)*Interfaces!Zsag)</f>
        <v>0.9999999999999999</v>
      </c>
      <c r="T27" s="94">
        <f ca="1">IF(OR(Flag="Ignore",Flag="Det",Flag="Hole"),"",INDIRECT("VertexCalc!X"&amp;Local)*Interfaces!Xsag+INDIRECT("VertexCalc!Y"&amp;Local)*Interfaces!Ysag+INDIRECT("VertexCalc!Z"&amp;Local)*Interfaces!Zsag)</f>
        <v>1.3877787807814457E-17</v>
      </c>
      <c r="U27" s="93">
        <f ca="1" t="shared" si="4"/>
        <v>-6.971070059254094</v>
      </c>
      <c r="V27" s="94">
        <f ca="1" t="shared" si="4"/>
        <v>-11.95040581586416</v>
      </c>
      <c r="W27" s="95">
        <f ca="1" t="shared" si="4"/>
        <v>2.7640866021639124E-17</v>
      </c>
      <c r="X27" s="16">
        <f t="shared" si="2"/>
        <v>90</v>
      </c>
      <c r="Y27" s="123" t="s">
        <v>506</v>
      </c>
    </row>
    <row r="28" spans="3:25" ht="12.75">
      <c r="C28" s="10" t="s">
        <v>507</v>
      </c>
      <c r="D28" s="11" t="s">
        <v>508</v>
      </c>
      <c r="E28" s="11" t="s">
        <v>528</v>
      </c>
      <c r="F28" s="12"/>
      <c r="G28" s="12"/>
      <c r="H28" s="11" t="s">
        <v>157</v>
      </c>
      <c r="I28" s="90">
        <f ca="1">IF(OR(Flag="Ignore",Flag="Det",Flag="Hole"),"",INDIRECT("VertexCalc!X"&amp;Local)*(Interfaces!Xmirr-VertexCalc!Xmirr)+INDIRECT("VertexCalc!Y"&amp;Local)*(Interfaces!Ymirr-VertexCalc!Ymirr)+INDIRECT("VertexCalc!Z"&amp;Local)*(Interfaces!Zmirr-VertexCalc!Zmirr))</f>
      </c>
      <c r="J28" s="91">
        <f ca="1">IF(OR(Flag="Ignore",Flag="Det",Flag="Hole"),"",INDIRECT("VertexCalc!X"&amp;Local)*(Interfaces!Xmirr-VertexCalc!Xmirr)+INDIRECT("VertexCalc!Y"&amp;Local)*(Interfaces!Ymirr-VertexCalc!Ymirr)+INDIRECT("VertexCalc!Z"&amp;Local)*(Interfaces!Zmirr-VertexCalc!Zmirr))</f>
      </c>
      <c r="K28" s="92">
        <f ca="1">IF(OR(Flag="Ignore",Flag="Det",Flag="Hole"),"",INDIRECT("VertexCalc!X"&amp;Local)*(Interfaces!Xmirr-VertexCalc!Xmirr)+INDIRECT("VertexCalc!Y"&amp;Local)*(Interfaces!Ymirr-VertexCalc!Ymirr)+INDIRECT("VertexCalc!Z"&amp;Local)*(Interfaces!Zmirr-VertexCalc!Zmirr))</f>
      </c>
      <c r="L28" s="91">
        <f ca="1">IF(OR(Flag="Ignore",Flag="Det",Flag="Hole"),"",(INDIRECT("VertexCalc!X"&amp;Local)*Interfaces!Xnorm+INDIRECT("VertexCalc!Y"&amp;Local)*Interfaces!Ynorm+INDIRECT("VertexCalc!Z"&amp;Local)*Interfaces!Znorm))</f>
      </c>
      <c r="M28" s="91">
        <f ca="1">IF(OR(Flag="Ignore",Flag="Det",Flag="Hole"),"",(INDIRECT("VertexCalc!X"&amp;Local)*Interfaces!Xnorm+INDIRECT("VertexCalc!Y"&amp;Local)*Interfaces!Ynorm+INDIRECT("VertexCalc!Z"&amp;Local)*Interfaces!Znorm))</f>
      </c>
      <c r="N28" s="91">
        <f ca="1">IF(OR(Flag="Ignore",Flag="Det",Flag="Hole"),"",(INDIRECT("VertexCalc!X"&amp;Local)*Interfaces!Xnorm+INDIRECT("VertexCalc!Y"&amp;Local)*Interfaces!Ynorm+INDIRECT("VertexCalc!Z"&amp;Local)*Interfaces!Znorm))</f>
      </c>
      <c r="O28" s="90">
        <f ca="1" t="shared" si="3"/>
      </c>
      <c r="P28" s="91">
        <f ca="1" t="shared" si="3"/>
      </c>
      <c r="Q28" s="92">
        <f ca="1" t="shared" si="3"/>
      </c>
      <c r="R28" s="91">
        <f ca="1">IF(OR(Flag="Ignore",Flag="Det",Flag="Hole"),"",INDIRECT("VertexCalc!X"&amp;Local)*Interfaces!Xsag+INDIRECT("VertexCalc!Y"&amp;Local)*Interfaces!Ysag+INDIRECT("VertexCalc!Z"&amp;Local)*Interfaces!Zsag)</f>
      </c>
      <c r="S28" s="91">
        <f ca="1">IF(OR(Flag="Ignore",Flag="Det",Flag="Hole"),"",INDIRECT("VertexCalc!X"&amp;Local)*Interfaces!Xsag+INDIRECT("VertexCalc!Y"&amp;Local)*Interfaces!Ysag+INDIRECT("VertexCalc!Z"&amp;Local)*Interfaces!Zsag)</f>
      </c>
      <c r="T28" s="91">
        <f ca="1">IF(OR(Flag="Ignore",Flag="Det",Flag="Hole"),"",INDIRECT("VertexCalc!X"&amp;Local)*Interfaces!Xsag+INDIRECT("VertexCalc!Y"&amp;Local)*Interfaces!Ysag+INDIRECT("VertexCalc!Z"&amp;Local)*Interfaces!Zsag)</f>
      </c>
      <c r="U28" s="90">
        <f ca="1" t="shared" si="4"/>
      </c>
      <c r="V28" s="91">
        <f ca="1" t="shared" si="4"/>
      </c>
      <c r="W28" s="92">
        <f ca="1" t="shared" si="4"/>
      </c>
      <c r="X28" s="12">
        <f t="shared" si="2"/>
      </c>
      <c r="Y28" s="122" t="s">
        <v>508</v>
      </c>
    </row>
    <row r="29" spans="3:25" ht="12.75">
      <c r="C29" s="18"/>
      <c r="D29" s="19" t="s">
        <v>509</v>
      </c>
      <c r="E29" s="19" t="s">
        <v>528</v>
      </c>
      <c r="F29" s="20"/>
      <c r="G29" s="20">
        <v>-1</v>
      </c>
      <c r="H29" s="19"/>
      <c r="I29" s="86">
        <f ca="1">IF(OR(Flag="Ignore",Flag="Det",Flag="Hole"),"",INDIRECT("VertexCalc!X"&amp;Local)*(Interfaces!Xmirr-VertexCalc!Xmirr)+INDIRECT("VertexCalc!Y"&amp;Local)*(Interfaces!Ymirr-VertexCalc!Ymirr)+INDIRECT("VertexCalc!Z"&amp;Local)*(Interfaces!Zmirr-VertexCalc!Zmirr))</f>
        <v>0</v>
      </c>
      <c r="J29" s="87">
        <f ca="1">IF(OR(Flag="Ignore",Flag="Det",Flag="Hole"),"",INDIRECT("VertexCalc!X"&amp;Local)*(Interfaces!Xmirr-VertexCalc!Xmirr)+INDIRECT("VertexCalc!Y"&amp;Local)*(Interfaces!Ymirr-VertexCalc!Ymirr)+INDIRECT("VertexCalc!Z"&amp;Local)*(Interfaces!Zmirr-VertexCalc!Zmirr))</f>
        <v>0</v>
      </c>
      <c r="K29" s="88">
        <f ca="1">IF(OR(Flag="Ignore",Flag="Det",Flag="Hole"),"",INDIRECT("VertexCalc!X"&amp;Local)*(Interfaces!Xmirr-VertexCalc!Xmirr)+INDIRECT("VertexCalc!Y"&amp;Local)*(Interfaces!Ymirr-VertexCalc!Ymirr)+INDIRECT("VertexCalc!Z"&amp;Local)*(Interfaces!Zmirr-VertexCalc!Zmirr))</f>
        <v>0</v>
      </c>
      <c r="L29" s="87">
        <f ca="1">IF(OR(Flag="Ignore",Flag="Det",Flag="Hole"),"",(INDIRECT("VertexCalc!X"&amp;Local)*Interfaces!Xnorm+INDIRECT("VertexCalc!Y"&amp;Local)*Interfaces!Ynorm+INDIRECT("VertexCalc!Z"&amp;Local)*Interfaces!Znorm))</f>
        <v>1</v>
      </c>
      <c r="M29" s="87">
        <f ca="1">IF(OR(Flag="Ignore",Flag="Det",Flag="Hole"),"",(INDIRECT("VertexCalc!X"&amp;Local)*Interfaces!Xnorm+INDIRECT("VertexCalc!Y"&amp;Local)*Interfaces!Ynorm+INDIRECT("VertexCalc!Z"&amp;Local)*Interfaces!Znorm))</f>
        <v>0</v>
      </c>
      <c r="N29" s="87">
        <f ca="1">IF(OR(Flag="Ignore",Flag="Det",Flag="Hole"),"",(INDIRECT("VertexCalc!X"&amp;Local)*Interfaces!Xnorm+INDIRECT("VertexCalc!Y"&amp;Local)*Interfaces!Ynorm+INDIRECT("VertexCalc!Z"&amp;Local)*Interfaces!Znorm))</f>
        <v>0</v>
      </c>
      <c r="O29" s="86">
        <f ca="1" t="shared" si="3"/>
        <v>-6.971070059254095</v>
      </c>
      <c r="P29" s="87">
        <f ca="1" t="shared" si="3"/>
        <v>0</v>
      </c>
      <c r="Q29" s="88">
        <f ca="1" t="shared" si="3"/>
        <v>0</v>
      </c>
      <c r="R29" s="87">
        <f ca="1">IF(OR(Flag="Ignore",Flag="Det",Flag="Hole"),"",INDIRECT("VertexCalc!X"&amp;Local)*Interfaces!Xsag+INDIRECT("VertexCalc!Y"&amp;Local)*Interfaces!Ysag+INDIRECT("VertexCalc!Z"&amp;Local)*Interfaces!Zsag)</f>
        <v>0</v>
      </c>
      <c r="S29" s="87">
        <f ca="1">IF(OR(Flag="Ignore",Flag="Det",Flag="Hole"),"",INDIRECT("VertexCalc!X"&amp;Local)*Interfaces!Xsag+INDIRECT("VertexCalc!Y"&amp;Local)*Interfaces!Ysag+INDIRECT("VertexCalc!Z"&amp;Local)*Interfaces!Zsag)</f>
        <v>1</v>
      </c>
      <c r="T29" s="87">
        <f ca="1">IF(OR(Flag="Ignore",Flag="Det",Flag="Hole"),"",INDIRECT("VertexCalc!X"&amp;Local)*Interfaces!Xsag+INDIRECT("VertexCalc!Y"&amp;Local)*Interfaces!Ysag+INDIRECT("VertexCalc!Z"&amp;Local)*Interfaces!Zsag)</f>
        <v>0</v>
      </c>
      <c r="U29" s="86">
        <f ca="1" t="shared" si="4"/>
        <v>-6.971070059254095</v>
      </c>
      <c r="V29" s="87">
        <f ca="1" t="shared" si="4"/>
        <v>-11.950405815864162</v>
      </c>
      <c r="W29" s="88">
        <f ca="1" t="shared" si="4"/>
        <v>0</v>
      </c>
      <c r="X29" s="20">
        <f t="shared" si="2"/>
        <v>90</v>
      </c>
      <c r="Y29" s="124" t="s">
        <v>509</v>
      </c>
    </row>
    <row r="30" spans="3:25" ht="12.75">
      <c r="C30" s="18"/>
      <c r="D30" s="19" t="s">
        <v>510</v>
      </c>
      <c r="E30" s="19" t="s">
        <v>528</v>
      </c>
      <c r="F30" s="20"/>
      <c r="G30" s="20"/>
      <c r="H30" s="19" t="s">
        <v>126</v>
      </c>
      <c r="I30" s="86">
        <f ca="1">IF(OR(Flag="Ignore",Flag="Det",Flag="Hole"),"",INDIRECT("VertexCalc!X"&amp;Local)*(Interfaces!Xmirr-VertexCalc!Xmirr)+INDIRECT("VertexCalc!Y"&amp;Local)*(Interfaces!Ymirr-VertexCalc!Ymirr)+INDIRECT("VertexCalc!Z"&amp;Local)*(Interfaces!Zmirr-VertexCalc!Zmirr))</f>
      </c>
      <c r="J30" s="87">
        <f ca="1">IF(OR(Flag="Ignore",Flag="Det",Flag="Hole"),"",INDIRECT("VertexCalc!X"&amp;Local)*(Interfaces!Xmirr-VertexCalc!Xmirr)+INDIRECT("VertexCalc!Y"&amp;Local)*(Interfaces!Ymirr-VertexCalc!Ymirr)+INDIRECT("VertexCalc!Z"&amp;Local)*(Interfaces!Zmirr-VertexCalc!Zmirr))</f>
      </c>
      <c r="K30" s="88">
        <f ca="1">IF(OR(Flag="Ignore",Flag="Det",Flag="Hole"),"",INDIRECT("VertexCalc!X"&amp;Local)*(Interfaces!Xmirr-VertexCalc!Xmirr)+INDIRECT("VertexCalc!Y"&amp;Local)*(Interfaces!Ymirr-VertexCalc!Ymirr)+INDIRECT("VertexCalc!Z"&amp;Local)*(Interfaces!Zmirr-VertexCalc!Zmirr))</f>
      </c>
      <c r="L30" s="87">
        <f ca="1">IF(OR(Flag="Ignore",Flag="Det",Flag="Hole"),"",(INDIRECT("VertexCalc!X"&amp;Local)*Interfaces!Xnorm+INDIRECT("VertexCalc!Y"&amp;Local)*Interfaces!Ynorm+INDIRECT("VertexCalc!Z"&amp;Local)*Interfaces!Znorm))</f>
      </c>
      <c r="M30" s="87">
        <f ca="1">IF(OR(Flag="Ignore",Flag="Det",Flag="Hole"),"",(INDIRECT("VertexCalc!X"&amp;Local)*Interfaces!Xnorm+INDIRECT("VertexCalc!Y"&amp;Local)*Interfaces!Ynorm+INDIRECT("VertexCalc!Z"&amp;Local)*Interfaces!Znorm))</f>
      </c>
      <c r="N30" s="87">
        <f ca="1">IF(OR(Flag="Ignore",Flag="Det",Flag="Hole"),"",(INDIRECT("VertexCalc!X"&amp;Local)*Interfaces!Xnorm+INDIRECT("VertexCalc!Y"&amp;Local)*Interfaces!Ynorm+INDIRECT("VertexCalc!Z"&amp;Local)*Interfaces!Znorm))</f>
      </c>
      <c r="O30" s="86">
        <f ca="1" t="shared" si="3"/>
      </c>
      <c r="P30" s="87">
        <f ca="1" t="shared" si="3"/>
      </c>
      <c r="Q30" s="88">
        <f ca="1" t="shared" si="3"/>
      </c>
      <c r="R30" s="87">
        <f ca="1">IF(OR(Flag="Ignore",Flag="Det",Flag="Hole"),"",INDIRECT("VertexCalc!X"&amp;Local)*Interfaces!Xsag+INDIRECT("VertexCalc!Y"&amp;Local)*Interfaces!Ysag+INDIRECT("VertexCalc!Z"&amp;Local)*Interfaces!Zsag)</f>
      </c>
      <c r="S30" s="87">
        <f ca="1">IF(OR(Flag="Ignore",Flag="Det",Flag="Hole"),"",INDIRECT("VertexCalc!X"&amp;Local)*Interfaces!Xsag+INDIRECT("VertexCalc!Y"&amp;Local)*Interfaces!Ysag+INDIRECT("VertexCalc!Z"&amp;Local)*Interfaces!Zsag)</f>
      </c>
      <c r="T30" s="87">
        <f ca="1">IF(OR(Flag="Ignore",Flag="Det",Flag="Hole"),"",INDIRECT("VertexCalc!X"&amp;Local)*Interfaces!Xsag+INDIRECT("VertexCalc!Y"&amp;Local)*Interfaces!Ysag+INDIRECT("VertexCalc!Z"&amp;Local)*Interfaces!Zsag)</f>
      </c>
      <c r="U30" s="86">
        <f ca="1" t="shared" si="4"/>
      </c>
      <c r="V30" s="87">
        <f ca="1" t="shared" si="4"/>
      </c>
      <c r="W30" s="88">
        <f ca="1" t="shared" si="4"/>
      </c>
      <c r="X30" s="20">
        <f t="shared" si="2"/>
      </c>
      <c r="Y30" s="124" t="s">
        <v>510</v>
      </c>
    </row>
    <row r="31" spans="3:25" ht="12.75">
      <c r="C31" s="18"/>
      <c r="D31" s="19" t="s">
        <v>511</v>
      </c>
      <c r="E31" s="19" t="s">
        <v>528</v>
      </c>
      <c r="F31" s="20"/>
      <c r="G31" s="20"/>
      <c r="H31" s="19" t="s">
        <v>126</v>
      </c>
      <c r="I31" s="86">
        <f ca="1">IF(OR(Flag="Ignore",Flag="Det",Flag="Hole"),"",INDIRECT("VertexCalc!X"&amp;Local)*(Interfaces!Xmirr-VertexCalc!Xmirr)+INDIRECT("VertexCalc!Y"&amp;Local)*(Interfaces!Ymirr-VertexCalc!Ymirr)+INDIRECT("VertexCalc!Z"&amp;Local)*(Interfaces!Zmirr-VertexCalc!Zmirr))</f>
      </c>
      <c r="J31" s="87">
        <f ca="1">IF(OR(Flag="Ignore",Flag="Det",Flag="Hole"),"",INDIRECT("VertexCalc!X"&amp;Local)*(Interfaces!Xmirr-VertexCalc!Xmirr)+INDIRECT("VertexCalc!Y"&amp;Local)*(Interfaces!Ymirr-VertexCalc!Ymirr)+INDIRECT("VertexCalc!Z"&amp;Local)*(Interfaces!Zmirr-VertexCalc!Zmirr))</f>
      </c>
      <c r="K31" s="88">
        <f ca="1">IF(OR(Flag="Ignore",Flag="Det",Flag="Hole"),"",INDIRECT("VertexCalc!X"&amp;Local)*(Interfaces!Xmirr-VertexCalc!Xmirr)+INDIRECT("VertexCalc!Y"&amp;Local)*(Interfaces!Ymirr-VertexCalc!Ymirr)+INDIRECT("VertexCalc!Z"&amp;Local)*(Interfaces!Zmirr-VertexCalc!Zmirr))</f>
      </c>
      <c r="L31" s="87">
        <f ca="1">IF(OR(Flag="Ignore",Flag="Det",Flag="Hole"),"",(INDIRECT("VertexCalc!X"&amp;Local)*Interfaces!Xnorm+INDIRECT("VertexCalc!Y"&amp;Local)*Interfaces!Ynorm+INDIRECT("VertexCalc!Z"&amp;Local)*Interfaces!Znorm))</f>
      </c>
      <c r="M31" s="87">
        <f ca="1">IF(OR(Flag="Ignore",Flag="Det",Flag="Hole"),"",(INDIRECT("VertexCalc!X"&amp;Local)*Interfaces!Xnorm+INDIRECT("VertexCalc!Y"&amp;Local)*Interfaces!Ynorm+INDIRECT("VertexCalc!Z"&amp;Local)*Interfaces!Znorm))</f>
      </c>
      <c r="N31" s="87">
        <f ca="1">IF(OR(Flag="Ignore",Flag="Det",Flag="Hole"),"",(INDIRECT("VertexCalc!X"&amp;Local)*Interfaces!Xnorm+INDIRECT("VertexCalc!Y"&amp;Local)*Interfaces!Ynorm+INDIRECT("VertexCalc!Z"&amp;Local)*Interfaces!Znorm))</f>
      </c>
      <c r="O31" s="86">
        <f ca="1" t="shared" si="3"/>
      </c>
      <c r="P31" s="87">
        <f ca="1" t="shared" si="3"/>
      </c>
      <c r="Q31" s="88">
        <f ca="1" t="shared" si="3"/>
      </c>
      <c r="R31" s="87">
        <f ca="1">IF(OR(Flag="Ignore",Flag="Det",Flag="Hole"),"",INDIRECT("VertexCalc!X"&amp;Local)*Interfaces!Xsag+INDIRECT("VertexCalc!Y"&amp;Local)*Interfaces!Ysag+INDIRECT("VertexCalc!Z"&amp;Local)*Interfaces!Zsag)</f>
      </c>
      <c r="S31" s="87">
        <f ca="1">IF(OR(Flag="Ignore",Flag="Det",Flag="Hole"),"",INDIRECT("VertexCalc!X"&amp;Local)*Interfaces!Xsag+INDIRECT("VertexCalc!Y"&amp;Local)*Interfaces!Ysag+INDIRECT("VertexCalc!Z"&amp;Local)*Interfaces!Zsag)</f>
      </c>
      <c r="T31" s="87">
        <f ca="1">IF(OR(Flag="Ignore",Flag="Det",Flag="Hole"),"",INDIRECT("VertexCalc!X"&amp;Local)*Interfaces!Xsag+INDIRECT("VertexCalc!Y"&amp;Local)*Interfaces!Ysag+INDIRECT("VertexCalc!Z"&amp;Local)*Interfaces!Zsag)</f>
      </c>
      <c r="U31" s="86">
        <f ca="1" t="shared" si="4"/>
      </c>
      <c r="V31" s="87">
        <f ca="1" t="shared" si="4"/>
      </c>
      <c r="W31" s="88">
        <f ca="1" t="shared" si="4"/>
      </c>
      <c r="X31" s="20">
        <f t="shared" si="2"/>
      </c>
      <c r="Y31" s="124" t="s">
        <v>511</v>
      </c>
    </row>
    <row r="32" spans="3:25" ht="12.75">
      <c r="C32" s="18"/>
      <c r="D32" s="19" t="s">
        <v>512</v>
      </c>
      <c r="E32" s="19" t="s">
        <v>528</v>
      </c>
      <c r="F32" s="20"/>
      <c r="G32" s="20"/>
      <c r="H32" s="19" t="s">
        <v>126</v>
      </c>
      <c r="I32" s="86">
        <f ca="1">IF(OR(Flag="Ignore",Flag="Det",Flag="Hole"),"",INDIRECT("VertexCalc!X"&amp;Local)*(Interfaces!Xmirr-VertexCalc!Xmirr)+INDIRECT("VertexCalc!Y"&amp;Local)*(Interfaces!Ymirr-VertexCalc!Ymirr)+INDIRECT("VertexCalc!Z"&amp;Local)*(Interfaces!Zmirr-VertexCalc!Zmirr))</f>
      </c>
      <c r="J32" s="87">
        <f ca="1">IF(OR(Flag="Ignore",Flag="Det",Flag="Hole"),"",INDIRECT("VertexCalc!X"&amp;Local)*(Interfaces!Xmirr-VertexCalc!Xmirr)+INDIRECT("VertexCalc!Y"&amp;Local)*(Interfaces!Ymirr-VertexCalc!Ymirr)+INDIRECT("VertexCalc!Z"&amp;Local)*(Interfaces!Zmirr-VertexCalc!Zmirr))</f>
      </c>
      <c r="K32" s="88">
        <f ca="1">IF(OR(Flag="Ignore",Flag="Det",Flag="Hole"),"",INDIRECT("VertexCalc!X"&amp;Local)*(Interfaces!Xmirr-VertexCalc!Xmirr)+INDIRECT("VertexCalc!Y"&amp;Local)*(Interfaces!Ymirr-VertexCalc!Ymirr)+INDIRECT("VertexCalc!Z"&amp;Local)*(Interfaces!Zmirr-VertexCalc!Zmirr))</f>
      </c>
      <c r="L32" s="87">
        <f ca="1">IF(OR(Flag="Ignore",Flag="Det",Flag="Hole"),"",(INDIRECT("VertexCalc!X"&amp;Local)*Interfaces!Xnorm+INDIRECT("VertexCalc!Y"&amp;Local)*Interfaces!Ynorm+INDIRECT("VertexCalc!Z"&amp;Local)*Interfaces!Znorm))</f>
      </c>
      <c r="M32" s="87">
        <f ca="1">IF(OR(Flag="Ignore",Flag="Det",Flag="Hole"),"",(INDIRECT("VertexCalc!X"&amp;Local)*Interfaces!Xnorm+INDIRECT("VertexCalc!Y"&amp;Local)*Interfaces!Ynorm+INDIRECT("VertexCalc!Z"&amp;Local)*Interfaces!Znorm))</f>
      </c>
      <c r="N32" s="87">
        <f ca="1">IF(OR(Flag="Ignore",Flag="Det",Flag="Hole"),"",(INDIRECT("VertexCalc!X"&amp;Local)*Interfaces!Xnorm+INDIRECT("VertexCalc!Y"&amp;Local)*Interfaces!Ynorm+INDIRECT("VertexCalc!Z"&amp;Local)*Interfaces!Znorm))</f>
      </c>
      <c r="O32" s="86">
        <f ca="1" t="shared" si="3"/>
      </c>
      <c r="P32" s="87">
        <f ca="1" t="shared" si="3"/>
      </c>
      <c r="Q32" s="88">
        <f ca="1" t="shared" si="3"/>
      </c>
      <c r="R32" s="87">
        <f ca="1">IF(OR(Flag="Ignore",Flag="Det",Flag="Hole"),"",INDIRECT("VertexCalc!X"&amp;Local)*Interfaces!Xsag+INDIRECT("VertexCalc!Y"&amp;Local)*Interfaces!Ysag+INDIRECT("VertexCalc!Z"&amp;Local)*Interfaces!Zsag)</f>
      </c>
      <c r="S32" s="87">
        <f ca="1">IF(OR(Flag="Ignore",Flag="Det",Flag="Hole"),"",INDIRECT("VertexCalc!X"&amp;Local)*Interfaces!Xsag+INDIRECT("VertexCalc!Y"&amp;Local)*Interfaces!Ysag+INDIRECT("VertexCalc!Z"&amp;Local)*Interfaces!Zsag)</f>
      </c>
      <c r="T32" s="87">
        <f ca="1">IF(OR(Flag="Ignore",Flag="Det",Flag="Hole"),"",INDIRECT("VertexCalc!X"&amp;Local)*Interfaces!Xsag+INDIRECT("VertexCalc!Y"&amp;Local)*Interfaces!Ysag+INDIRECT("VertexCalc!Z"&amp;Local)*Interfaces!Zsag)</f>
      </c>
      <c r="U32" s="86">
        <f ca="1" t="shared" si="4"/>
      </c>
      <c r="V32" s="87">
        <f ca="1" t="shared" si="4"/>
      </c>
      <c r="W32" s="88">
        <f ca="1" t="shared" si="4"/>
      </c>
      <c r="X32" s="20">
        <f t="shared" si="2"/>
      </c>
      <c r="Y32" s="124" t="s">
        <v>512</v>
      </c>
    </row>
    <row r="33" spans="3:25" ht="12.75">
      <c r="C33" s="18"/>
      <c r="D33" s="19" t="s">
        <v>513</v>
      </c>
      <c r="E33" s="19" t="s">
        <v>528</v>
      </c>
      <c r="F33" s="20"/>
      <c r="G33" s="20">
        <v>-1</v>
      </c>
      <c r="H33" s="19"/>
      <c r="I33" s="86">
        <f ca="1">IF(OR(Flag="Ignore",Flag="Det",Flag="Hole"),"",INDIRECT("VertexCalc!X"&amp;Local)*(Interfaces!Xmirr-VertexCalc!Xmirr)+INDIRECT("VertexCalc!Y"&amp;Local)*(Interfaces!Ymirr-VertexCalc!Ymirr)+INDIRECT("VertexCalc!Z"&amp;Local)*(Interfaces!Zmirr-VertexCalc!Zmirr))</f>
        <v>0</v>
      </c>
      <c r="J33" s="87">
        <f ca="1">IF(OR(Flag="Ignore",Flag="Det",Flag="Hole"),"",INDIRECT("VertexCalc!X"&amp;Local)*(Interfaces!Xmirr-VertexCalc!Xmirr)+INDIRECT("VertexCalc!Y"&amp;Local)*(Interfaces!Ymirr-VertexCalc!Ymirr)+INDIRECT("VertexCalc!Z"&amp;Local)*(Interfaces!Zmirr-VertexCalc!Zmirr))</f>
        <v>0</v>
      </c>
      <c r="K33" s="88">
        <f ca="1">IF(OR(Flag="Ignore",Flag="Det",Flag="Hole"),"",INDIRECT("VertexCalc!X"&amp;Local)*(Interfaces!Xmirr-VertexCalc!Xmirr)+INDIRECT("VertexCalc!Y"&amp;Local)*(Interfaces!Ymirr-VertexCalc!Ymirr)+INDIRECT("VertexCalc!Z"&amp;Local)*(Interfaces!Zmirr-VertexCalc!Zmirr))</f>
        <v>0</v>
      </c>
      <c r="L33" s="87">
        <f ca="1">IF(OR(Flag="Ignore",Flag="Det",Flag="Hole"),"",(INDIRECT("VertexCalc!X"&amp;Local)*Interfaces!Xnorm+INDIRECT("VertexCalc!Y"&amp;Local)*Interfaces!Ynorm+INDIRECT("VertexCalc!Z"&amp;Local)*Interfaces!Znorm))</f>
        <v>1</v>
      </c>
      <c r="M33" s="87">
        <f ca="1">IF(OR(Flag="Ignore",Flag="Det",Flag="Hole"),"",(INDIRECT("VertexCalc!X"&amp;Local)*Interfaces!Xnorm+INDIRECT("VertexCalc!Y"&amp;Local)*Interfaces!Ynorm+INDIRECT("VertexCalc!Z"&amp;Local)*Interfaces!Znorm))</f>
        <v>0</v>
      </c>
      <c r="N33" s="87">
        <f ca="1">IF(OR(Flag="Ignore",Flag="Det",Flag="Hole"),"",(INDIRECT("VertexCalc!X"&amp;Local)*Interfaces!Xnorm+INDIRECT("VertexCalc!Y"&amp;Local)*Interfaces!Ynorm+INDIRECT("VertexCalc!Z"&amp;Local)*Interfaces!Znorm))</f>
        <v>0</v>
      </c>
      <c r="O33" s="86">
        <f ca="1" t="shared" si="3"/>
        <v>-6.971070059254095</v>
      </c>
      <c r="P33" s="87">
        <f ca="1" t="shared" si="3"/>
        <v>0</v>
      </c>
      <c r="Q33" s="88">
        <f ca="1" t="shared" si="3"/>
        <v>0</v>
      </c>
      <c r="R33" s="87">
        <f ca="1">IF(OR(Flag="Ignore",Flag="Det",Flag="Hole"),"",INDIRECT("VertexCalc!X"&amp;Local)*Interfaces!Xsag+INDIRECT("VertexCalc!Y"&amp;Local)*Interfaces!Ysag+INDIRECT("VertexCalc!Z"&amp;Local)*Interfaces!Zsag)</f>
        <v>0</v>
      </c>
      <c r="S33" s="87">
        <f ca="1">IF(OR(Flag="Ignore",Flag="Det",Flag="Hole"),"",INDIRECT("VertexCalc!X"&amp;Local)*Interfaces!Xsag+INDIRECT("VertexCalc!Y"&amp;Local)*Interfaces!Ysag+INDIRECT("VertexCalc!Z"&amp;Local)*Interfaces!Zsag)</f>
        <v>1</v>
      </c>
      <c r="T33" s="87">
        <f ca="1">IF(OR(Flag="Ignore",Flag="Det",Flag="Hole"),"",INDIRECT("VertexCalc!X"&amp;Local)*Interfaces!Xsag+INDIRECT("VertexCalc!Y"&amp;Local)*Interfaces!Ysag+INDIRECT("VertexCalc!Z"&amp;Local)*Interfaces!Zsag)</f>
        <v>0</v>
      </c>
      <c r="U33" s="86">
        <f ca="1" t="shared" si="4"/>
        <v>-6.971070059254095</v>
      </c>
      <c r="V33" s="87">
        <f ca="1" t="shared" si="4"/>
        <v>-11.950405815864162</v>
      </c>
      <c r="W33" s="88">
        <f ca="1" t="shared" si="4"/>
        <v>0</v>
      </c>
      <c r="X33" s="20">
        <f t="shared" si="2"/>
        <v>90</v>
      </c>
      <c r="Y33" s="124" t="s">
        <v>513</v>
      </c>
    </row>
    <row r="34" spans="3:25" ht="12.75">
      <c r="C34" s="18"/>
      <c r="D34" s="19" t="s">
        <v>514</v>
      </c>
      <c r="E34" s="19" t="s">
        <v>528</v>
      </c>
      <c r="F34" s="20"/>
      <c r="G34" s="20"/>
      <c r="H34" s="19" t="s">
        <v>157</v>
      </c>
      <c r="I34" s="86">
        <f ca="1">IF(OR(Flag="Ignore",Flag="Det",Flag="Hole"),"",INDIRECT("VertexCalc!X"&amp;Local)*(Interfaces!Xmirr-VertexCalc!Xmirr)+INDIRECT("VertexCalc!Y"&amp;Local)*(Interfaces!Ymirr-VertexCalc!Ymirr)+INDIRECT("VertexCalc!Z"&amp;Local)*(Interfaces!Zmirr-VertexCalc!Zmirr))</f>
      </c>
      <c r="J34" s="87">
        <f ca="1">IF(OR(Flag="Ignore",Flag="Det",Flag="Hole"),"",INDIRECT("VertexCalc!X"&amp;Local)*(Interfaces!Xmirr-VertexCalc!Xmirr)+INDIRECT("VertexCalc!Y"&amp;Local)*(Interfaces!Ymirr-VertexCalc!Ymirr)+INDIRECT("VertexCalc!Z"&amp;Local)*(Interfaces!Zmirr-VertexCalc!Zmirr))</f>
      </c>
      <c r="K34" s="88">
        <f ca="1">IF(OR(Flag="Ignore",Flag="Det",Flag="Hole"),"",INDIRECT("VertexCalc!X"&amp;Local)*(Interfaces!Xmirr-VertexCalc!Xmirr)+INDIRECT("VertexCalc!Y"&amp;Local)*(Interfaces!Ymirr-VertexCalc!Ymirr)+INDIRECT("VertexCalc!Z"&amp;Local)*(Interfaces!Zmirr-VertexCalc!Zmirr))</f>
      </c>
      <c r="L34" s="87">
        <f ca="1">IF(OR(Flag="Ignore",Flag="Det",Flag="Hole"),"",(INDIRECT("VertexCalc!X"&amp;Local)*Interfaces!Xnorm+INDIRECT("VertexCalc!Y"&amp;Local)*Interfaces!Ynorm+INDIRECT("VertexCalc!Z"&amp;Local)*Interfaces!Znorm))</f>
      </c>
      <c r="M34" s="87">
        <f ca="1">IF(OR(Flag="Ignore",Flag="Det",Flag="Hole"),"",(INDIRECT("VertexCalc!X"&amp;Local)*Interfaces!Xnorm+INDIRECT("VertexCalc!Y"&amp;Local)*Interfaces!Ynorm+INDIRECT("VertexCalc!Z"&amp;Local)*Interfaces!Znorm))</f>
      </c>
      <c r="N34" s="87">
        <f ca="1">IF(OR(Flag="Ignore",Flag="Det",Flag="Hole"),"",(INDIRECT("VertexCalc!X"&amp;Local)*Interfaces!Xnorm+INDIRECT("VertexCalc!Y"&amp;Local)*Interfaces!Ynorm+INDIRECT("VertexCalc!Z"&amp;Local)*Interfaces!Znorm))</f>
      </c>
      <c r="O34" s="86">
        <f ca="1" t="shared" si="3"/>
      </c>
      <c r="P34" s="87">
        <f ca="1" t="shared" si="3"/>
      </c>
      <c r="Q34" s="88">
        <f ca="1" t="shared" si="3"/>
      </c>
      <c r="R34" s="87">
        <f ca="1">IF(OR(Flag="Ignore",Flag="Det",Flag="Hole"),"",INDIRECT("VertexCalc!X"&amp;Local)*Interfaces!Xsag+INDIRECT("VertexCalc!Y"&amp;Local)*Interfaces!Ysag+INDIRECT("VertexCalc!Z"&amp;Local)*Interfaces!Zsag)</f>
      </c>
      <c r="S34" s="87">
        <f ca="1">IF(OR(Flag="Ignore",Flag="Det",Flag="Hole"),"",INDIRECT("VertexCalc!X"&amp;Local)*Interfaces!Xsag+INDIRECT("VertexCalc!Y"&amp;Local)*Interfaces!Ysag+INDIRECT("VertexCalc!Z"&amp;Local)*Interfaces!Zsag)</f>
      </c>
      <c r="T34" s="87">
        <f ca="1">IF(OR(Flag="Ignore",Flag="Det",Flag="Hole"),"",INDIRECT("VertexCalc!X"&amp;Local)*Interfaces!Xsag+INDIRECT("VertexCalc!Y"&amp;Local)*Interfaces!Ysag+INDIRECT("VertexCalc!Z"&amp;Local)*Interfaces!Zsag)</f>
      </c>
      <c r="U34" s="86">
        <f ca="1" t="shared" si="4"/>
      </c>
      <c r="V34" s="87">
        <f ca="1" t="shared" si="4"/>
      </c>
      <c r="W34" s="88">
        <f ca="1" t="shared" si="4"/>
      </c>
      <c r="X34" s="20">
        <f t="shared" si="2"/>
      </c>
      <c r="Y34" s="124" t="s">
        <v>514</v>
      </c>
    </row>
    <row r="35" spans="3:25" ht="12.75">
      <c r="C35" s="18"/>
      <c r="D35" s="19" t="s">
        <v>515</v>
      </c>
      <c r="E35" s="19" t="s">
        <v>528</v>
      </c>
      <c r="F35" s="20"/>
      <c r="G35" s="20">
        <v>-1</v>
      </c>
      <c r="H35" s="19"/>
      <c r="I35" s="86">
        <f ca="1">IF(OR(Flag="Ignore",Flag="Det",Flag="Hole"),"",INDIRECT("VertexCalc!X"&amp;Local)*(Interfaces!Xmirr-VertexCalc!Xmirr)+INDIRECT("VertexCalc!Y"&amp;Local)*(Interfaces!Ymirr-VertexCalc!Ymirr)+INDIRECT("VertexCalc!Z"&amp;Local)*(Interfaces!Zmirr-VertexCalc!Zmirr))</f>
        <v>0</v>
      </c>
      <c r="J35" s="87">
        <f ca="1">IF(OR(Flag="Ignore",Flag="Det",Flag="Hole"),"",INDIRECT("VertexCalc!X"&amp;Local)*(Interfaces!Xmirr-VertexCalc!Xmirr)+INDIRECT("VertexCalc!Y"&amp;Local)*(Interfaces!Ymirr-VertexCalc!Ymirr)+INDIRECT("VertexCalc!Z"&amp;Local)*(Interfaces!Zmirr-VertexCalc!Zmirr))</f>
        <v>0</v>
      </c>
      <c r="K35" s="88">
        <f ca="1">IF(OR(Flag="Ignore",Flag="Det",Flag="Hole"),"",INDIRECT("VertexCalc!X"&amp;Local)*(Interfaces!Xmirr-VertexCalc!Xmirr)+INDIRECT("VertexCalc!Y"&amp;Local)*(Interfaces!Ymirr-VertexCalc!Ymirr)+INDIRECT("VertexCalc!Z"&amp;Local)*(Interfaces!Zmirr-VertexCalc!Zmirr))</f>
        <v>0</v>
      </c>
      <c r="L35" s="87">
        <f ca="1">IF(OR(Flag="Ignore",Flag="Det",Flag="Hole"),"",(INDIRECT("VertexCalc!X"&amp;Local)*Interfaces!Xnorm+INDIRECT("VertexCalc!Y"&amp;Local)*Interfaces!Ynorm+INDIRECT("VertexCalc!Z"&amp;Local)*Interfaces!Znorm))</f>
        <v>0.9999999999999999</v>
      </c>
      <c r="M35" s="87">
        <f ca="1">IF(OR(Flag="Ignore",Flag="Det",Flag="Hole"),"",(INDIRECT("VertexCalc!X"&amp;Local)*Interfaces!Xnorm+INDIRECT("VertexCalc!Y"&amp;Local)*Interfaces!Ynorm+INDIRECT("VertexCalc!Z"&amp;Local)*Interfaces!Znorm))</f>
        <v>0</v>
      </c>
      <c r="N35" s="87">
        <f ca="1">IF(OR(Flag="Ignore",Flag="Det",Flag="Hole"),"",(INDIRECT("VertexCalc!X"&amp;Local)*Interfaces!Xnorm+INDIRECT("VertexCalc!Y"&amp;Local)*Interfaces!Ynorm+INDIRECT("VertexCalc!Z"&amp;Local)*Interfaces!Znorm))</f>
        <v>0</v>
      </c>
      <c r="O35" s="86">
        <f ca="1" t="shared" si="3"/>
        <v>-6.971070059254094</v>
      </c>
      <c r="P35" s="87">
        <f ca="1" t="shared" si="3"/>
        <v>0</v>
      </c>
      <c r="Q35" s="88">
        <f ca="1" t="shared" si="3"/>
        <v>0</v>
      </c>
      <c r="R35" s="87">
        <f ca="1">IF(OR(Flag="Ignore",Flag="Det",Flag="Hole"),"",INDIRECT("VertexCalc!X"&amp;Local)*Interfaces!Xsag+INDIRECT("VertexCalc!Y"&amp;Local)*Interfaces!Ysag+INDIRECT("VertexCalc!Z"&amp;Local)*Interfaces!Zsag)</f>
        <v>0</v>
      </c>
      <c r="S35" s="87">
        <f ca="1">IF(OR(Flag="Ignore",Flag="Det",Flag="Hole"),"",INDIRECT("VertexCalc!X"&amp;Local)*Interfaces!Xsag+INDIRECT("VertexCalc!Y"&amp;Local)*Interfaces!Ysag+INDIRECT("VertexCalc!Z"&amp;Local)*Interfaces!Zsag)</f>
        <v>0.9999999999999999</v>
      </c>
      <c r="T35" s="87">
        <f ca="1">IF(OR(Flag="Ignore",Flag="Det",Flag="Hole"),"",INDIRECT("VertexCalc!X"&amp;Local)*Interfaces!Xsag+INDIRECT("VertexCalc!Y"&amp;Local)*Interfaces!Ysag+INDIRECT("VertexCalc!Z"&amp;Local)*Interfaces!Zsag)</f>
        <v>-3.469446951953614E-18</v>
      </c>
      <c r="U35" s="86">
        <f ca="1" t="shared" si="4"/>
        <v>-6.971070059254094</v>
      </c>
      <c r="V35" s="87">
        <f ca="1" t="shared" si="4"/>
        <v>-11.95040581586416</v>
      </c>
      <c r="W35" s="88">
        <f ca="1" t="shared" si="4"/>
        <v>4.146129903245866E-17</v>
      </c>
      <c r="X35" s="20">
        <f t="shared" si="2"/>
        <v>90</v>
      </c>
      <c r="Y35" s="124" t="s">
        <v>515</v>
      </c>
    </row>
    <row r="36" spans="3:25" ht="12.75">
      <c r="C36" s="18"/>
      <c r="D36" s="19" t="s">
        <v>516</v>
      </c>
      <c r="E36" s="19" t="s">
        <v>528</v>
      </c>
      <c r="F36" s="20"/>
      <c r="G36" s="20">
        <v>-1</v>
      </c>
      <c r="H36" s="19"/>
      <c r="I36" s="86">
        <f ca="1">IF(OR(Flag="Ignore",Flag="Det",Flag="Hole"),"",INDIRECT("VertexCalc!X"&amp;Local)*(Interfaces!Xmirr-VertexCalc!Xmirr)+INDIRECT("VertexCalc!Y"&amp;Local)*(Interfaces!Ymirr-VertexCalc!Ymirr)+INDIRECT("VertexCalc!Z"&amp;Local)*(Interfaces!Zmirr-VertexCalc!Zmirr))</f>
        <v>0</v>
      </c>
      <c r="J36" s="87">
        <f ca="1">IF(OR(Flag="Ignore",Flag="Det",Flag="Hole"),"",INDIRECT("VertexCalc!X"&amp;Local)*(Interfaces!Xmirr-VertexCalc!Xmirr)+INDIRECT("VertexCalc!Y"&amp;Local)*(Interfaces!Ymirr-VertexCalc!Ymirr)+INDIRECT("VertexCalc!Z"&amp;Local)*(Interfaces!Zmirr-VertexCalc!Zmirr))</f>
        <v>0</v>
      </c>
      <c r="K36" s="88">
        <f ca="1">IF(OR(Flag="Ignore",Flag="Det",Flag="Hole"),"",INDIRECT("VertexCalc!X"&amp;Local)*(Interfaces!Xmirr-VertexCalc!Xmirr)+INDIRECT("VertexCalc!Y"&amp;Local)*(Interfaces!Ymirr-VertexCalc!Ymirr)+INDIRECT("VertexCalc!Z"&amp;Local)*(Interfaces!Zmirr-VertexCalc!Zmirr))</f>
        <v>0</v>
      </c>
      <c r="L36" s="87">
        <f ca="1">IF(OR(Flag="Ignore",Flag="Det",Flag="Hole"),"",(INDIRECT("VertexCalc!X"&amp;Local)*Interfaces!Xnorm+INDIRECT("VertexCalc!Y"&amp;Local)*Interfaces!Ynorm+INDIRECT("VertexCalc!Z"&amp;Local)*Interfaces!Znorm))</f>
        <v>0.9999999999999999</v>
      </c>
      <c r="M36" s="87">
        <f ca="1">IF(OR(Flag="Ignore",Flag="Det",Flag="Hole"),"",(INDIRECT("VertexCalc!X"&amp;Local)*Interfaces!Xnorm+INDIRECT("VertexCalc!Y"&amp;Local)*Interfaces!Ynorm+INDIRECT("VertexCalc!Z"&amp;Local)*Interfaces!Znorm))</f>
        <v>5.724587470723463E-17</v>
      </c>
      <c r="N36" s="87">
        <f ca="1">IF(OR(Flag="Ignore",Flag="Det",Flag="Hole"),"",(INDIRECT("VertexCalc!X"&amp;Local)*Interfaces!Xnorm+INDIRECT("VertexCalc!Y"&amp;Local)*Interfaces!Ynorm+INDIRECT("VertexCalc!Z"&amp;Local)*Interfaces!Znorm))</f>
        <v>0</v>
      </c>
      <c r="O36" s="86">
        <f ca="1" t="shared" si="3"/>
        <v>-6.971070059254094</v>
      </c>
      <c r="P36" s="87">
        <f ca="1" t="shared" si="3"/>
        <v>-3.9906500318741463E-16</v>
      </c>
      <c r="Q36" s="88">
        <f ca="1" t="shared" si="3"/>
        <v>0</v>
      </c>
      <c r="R36" s="87">
        <f ca="1">IF(OR(Flag="Ignore",Flag="Det",Flag="Hole"),"",INDIRECT("VertexCalc!X"&amp;Local)*Interfaces!Xsag+INDIRECT("VertexCalc!Y"&amp;Local)*Interfaces!Ysag+INDIRECT("VertexCalc!Z"&amp;Local)*Interfaces!Zsag)</f>
        <v>5.724587470723463E-17</v>
      </c>
      <c r="S36" s="87">
        <f ca="1">IF(OR(Flag="Ignore",Flag="Det",Flag="Hole"),"",INDIRECT("VertexCalc!X"&amp;Local)*Interfaces!Xsag+INDIRECT("VertexCalc!Y"&amp;Local)*Interfaces!Ysag+INDIRECT("VertexCalc!Z"&amp;Local)*Interfaces!Zsag)</f>
        <v>1</v>
      </c>
      <c r="T36" s="87">
        <f ca="1">IF(OR(Flag="Ignore",Flag="Det",Flag="Hole"),"",INDIRECT("VertexCalc!X"&amp;Local)*Interfaces!Xsag+INDIRECT("VertexCalc!Y"&amp;Local)*Interfaces!Ysag+INDIRECT("VertexCalc!Z"&amp;Local)*Interfaces!Zsag)</f>
        <v>1.3877787807814457E-17</v>
      </c>
      <c r="U36" s="86">
        <f ca="1" t="shared" si="4"/>
        <v>-6.971070059254095</v>
      </c>
      <c r="V36" s="87">
        <f ca="1" t="shared" si="4"/>
        <v>-11.950405815864162</v>
      </c>
      <c r="W36" s="88">
        <f ca="1" t="shared" si="4"/>
        <v>-1.6584519612983464E-16</v>
      </c>
      <c r="X36" s="20">
        <f t="shared" si="2"/>
        <v>89.99999999999999</v>
      </c>
      <c r="Y36" s="124" t="s">
        <v>516</v>
      </c>
    </row>
    <row r="37" spans="3:25" ht="13.5" thickBot="1">
      <c r="C37" s="14"/>
      <c r="D37" s="15" t="s">
        <v>517</v>
      </c>
      <c r="E37" s="15" t="s">
        <v>528</v>
      </c>
      <c r="F37" s="16"/>
      <c r="G37" s="16"/>
      <c r="H37" s="15" t="s">
        <v>158</v>
      </c>
      <c r="I37" s="93">
        <f ca="1">IF(OR(Flag="Ignore",Flag="Det",Flag="Hole"),"",INDIRECT("VertexCalc!X"&amp;Local)*(Interfaces!Xmirr-VertexCalc!Xmirr)+INDIRECT("VertexCalc!Y"&amp;Local)*(Interfaces!Ymirr-VertexCalc!Ymirr)+INDIRECT("VertexCalc!Z"&amp;Local)*(Interfaces!Zmirr-VertexCalc!Zmirr))</f>
      </c>
      <c r="J37" s="94">
        <f ca="1">IF(OR(Flag="Ignore",Flag="Det",Flag="Hole"),"",INDIRECT("VertexCalc!X"&amp;Local)*(Interfaces!Xmirr-VertexCalc!Xmirr)+INDIRECT("VertexCalc!Y"&amp;Local)*(Interfaces!Ymirr-VertexCalc!Ymirr)+INDIRECT("VertexCalc!Z"&amp;Local)*(Interfaces!Zmirr-VertexCalc!Zmirr))</f>
      </c>
      <c r="K37" s="95">
        <f ca="1">IF(OR(Flag="Ignore",Flag="Det",Flag="Hole"),"",INDIRECT("VertexCalc!X"&amp;Local)*(Interfaces!Xmirr-VertexCalc!Xmirr)+INDIRECT("VertexCalc!Y"&amp;Local)*(Interfaces!Ymirr-VertexCalc!Ymirr)+INDIRECT("VertexCalc!Z"&amp;Local)*(Interfaces!Zmirr-VertexCalc!Zmirr))</f>
      </c>
      <c r="L37" s="94">
        <f ca="1">IF(OR(Flag="Ignore",Flag="Det",Flag="Hole"),"",(INDIRECT("VertexCalc!X"&amp;Local)*Interfaces!Xnorm+INDIRECT("VertexCalc!Y"&amp;Local)*Interfaces!Ynorm+INDIRECT("VertexCalc!Z"&amp;Local)*Interfaces!Znorm))</f>
      </c>
      <c r="M37" s="94">
        <f ca="1">IF(OR(Flag="Ignore",Flag="Det",Flag="Hole"),"",(INDIRECT("VertexCalc!X"&amp;Local)*Interfaces!Xnorm+INDIRECT("VertexCalc!Y"&amp;Local)*Interfaces!Ynorm+INDIRECT("VertexCalc!Z"&amp;Local)*Interfaces!Znorm))</f>
      </c>
      <c r="N37" s="94">
        <f ca="1">IF(OR(Flag="Ignore",Flag="Det",Flag="Hole"),"",(INDIRECT("VertexCalc!X"&amp;Local)*Interfaces!Xnorm+INDIRECT("VertexCalc!Y"&amp;Local)*Interfaces!Ynorm+INDIRECT("VertexCalc!Z"&amp;Local)*Interfaces!Znorm))</f>
      </c>
      <c r="O37" s="93">
        <f ca="1" t="shared" si="3"/>
      </c>
      <c r="P37" s="94">
        <f ca="1" t="shared" si="3"/>
      </c>
      <c r="Q37" s="95">
        <f ca="1" t="shared" si="3"/>
      </c>
      <c r="R37" s="94">
        <f ca="1">IF(OR(Flag="Ignore",Flag="Det",Flag="Hole"),"",INDIRECT("VertexCalc!X"&amp;Local)*Interfaces!Xsag+INDIRECT("VertexCalc!Y"&amp;Local)*Interfaces!Ysag+INDIRECT("VertexCalc!Z"&amp;Local)*Interfaces!Zsag)</f>
      </c>
      <c r="S37" s="94">
        <f ca="1">IF(OR(Flag="Ignore",Flag="Det",Flag="Hole"),"",INDIRECT("VertexCalc!X"&amp;Local)*Interfaces!Xsag+INDIRECT("VertexCalc!Y"&amp;Local)*Interfaces!Ysag+INDIRECT("VertexCalc!Z"&amp;Local)*Interfaces!Zsag)</f>
      </c>
      <c r="T37" s="94">
        <f ca="1">IF(OR(Flag="Ignore",Flag="Det",Flag="Hole"),"",INDIRECT("VertexCalc!X"&amp;Local)*Interfaces!Xsag+INDIRECT("VertexCalc!Y"&amp;Local)*Interfaces!Ysag+INDIRECT("VertexCalc!Z"&amp;Local)*Interfaces!Zsag)</f>
      </c>
      <c r="U37" s="93">
        <f ca="1" t="shared" si="4"/>
      </c>
      <c r="V37" s="94">
        <f ca="1" t="shared" si="4"/>
      </c>
      <c r="W37" s="95">
        <f ca="1" t="shared" si="4"/>
      </c>
      <c r="X37" s="16">
        <f t="shared" si="2"/>
      </c>
      <c r="Y37" s="123" t="s">
        <v>517</v>
      </c>
    </row>
    <row r="38" spans="1:25" ht="13.5" thickBot="1">
      <c r="A38" s="23"/>
      <c r="C38" s="19"/>
      <c r="D38" s="19" t="s">
        <v>506</v>
      </c>
      <c r="E38" s="19" t="s">
        <v>529</v>
      </c>
      <c r="F38" s="20"/>
      <c r="G38" s="20"/>
      <c r="H38" s="19" t="s">
        <v>126</v>
      </c>
      <c r="I38" s="86">
        <f ca="1">IF(OR(Flag="Ignore",Flag="Det",Flag="Hole"),"",INDIRECT("VertexCalc!X"&amp;Local)*(Interfaces!Xmirr-VertexCalc!Xmirr)+INDIRECT("VertexCalc!Y"&amp;Local)*(Interfaces!Ymirr-VertexCalc!Ymirr)+INDIRECT("VertexCalc!Z"&amp;Local)*(Interfaces!Zmirr-VertexCalc!Zmirr))</f>
      </c>
      <c r="J38" s="87">
        <f ca="1">IF(OR(Flag="Ignore",Flag="Det",Flag="Hole"),"",INDIRECT("VertexCalc!X"&amp;Local)*(Interfaces!Xmirr-VertexCalc!Xmirr)+INDIRECT("VertexCalc!Y"&amp;Local)*(Interfaces!Ymirr-VertexCalc!Ymirr)+INDIRECT("VertexCalc!Z"&amp;Local)*(Interfaces!Zmirr-VertexCalc!Zmirr))</f>
      </c>
      <c r="K38" s="88">
        <f ca="1">IF(OR(Flag="Ignore",Flag="Det",Flag="Hole"),"",INDIRECT("VertexCalc!X"&amp;Local)*(Interfaces!Xmirr-VertexCalc!Xmirr)+INDIRECT("VertexCalc!Y"&amp;Local)*(Interfaces!Ymirr-VertexCalc!Ymirr)+INDIRECT("VertexCalc!Z"&amp;Local)*(Interfaces!Zmirr-VertexCalc!Zmirr))</f>
      </c>
      <c r="L38" s="87">
        <f ca="1">IF(OR(Flag="Ignore",Flag="Det",Flag="Hole"),"",(INDIRECT("VertexCalc!X"&amp;Local)*Interfaces!Xnorm+INDIRECT("VertexCalc!Y"&amp;Local)*Interfaces!Ynorm+INDIRECT("VertexCalc!Z"&amp;Local)*Interfaces!Znorm))</f>
      </c>
      <c r="M38" s="87">
        <f ca="1">IF(OR(Flag="Ignore",Flag="Det",Flag="Hole"),"",(INDIRECT("VertexCalc!X"&amp;Local)*Interfaces!Xnorm+INDIRECT("VertexCalc!Y"&amp;Local)*Interfaces!Ynorm+INDIRECT("VertexCalc!Z"&amp;Local)*Interfaces!Znorm))</f>
      </c>
      <c r="N38" s="87">
        <f ca="1">IF(OR(Flag="Ignore",Flag="Det",Flag="Hole"),"",(INDIRECT("VertexCalc!X"&amp;Local)*Interfaces!Xnorm+INDIRECT("VertexCalc!Y"&amp;Local)*Interfaces!Ynorm+INDIRECT("VertexCalc!Z"&amp;Local)*Interfaces!Znorm))</f>
      </c>
      <c r="O38" s="86">
        <f ca="1" t="shared" si="3"/>
      </c>
      <c r="P38" s="87">
        <f ca="1" t="shared" si="3"/>
      </c>
      <c r="Q38" s="88">
        <f ca="1" t="shared" si="3"/>
      </c>
      <c r="R38" s="87">
        <f ca="1">IF(OR(Flag="Ignore",Flag="Det",Flag="Hole"),"",INDIRECT("VertexCalc!X"&amp;Local)*Interfaces!Xsag+INDIRECT("VertexCalc!Y"&amp;Local)*Interfaces!Ysag+INDIRECT("VertexCalc!Z"&amp;Local)*Interfaces!Zsag)</f>
      </c>
      <c r="S38" s="87">
        <f ca="1">IF(OR(Flag="Ignore",Flag="Det",Flag="Hole"),"",INDIRECT("VertexCalc!X"&amp;Local)*Interfaces!Xsag+INDIRECT("VertexCalc!Y"&amp;Local)*Interfaces!Ysag+INDIRECT("VertexCalc!Z"&amp;Local)*Interfaces!Zsag)</f>
      </c>
      <c r="T38" s="87">
        <f ca="1">IF(OR(Flag="Ignore",Flag="Det",Flag="Hole"),"",INDIRECT("VertexCalc!X"&amp;Local)*Interfaces!Xsag+INDIRECT("VertexCalc!Y"&amp;Local)*Interfaces!Ysag+INDIRECT("VertexCalc!Z"&amp;Local)*Interfaces!Zsag)</f>
      </c>
      <c r="U38" s="86">
        <f ca="1" t="shared" si="4"/>
      </c>
      <c r="V38" s="87">
        <f ca="1" t="shared" si="4"/>
      </c>
      <c r="W38" s="88">
        <f ca="1" t="shared" si="4"/>
      </c>
      <c r="X38" s="20">
        <f t="shared" si="2"/>
      </c>
      <c r="Y38" s="19" t="s">
        <v>506</v>
      </c>
    </row>
    <row r="39" spans="3:25" ht="12.75">
      <c r="C39" s="10" t="s">
        <v>518</v>
      </c>
      <c r="D39" s="11" t="s">
        <v>508</v>
      </c>
      <c r="E39" s="11" t="s">
        <v>529</v>
      </c>
      <c r="F39" s="12"/>
      <c r="G39" s="12"/>
      <c r="H39" s="11" t="s">
        <v>157</v>
      </c>
      <c r="I39" s="90">
        <f ca="1">IF(OR(Flag="Ignore",Flag="Det",Flag="Hole"),"",INDIRECT("VertexCalc!X"&amp;Local)*(Interfaces!Xmirr-VertexCalc!Xmirr)+INDIRECT("VertexCalc!Y"&amp;Local)*(Interfaces!Ymirr-VertexCalc!Ymirr)+INDIRECT("VertexCalc!Z"&amp;Local)*(Interfaces!Zmirr-VertexCalc!Zmirr))</f>
      </c>
      <c r="J39" s="91">
        <f ca="1">IF(OR(Flag="Ignore",Flag="Det",Flag="Hole"),"",INDIRECT("VertexCalc!X"&amp;Local)*(Interfaces!Xmirr-VertexCalc!Xmirr)+INDIRECT("VertexCalc!Y"&amp;Local)*(Interfaces!Ymirr-VertexCalc!Ymirr)+INDIRECT("VertexCalc!Z"&amp;Local)*(Interfaces!Zmirr-VertexCalc!Zmirr))</f>
      </c>
      <c r="K39" s="92">
        <f ca="1">IF(OR(Flag="Ignore",Flag="Det",Flag="Hole"),"",INDIRECT("VertexCalc!X"&amp;Local)*(Interfaces!Xmirr-VertexCalc!Xmirr)+INDIRECT("VertexCalc!Y"&amp;Local)*(Interfaces!Ymirr-VertexCalc!Ymirr)+INDIRECT("VertexCalc!Z"&amp;Local)*(Interfaces!Zmirr-VertexCalc!Zmirr))</f>
      </c>
      <c r="L39" s="91">
        <f ca="1">IF(OR(Flag="Ignore",Flag="Det",Flag="Hole"),"",(INDIRECT("VertexCalc!X"&amp;Local)*Interfaces!Xnorm+INDIRECT("VertexCalc!Y"&amp;Local)*Interfaces!Ynorm+INDIRECT("VertexCalc!Z"&amp;Local)*Interfaces!Znorm))</f>
      </c>
      <c r="M39" s="91">
        <f ca="1">IF(OR(Flag="Ignore",Flag="Det",Flag="Hole"),"",(INDIRECT("VertexCalc!X"&amp;Local)*Interfaces!Xnorm+INDIRECT("VertexCalc!Y"&amp;Local)*Interfaces!Ynorm+INDIRECT("VertexCalc!Z"&amp;Local)*Interfaces!Znorm))</f>
      </c>
      <c r="N39" s="91">
        <f ca="1">IF(OR(Flag="Ignore",Flag="Det",Flag="Hole"),"",(INDIRECT("VertexCalc!X"&amp;Local)*Interfaces!Xnorm+INDIRECT("VertexCalc!Y"&amp;Local)*Interfaces!Ynorm+INDIRECT("VertexCalc!Z"&amp;Local)*Interfaces!Znorm))</f>
      </c>
      <c r="O39" s="90">
        <f ca="1" t="shared" si="3"/>
      </c>
      <c r="P39" s="91">
        <f ca="1" t="shared" si="3"/>
      </c>
      <c r="Q39" s="92">
        <f ca="1" t="shared" si="3"/>
      </c>
      <c r="R39" s="91">
        <f ca="1">IF(OR(Flag="Ignore",Flag="Det",Flag="Hole"),"",INDIRECT("VertexCalc!X"&amp;Local)*Interfaces!Xsag+INDIRECT("VertexCalc!Y"&amp;Local)*Interfaces!Ysag+INDIRECT("VertexCalc!Z"&amp;Local)*Interfaces!Zsag)</f>
      </c>
      <c r="S39" s="91">
        <f ca="1">IF(OR(Flag="Ignore",Flag="Det",Flag="Hole"),"",INDIRECT("VertexCalc!X"&amp;Local)*Interfaces!Xsag+INDIRECT("VertexCalc!Y"&amp;Local)*Interfaces!Ysag+INDIRECT("VertexCalc!Z"&amp;Local)*Interfaces!Zsag)</f>
      </c>
      <c r="T39" s="91">
        <f ca="1">IF(OR(Flag="Ignore",Flag="Det",Flag="Hole"),"",INDIRECT("VertexCalc!X"&amp;Local)*Interfaces!Xsag+INDIRECT("VertexCalc!Y"&amp;Local)*Interfaces!Ysag+INDIRECT("VertexCalc!Z"&amp;Local)*Interfaces!Zsag)</f>
      </c>
      <c r="U39" s="90">
        <f ca="1" t="shared" si="4"/>
      </c>
      <c r="V39" s="91">
        <f ca="1" t="shared" si="4"/>
      </c>
      <c r="W39" s="92">
        <f ca="1" t="shared" si="4"/>
      </c>
      <c r="X39" s="12">
        <f t="shared" si="2"/>
      </c>
      <c r="Y39" s="122" t="s">
        <v>508</v>
      </c>
    </row>
    <row r="40" spans="3:25" ht="12.75">
      <c r="C40" s="18"/>
      <c r="D40" s="19" t="s">
        <v>519</v>
      </c>
      <c r="E40" s="19" t="s">
        <v>529</v>
      </c>
      <c r="F40" s="20"/>
      <c r="G40" s="20">
        <v>-1</v>
      </c>
      <c r="H40" s="19"/>
      <c r="I40" s="86">
        <f ca="1">IF(OR(Flag="Ignore",Flag="Det",Flag="Hole"),"",INDIRECT("VertexCalc!X"&amp;Local)*(Interfaces!Xmirr-VertexCalc!Xmirr)+INDIRECT("VertexCalc!Y"&amp;Local)*(Interfaces!Ymirr-VertexCalc!Ymirr)+INDIRECT("VertexCalc!Z"&amp;Local)*(Interfaces!Zmirr-VertexCalc!Zmirr))</f>
        <v>0</v>
      </c>
      <c r="J40" s="87">
        <f ca="1">IF(OR(Flag="Ignore",Flag="Det",Flag="Hole"),"",INDIRECT("VertexCalc!X"&amp;Local)*(Interfaces!Xmirr-VertexCalc!Xmirr)+INDIRECT("VertexCalc!Y"&amp;Local)*(Interfaces!Ymirr-VertexCalc!Ymirr)+INDIRECT("VertexCalc!Z"&amp;Local)*(Interfaces!Zmirr-VertexCalc!Zmirr))</f>
        <v>0</v>
      </c>
      <c r="K40" s="88">
        <f ca="1">IF(OR(Flag="Ignore",Flag="Det",Flag="Hole"),"",INDIRECT("VertexCalc!X"&amp;Local)*(Interfaces!Xmirr-VertexCalc!Xmirr)+INDIRECT("VertexCalc!Y"&amp;Local)*(Interfaces!Ymirr-VertexCalc!Ymirr)+INDIRECT("VertexCalc!Z"&amp;Local)*(Interfaces!Zmirr-VertexCalc!Zmirr))</f>
        <v>0</v>
      </c>
      <c r="L40" s="87">
        <f ca="1">IF(OR(Flag="Ignore",Flag="Det",Flag="Hole"),"",(INDIRECT("VertexCalc!X"&amp;Local)*Interfaces!Xnorm+INDIRECT("VertexCalc!Y"&amp;Local)*Interfaces!Ynorm+INDIRECT("VertexCalc!Z"&amp;Local)*Interfaces!Znorm))</f>
        <v>1</v>
      </c>
      <c r="M40" s="87">
        <f ca="1">IF(OR(Flag="Ignore",Flag="Det",Flag="Hole"),"",(INDIRECT("VertexCalc!X"&amp;Local)*Interfaces!Xnorm+INDIRECT("VertexCalc!Y"&amp;Local)*Interfaces!Ynorm+INDIRECT("VertexCalc!Z"&amp;Local)*Interfaces!Znorm))</f>
        <v>0</v>
      </c>
      <c r="N40" s="87">
        <f ca="1">IF(OR(Flag="Ignore",Flag="Det",Flag="Hole"),"",(INDIRECT("VertexCalc!X"&amp;Local)*Interfaces!Xnorm+INDIRECT("VertexCalc!Y"&amp;Local)*Interfaces!Ynorm+INDIRECT("VertexCalc!Z"&amp;Local)*Interfaces!Znorm))</f>
        <v>0</v>
      </c>
      <c r="O40" s="86">
        <f ca="1" t="shared" si="3"/>
        <v>-6.971070059254095</v>
      </c>
      <c r="P40" s="87">
        <f ca="1" t="shared" si="3"/>
        <v>0</v>
      </c>
      <c r="Q40" s="88">
        <f ca="1" t="shared" si="3"/>
        <v>0</v>
      </c>
      <c r="R40" s="87">
        <f ca="1">IF(OR(Flag="Ignore",Flag="Det",Flag="Hole"),"",INDIRECT("VertexCalc!X"&amp;Local)*Interfaces!Xsag+INDIRECT("VertexCalc!Y"&amp;Local)*Interfaces!Ysag+INDIRECT("VertexCalc!Z"&amp;Local)*Interfaces!Zsag)</f>
        <v>0</v>
      </c>
      <c r="S40" s="87">
        <f ca="1">IF(OR(Flag="Ignore",Flag="Det",Flag="Hole"),"",INDIRECT("VertexCalc!X"&amp;Local)*Interfaces!Xsag+INDIRECT("VertexCalc!Y"&amp;Local)*Interfaces!Ysag+INDIRECT("VertexCalc!Z"&amp;Local)*Interfaces!Zsag)</f>
        <v>1</v>
      </c>
      <c r="T40" s="87">
        <f ca="1">IF(OR(Flag="Ignore",Flag="Det",Flag="Hole"),"",INDIRECT("VertexCalc!X"&amp;Local)*Interfaces!Xsag+INDIRECT("VertexCalc!Y"&amp;Local)*Interfaces!Ysag+INDIRECT("VertexCalc!Z"&amp;Local)*Interfaces!Zsag)</f>
        <v>0</v>
      </c>
      <c r="U40" s="86">
        <f ca="1" t="shared" si="4"/>
        <v>-6.971070059254095</v>
      </c>
      <c r="V40" s="87">
        <f ca="1" t="shared" si="4"/>
        <v>-11.950405815864162</v>
      </c>
      <c r="W40" s="88">
        <f ca="1" t="shared" si="4"/>
        <v>0</v>
      </c>
      <c r="X40" s="20">
        <f t="shared" si="2"/>
        <v>90</v>
      </c>
      <c r="Y40" s="124" t="s">
        <v>519</v>
      </c>
    </row>
    <row r="41" spans="3:25" ht="12.75">
      <c r="C41" s="18"/>
      <c r="D41" s="19" t="s">
        <v>520</v>
      </c>
      <c r="E41" s="19" t="s">
        <v>529</v>
      </c>
      <c r="F41" s="20"/>
      <c r="G41" s="20"/>
      <c r="H41" s="19" t="s">
        <v>126</v>
      </c>
      <c r="I41" s="86">
        <f ca="1">IF(OR(Flag="Ignore",Flag="Det",Flag="Hole"),"",INDIRECT("VertexCalc!X"&amp;Local)*(Interfaces!Xmirr-VertexCalc!Xmirr)+INDIRECT("VertexCalc!Y"&amp;Local)*(Interfaces!Ymirr-VertexCalc!Ymirr)+INDIRECT("VertexCalc!Z"&amp;Local)*(Interfaces!Zmirr-VertexCalc!Zmirr))</f>
      </c>
      <c r="J41" s="87">
        <f ca="1">IF(OR(Flag="Ignore",Flag="Det",Flag="Hole"),"",INDIRECT("VertexCalc!X"&amp;Local)*(Interfaces!Xmirr-VertexCalc!Xmirr)+INDIRECT("VertexCalc!Y"&amp;Local)*(Interfaces!Ymirr-VertexCalc!Ymirr)+INDIRECT("VertexCalc!Z"&amp;Local)*(Interfaces!Zmirr-VertexCalc!Zmirr))</f>
      </c>
      <c r="K41" s="88">
        <f ca="1">IF(OR(Flag="Ignore",Flag="Det",Flag="Hole"),"",INDIRECT("VertexCalc!X"&amp;Local)*(Interfaces!Xmirr-VertexCalc!Xmirr)+INDIRECT("VertexCalc!Y"&amp;Local)*(Interfaces!Ymirr-VertexCalc!Ymirr)+INDIRECT("VertexCalc!Z"&amp;Local)*(Interfaces!Zmirr-VertexCalc!Zmirr))</f>
      </c>
      <c r="L41" s="87">
        <f ca="1">IF(OR(Flag="Ignore",Flag="Det",Flag="Hole"),"",(INDIRECT("VertexCalc!X"&amp;Local)*Interfaces!Xnorm+INDIRECT("VertexCalc!Y"&amp;Local)*Interfaces!Ynorm+INDIRECT("VertexCalc!Z"&amp;Local)*Interfaces!Znorm))</f>
      </c>
      <c r="M41" s="87">
        <f ca="1">IF(OR(Flag="Ignore",Flag="Det",Flag="Hole"),"",(INDIRECT("VertexCalc!X"&amp;Local)*Interfaces!Xnorm+INDIRECT("VertexCalc!Y"&amp;Local)*Interfaces!Ynorm+INDIRECT("VertexCalc!Z"&amp;Local)*Interfaces!Znorm))</f>
      </c>
      <c r="N41" s="87">
        <f ca="1">IF(OR(Flag="Ignore",Flag="Det",Flag="Hole"),"",(INDIRECT("VertexCalc!X"&amp;Local)*Interfaces!Xnorm+INDIRECT("VertexCalc!Y"&amp;Local)*Interfaces!Ynorm+INDIRECT("VertexCalc!Z"&amp;Local)*Interfaces!Znorm))</f>
      </c>
      <c r="O41" s="86">
        <f ca="1" t="shared" si="3"/>
      </c>
      <c r="P41" s="87">
        <f ca="1" t="shared" si="3"/>
      </c>
      <c r="Q41" s="88">
        <f ca="1" t="shared" si="3"/>
      </c>
      <c r="R41" s="87">
        <f ca="1">IF(OR(Flag="Ignore",Flag="Det",Flag="Hole"),"",INDIRECT("VertexCalc!X"&amp;Local)*Interfaces!Xsag+INDIRECT("VertexCalc!Y"&amp;Local)*Interfaces!Ysag+INDIRECT("VertexCalc!Z"&amp;Local)*Interfaces!Zsag)</f>
      </c>
      <c r="S41" s="87">
        <f ca="1">IF(OR(Flag="Ignore",Flag="Det",Flag="Hole"),"",INDIRECT("VertexCalc!X"&amp;Local)*Interfaces!Xsag+INDIRECT("VertexCalc!Y"&amp;Local)*Interfaces!Ysag+INDIRECT("VertexCalc!Z"&amp;Local)*Interfaces!Zsag)</f>
      </c>
      <c r="T41" s="87">
        <f ca="1">IF(OR(Flag="Ignore",Flag="Det",Flag="Hole"),"",INDIRECT("VertexCalc!X"&amp;Local)*Interfaces!Xsag+INDIRECT("VertexCalc!Y"&amp;Local)*Interfaces!Ysag+INDIRECT("VertexCalc!Z"&amp;Local)*Interfaces!Zsag)</f>
      </c>
      <c r="U41" s="86">
        <f ca="1" t="shared" si="4"/>
      </c>
      <c r="V41" s="87">
        <f ca="1" t="shared" si="4"/>
      </c>
      <c r="W41" s="88">
        <f ca="1" t="shared" si="4"/>
      </c>
      <c r="X41" s="20">
        <f t="shared" si="2"/>
      </c>
      <c r="Y41" s="124" t="s">
        <v>520</v>
      </c>
    </row>
    <row r="42" spans="3:25" ht="12.75">
      <c r="C42" s="18"/>
      <c r="D42" s="19" t="s">
        <v>521</v>
      </c>
      <c r="E42" s="19" t="s">
        <v>529</v>
      </c>
      <c r="F42" s="20"/>
      <c r="G42" s="20"/>
      <c r="H42" s="19" t="s">
        <v>126</v>
      </c>
      <c r="I42" s="86">
        <f ca="1">IF(OR(Flag="Ignore",Flag="Det",Flag="Hole"),"",INDIRECT("VertexCalc!X"&amp;Local)*(Interfaces!Xmirr-VertexCalc!Xmirr)+INDIRECT("VertexCalc!Y"&amp;Local)*(Interfaces!Ymirr-VertexCalc!Ymirr)+INDIRECT("VertexCalc!Z"&amp;Local)*(Interfaces!Zmirr-VertexCalc!Zmirr))</f>
      </c>
      <c r="J42" s="87">
        <f ca="1">IF(OR(Flag="Ignore",Flag="Det",Flag="Hole"),"",INDIRECT("VertexCalc!X"&amp;Local)*(Interfaces!Xmirr-VertexCalc!Xmirr)+INDIRECT("VertexCalc!Y"&amp;Local)*(Interfaces!Ymirr-VertexCalc!Ymirr)+INDIRECT("VertexCalc!Z"&amp;Local)*(Interfaces!Zmirr-VertexCalc!Zmirr))</f>
      </c>
      <c r="K42" s="88">
        <f ca="1">IF(OR(Flag="Ignore",Flag="Det",Flag="Hole"),"",INDIRECT("VertexCalc!X"&amp;Local)*(Interfaces!Xmirr-VertexCalc!Xmirr)+INDIRECT("VertexCalc!Y"&amp;Local)*(Interfaces!Ymirr-VertexCalc!Ymirr)+INDIRECT("VertexCalc!Z"&amp;Local)*(Interfaces!Zmirr-VertexCalc!Zmirr))</f>
      </c>
      <c r="L42" s="87">
        <f ca="1">IF(OR(Flag="Ignore",Flag="Det",Flag="Hole"),"",(INDIRECT("VertexCalc!X"&amp;Local)*Interfaces!Xnorm+INDIRECT("VertexCalc!Y"&amp;Local)*Interfaces!Ynorm+INDIRECT("VertexCalc!Z"&amp;Local)*Interfaces!Znorm))</f>
      </c>
      <c r="M42" s="87">
        <f ca="1">IF(OR(Flag="Ignore",Flag="Det",Flag="Hole"),"",(INDIRECT("VertexCalc!X"&amp;Local)*Interfaces!Xnorm+INDIRECT("VertexCalc!Y"&amp;Local)*Interfaces!Ynorm+INDIRECT("VertexCalc!Z"&amp;Local)*Interfaces!Znorm))</f>
      </c>
      <c r="N42" s="87">
        <f ca="1">IF(OR(Flag="Ignore",Flag="Det",Flag="Hole"),"",(INDIRECT("VertexCalc!X"&amp;Local)*Interfaces!Xnorm+INDIRECT("VertexCalc!Y"&amp;Local)*Interfaces!Ynorm+INDIRECT("VertexCalc!Z"&amp;Local)*Interfaces!Znorm))</f>
      </c>
      <c r="O42" s="86">
        <f aca="true" ca="1" t="shared" si="5" ref="O42:Q46">IF(OR(Flag="Ignore",Flag="Det",Flag="Hole"),"",INDIRECT(Axe&amp;"mirr")+IF(ThMirr="Thick",Thick,Thin)*INDIRECT(Axe&amp;"norm"))</f>
      </c>
      <c r="P42" s="87">
        <f ca="1" t="shared" si="5"/>
      </c>
      <c r="Q42" s="88">
        <f ca="1" t="shared" si="5"/>
      </c>
      <c r="R42" s="87">
        <f ca="1">IF(OR(Flag="Ignore",Flag="Det",Flag="Hole"),"",INDIRECT("VertexCalc!X"&amp;Local)*Interfaces!Xsag+INDIRECT("VertexCalc!Y"&amp;Local)*Interfaces!Ysag+INDIRECT("VertexCalc!Z"&amp;Local)*Interfaces!Zsag)</f>
      </c>
      <c r="S42" s="87">
        <f ca="1">IF(OR(Flag="Ignore",Flag="Det",Flag="Hole"),"",INDIRECT("VertexCalc!X"&amp;Local)*Interfaces!Xsag+INDIRECT("VertexCalc!Y"&amp;Local)*Interfaces!Ysag+INDIRECT("VertexCalc!Z"&amp;Local)*Interfaces!Zsag)</f>
      </c>
      <c r="T42" s="87">
        <f ca="1">IF(OR(Flag="Ignore",Flag="Det",Flag="Hole"),"",INDIRECT("VertexCalc!X"&amp;Local)*Interfaces!Xsag+INDIRECT("VertexCalc!Y"&amp;Local)*Interfaces!Ysag+INDIRECT("VertexCalc!Z"&amp;Local)*Interfaces!Zsag)</f>
      </c>
      <c r="U42" s="86">
        <f aca="true" ca="1" t="shared" si="6" ref="U42:W47">IF(OR(Flag="Ignore",Flag="Det",Flag="Hole"),"",INDIRECT(Axe&amp;"spig")+DowlSep*DowlDir*INDIRECT(Axe&amp;"sag"))</f>
      </c>
      <c r="V42" s="87">
        <f ca="1" t="shared" si="6"/>
      </c>
      <c r="W42" s="88">
        <f ca="1" t="shared" si="6"/>
      </c>
      <c r="X42" s="20">
        <f t="shared" si="2"/>
      </c>
      <c r="Y42" s="124" t="s">
        <v>521</v>
      </c>
    </row>
    <row r="43" spans="3:25" ht="12.75">
      <c r="C43" s="18"/>
      <c r="D43" s="19" t="s">
        <v>522</v>
      </c>
      <c r="E43" s="19" t="s">
        <v>529</v>
      </c>
      <c r="F43" s="20"/>
      <c r="G43" s="20"/>
      <c r="H43" s="19" t="s">
        <v>126</v>
      </c>
      <c r="I43" s="86">
        <f ca="1">IF(OR(Flag="Ignore",Flag="Det",Flag="Hole"),"",INDIRECT("VertexCalc!X"&amp;Local)*(Interfaces!Xmirr-VertexCalc!Xmirr)+INDIRECT("VertexCalc!Y"&amp;Local)*(Interfaces!Ymirr-VertexCalc!Ymirr)+INDIRECT("VertexCalc!Z"&amp;Local)*(Interfaces!Zmirr-VertexCalc!Zmirr))</f>
      </c>
      <c r="J43" s="87">
        <f ca="1">IF(OR(Flag="Ignore",Flag="Det",Flag="Hole"),"",INDIRECT("VertexCalc!X"&amp;Local)*(Interfaces!Xmirr-VertexCalc!Xmirr)+INDIRECT("VertexCalc!Y"&amp;Local)*(Interfaces!Ymirr-VertexCalc!Ymirr)+INDIRECT("VertexCalc!Z"&amp;Local)*(Interfaces!Zmirr-VertexCalc!Zmirr))</f>
      </c>
      <c r="K43" s="88">
        <f ca="1">IF(OR(Flag="Ignore",Flag="Det",Flag="Hole"),"",INDIRECT("VertexCalc!X"&amp;Local)*(Interfaces!Xmirr-VertexCalc!Xmirr)+INDIRECT("VertexCalc!Y"&amp;Local)*(Interfaces!Ymirr-VertexCalc!Ymirr)+INDIRECT("VertexCalc!Z"&amp;Local)*(Interfaces!Zmirr-VertexCalc!Zmirr))</f>
      </c>
      <c r="L43" s="87">
        <f ca="1">IF(OR(Flag="Ignore",Flag="Det",Flag="Hole"),"",(INDIRECT("VertexCalc!X"&amp;Local)*Interfaces!Xnorm+INDIRECT("VertexCalc!Y"&amp;Local)*Interfaces!Ynorm+INDIRECT("VertexCalc!Z"&amp;Local)*Interfaces!Znorm))</f>
      </c>
      <c r="M43" s="87">
        <f ca="1">IF(OR(Flag="Ignore",Flag="Det",Flag="Hole"),"",(INDIRECT("VertexCalc!X"&amp;Local)*Interfaces!Xnorm+INDIRECT("VertexCalc!Y"&amp;Local)*Interfaces!Ynorm+INDIRECT("VertexCalc!Z"&amp;Local)*Interfaces!Znorm))</f>
      </c>
      <c r="N43" s="87">
        <f ca="1">IF(OR(Flag="Ignore",Flag="Det",Flag="Hole"),"",(INDIRECT("VertexCalc!X"&amp;Local)*Interfaces!Xnorm+INDIRECT("VertexCalc!Y"&amp;Local)*Interfaces!Ynorm+INDIRECT("VertexCalc!Z"&amp;Local)*Interfaces!Znorm))</f>
      </c>
      <c r="O43" s="86">
        <f ca="1" t="shared" si="5"/>
      </c>
      <c r="P43" s="87">
        <f ca="1" t="shared" si="5"/>
      </c>
      <c r="Q43" s="88">
        <f ca="1" t="shared" si="5"/>
      </c>
      <c r="R43" s="87">
        <f ca="1">IF(OR(Flag="Ignore",Flag="Det",Flag="Hole"),"",INDIRECT("VertexCalc!X"&amp;Local)*Interfaces!Xsag+INDIRECT("VertexCalc!Y"&amp;Local)*Interfaces!Ysag+INDIRECT("VertexCalc!Z"&amp;Local)*Interfaces!Zsag)</f>
      </c>
      <c r="S43" s="87">
        <f ca="1">IF(OR(Flag="Ignore",Flag="Det",Flag="Hole"),"",INDIRECT("VertexCalc!X"&amp;Local)*Interfaces!Xsag+INDIRECT("VertexCalc!Y"&amp;Local)*Interfaces!Ysag+INDIRECT("VertexCalc!Z"&amp;Local)*Interfaces!Zsag)</f>
      </c>
      <c r="T43" s="87">
        <f ca="1">IF(OR(Flag="Ignore",Flag="Det",Flag="Hole"),"",INDIRECT("VertexCalc!X"&amp;Local)*Interfaces!Xsag+INDIRECT("VertexCalc!Y"&amp;Local)*Interfaces!Ysag+INDIRECT("VertexCalc!Z"&amp;Local)*Interfaces!Zsag)</f>
      </c>
      <c r="U43" s="86">
        <f ca="1" t="shared" si="6"/>
      </c>
      <c r="V43" s="87">
        <f ca="1" t="shared" si="6"/>
      </c>
      <c r="W43" s="88">
        <f ca="1" t="shared" si="6"/>
      </c>
      <c r="X43" s="20">
        <f t="shared" si="2"/>
      </c>
      <c r="Y43" s="124" t="s">
        <v>522</v>
      </c>
    </row>
    <row r="44" spans="3:25" ht="12.75">
      <c r="C44" s="18"/>
      <c r="D44" s="19" t="s">
        <v>523</v>
      </c>
      <c r="E44" s="19" t="s">
        <v>529</v>
      </c>
      <c r="F44" s="20"/>
      <c r="G44" s="20">
        <v>-1</v>
      </c>
      <c r="H44" s="19"/>
      <c r="I44" s="86">
        <f ca="1">IF(OR(Flag="Ignore",Flag="Det",Flag="Hole"),"",INDIRECT("VertexCalc!X"&amp;Local)*(Interfaces!Xmirr-VertexCalc!Xmirr)+INDIRECT("VertexCalc!Y"&amp;Local)*(Interfaces!Ymirr-VertexCalc!Ymirr)+INDIRECT("VertexCalc!Z"&amp;Local)*(Interfaces!Zmirr-VertexCalc!Zmirr))</f>
        <v>0</v>
      </c>
      <c r="J44" s="87">
        <f ca="1">IF(OR(Flag="Ignore",Flag="Det",Flag="Hole"),"",INDIRECT("VertexCalc!X"&amp;Local)*(Interfaces!Xmirr-VertexCalc!Xmirr)+INDIRECT("VertexCalc!Y"&amp;Local)*(Interfaces!Ymirr-VertexCalc!Ymirr)+INDIRECT("VertexCalc!Z"&amp;Local)*(Interfaces!Zmirr-VertexCalc!Zmirr))</f>
        <v>0</v>
      </c>
      <c r="K44" s="88">
        <f ca="1">IF(OR(Flag="Ignore",Flag="Det",Flag="Hole"),"",INDIRECT("VertexCalc!X"&amp;Local)*(Interfaces!Xmirr-VertexCalc!Xmirr)+INDIRECT("VertexCalc!Y"&amp;Local)*(Interfaces!Ymirr-VertexCalc!Ymirr)+INDIRECT("VertexCalc!Z"&amp;Local)*(Interfaces!Zmirr-VertexCalc!Zmirr))</f>
        <v>0</v>
      </c>
      <c r="L44" s="87">
        <f ca="1">IF(OR(Flag="Ignore",Flag="Det",Flag="Hole"),"",(INDIRECT("VertexCalc!X"&amp;Local)*Interfaces!Xnorm+INDIRECT("VertexCalc!Y"&amp;Local)*Interfaces!Ynorm+INDIRECT("VertexCalc!Z"&amp;Local)*Interfaces!Znorm))</f>
        <v>1</v>
      </c>
      <c r="M44" s="87">
        <f ca="1">IF(OR(Flag="Ignore",Flag="Det",Flag="Hole"),"",(INDIRECT("VertexCalc!X"&amp;Local)*Interfaces!Xnorm+INDIRECT("VertexCalc!Y"&amp;Local)*Interfaces!Ynorm+INDIRECT("VertexCalc!Z"&amp;Local)*Interfaces!Znorm))</f>
        <v>0</v>
      </c>
      <c r="N44" s="87">
        <f ca="1">IF(OR(Flag="Ignore",Flag="Det",Flag="Hole"),"",(INDIRECT("VertexCalc!X"&amp;Local)*Interfaces!Xnorm+INDIRECT("VertexCalc!Y"&amp;Local)*Interfaces!Ynorm+INDIRECT("VertexCalc!Z"&amp;Local)*Interfaces!Znorm))</f>
        <v>0</v>
      </c>
      <c r="O44" s="86">
        <f ca="1" t="shared" si="5"/>
        <v>-6.971070059254095</v>
      </c>
      <c r="P44" s="87">
        <f ca="1" t="shared" si="5"/>
        <v>0</v>
      </c>
      <c r="Q44" s="88">
        <f ca="1" t="shared" si="5"/>
        <v>0</v>
      </c>
      <c r="R44" s="87">
        <f ca="1">IF(OR(Flag="Ignore",Flag="Det",Flag="Hole"),"",INDIRECT("VertexCalc!X"&amp;Local)*Interfaces!Xsag+INDIRECT("VertexCalc!Y"&amp;Local)*Interfaces!Ysag+INDIRECT("VertexCalc!Z"&amp;Local)*Interfaces!Zsag)</f>
        <v>0</v>
      </c>
      <c r="S44" s="87">
        <f ca="1">IF(OR(Flag="Ignore",Flag="Det",Flag="Hole"),"",INDIRECT("VertexCalc!X"&amp;Local)*Interfaces!Xsag+INDIRECT("VertexCalc!Y"&amp;Local)*Interfaces!Ysag+INDIRECT("VertexCalc!Z"&amp;Local)*Interfaces!Zsag)</f>
        <v>1</v>
      </c>
      <c r="T44" s="87">
        <f ca="1">IF(OR(Flag="Ignore",Flag="Det",Flag="Hole"),"",INDIRECT("VertexCalc!X"&amp;Local)*Interfaces!Xsag+INDIRECT("VertexCalc!Y"&amp;Local)*Interfaces!Ysag+INDIRECT("VertexCalc!Z"&amp;Local)*Interfaces!Zsag)</f>
        <v>0</v>
      </c>
      <c r="U44" s="86">
        <f ca="1" t="shared" si="6"/>
        <v>-6.971070059254095</v>
      </c>
      <c r="V44" s="87">
        <f ca="1" t="shared" si="6"/>
        <v>-11.950405815864162</v>
      </c>
      <c r="W44" s="88">
        <f ca="1" t="shared" si="6"/>
        <v>0</v>
      </c>
      <c r="X44" s="20">
        <f t="shared" si="2"/>
        <v>90</v>
      </c>
      <c r="Y44" s="124" t="s">
        <v>523</v>
      </c>
    </row>
    <row r="45" spans="3:25" ht="12.75">
      <c r="C45" s="18"/>
      <c r="D45" s="19" t="s">
        <v>514</v>
      </c>
      <c r="E45" s="19" t="s">
        <v>529</v>
      </c>
      <c r="F45" s="20"/>
      <c r="G45" s="20"/>
      <c r="H45" s="19" t="s">
        <v>157</v>
      </c>
      <c r="I45" s="86">
        <f ca="1">IF(OR(Flag="Ignore",Flag="Det",Flag="Hole"),"",INDIRECT("VertexCalc!X"&amp;Local)*(Interfaces!Xmirr-VertexCalc!Xmirr)+INDIRECT("VertexCalc!Y"&amp;Local)*(Interfaces!Ymirr-VertexCalc!Ymirr)+INDIRECT("VertexCalc!Z"&amp;Local)*(Interfaces!Zmirr-VertexCalc!Zmirr))</f>
      </c>
      <c r="J45" s="87">
        <f ca="1">IF(OR(Flag="Ignore",Flag="Det",Flag="Hole"),"",INDIRECT("VertexCalc!X"&amp;Local)*(Interfaces!Xmirr-VertexCalc!Xmirr)+INDIRECT("VertexCalc!Y"&amp;Local)*(Interfaces!Ymirr-VertexCalc!Ymirr)+INDIRECT("VertexCalc!Z"&amp;Local)*(Interfaces!Zmirr-VertexCalc!Zmirr))</f>
      </c>
      <c r="K45" s="88">
        <f ca="1">IF(OR(Flag="Ignore",Flag="Det",Flag="Hole"),"",INDIRECT("VertexCalc!X"&amp;Local)*(Interfaces!Xmirr-VertexCalc!Xmirr)+INDIRECT("VertexCalc!Y"&amp;Local)*(Interfaces!Ymirr-VertexCalc!Ymirr)+INDIRECT("VertexCalc!Z"&amp;Local)*(Interfaces!Zmirr-VertexCalc!Zmirr))</f>
      </c>
      <c r="L45" s="87">
        <f ca="1">IF(OR(Flag="Ignore",Flag="Det",Flag="Hole"),"",(INDIRECT("VertexCalc!X"&amp;Local)*Interfaces!Xnorm+INDIRECT("VertexCalc!Y"&amp;Local)*Interfaces!Ynorm+INDIRECT("VertexCalc!Z"&amp;Local)*Interfaces!Znorm))</f>
      </c>
      <c r="M45" s="87">
        <f ca="1">IF(OR(Flag="Ignore",Flag="Det",Flag="Hole"),"",(INDIRECT("VertexCalc!X"&amp;Local)*Interfaces!Xnorm+INDIRECT("VertexCalc!Y"&amp;Local)*Interfaces!Ynorm+INDIRECT("VertexCalc!Z"&amp;Local)*Interfaces!Znorm))</f>
      </c>
      <c r="N45" s="87">
        <f ca="1">IF(OR(Flag="Ignore",Flag="Det",Flag="Hole"),"",(INDIRECT("VertexCalc!X"&amp;Local)*Interfaces!Xnorm+INDIRECT("VertexCalc!Y"&amp;Local)*Interfaces!Ynorm+INDIRECT("VertexCalc!Z"&amp;Local)*Interfaces!Znorm))</f>
      </c>
      <c r="O45" s="86">
        <f ca="1" t="shared" si="5"/>
      </c>
      <c r="P45" s="87">
        <f ca="1" t="shared" si="5"/>
      </c>
      <c r="Q45" s="88">
        <f ca="1" t="shared" si="5"/>
      </c>
      <c r="R45" s="87">
        <f ca="1">IF(OR(Flag="Ignore",Flag="Det",Flag="Hole"),"",INDIRECT("VertexCalc!X"&amp;Local)*Interfaces!Xsag+INDIRECT("VertexCalc!Y"&amp;Local)*Interfaces!Ysag+INDIRECT("VertexCalc!Z"&amp;Local)*Interfaces!Zsag)</f>
      </c>
      <c r="S45" s="87">
        <f ca="1">IF(OR(Flag="Ignore",Flag="Det",Flag="Hole"),"",INDIRECT("VertexCalc!X"&amp;Local)*Interfaces!Xsag+INDIRECT("VertexCalc!Y"&amp;Local)*Interfaces!Ysag+INDIRECT("VertexCalc!Z"&amp;Local)*Interfaces!Zsag)</f>
      </c>
      <c r="T45" s="87">
        <f ca="1">IF(OR(Flag="Ignore",Flag="Det",Flag="Hole"),"",INDIRECT("VertexCalc!X"&amp;Local)*Interfaces!Xsag+INDIRECT("VertexCalc!Y"&amp;Local)*Interfaces!Ysag+INDIRECT("VertexCalc!Z"&amp;Local)*Interfaces!Zsag)</f>
      </c>
      <c r="U45" s="86">
        <f ca="1" t="shared" si="6"/>
      </c>
      <c r="V45" s="87">
        <f ca="1" t="shared" si="6"/>
      </c>
      <c r="W45" s="88">
        <f ca="1" t="shared" si="6"/>
      </c>
      <c r="X45" s="20">
        <f t="shared" si="2"/>
      </c>
      <c r="Y45" s="124" t="s">
        <v>514</v>
      </c>
    </row>
    <row r="46" spans="3:25" ht="12.75">
      <c r="C46" s="18"/>
      <c r="D46" s="19" t="s">
        <v>524</v>
      </c>
      <c r="E46" s="19" t="s">
        <v>529</v>
      </c>
      <c r="F46" s="20"/>
      <c r="G46" s="20">
        <v>-1</v>
      </c>
      <c r="H46" s="19"/>
      <c r="I46" s="86">
        <f ca="1">IF(OR(Flag="Ignore",Flag="Det",Flag="Hole"),"",INDIRECT("VertexCalc!X"&amp;Local)*(Interfaces!Xmirr-VertexCalc!Xmirr)+INDIRECT("VertexCalc!Y"&amp;Local)*(Interfaces!Ymirr-VertexCalc!Ymirr)+INDIRECT("VertexCalc!Z"&amp;Local)*(Interfaces!Zmirr-VertexCalc!Zmirr))</f>
        <v>0</v>
      </c>
      <c r="J46" s="87">
        <f ca="1">IF(OR(Flag="Ignore",Flag="Det",Flag="Hole"),"",INDIRECT("VertexCalc!X"&amp;Local)*(Interfaces!Xmirr-VertexCalc!Xmirr)+INDIRECT("VertexCalc!Y"&amp;Local)*(Interfaces!Ymirr-VertexCalc!Ymirr)+INDIRECT("VertexCalc!Z"&amp;Local)*(Interfaces!Zmirr-VertexCalc!Zmirr))</f>
        <v>0</v>
      </c>
      <c r="K46" s="88">
        <f ca="1">IF(OR(Flag="Ignore",Flag="Det",Flag="Hole"),"",INDIRECT("VertexCalc!X"&amp;Local)*(Interfaces!Xmirr-VertexCalc!Xmirr)+INDIRECT("VertexCalc!Y"&amp;Local)*(Interfaces!Ymirr-VertexCalc!Ymirr)+INDIRECT("VertexCalc!Z"&amp;Local)*(Interfaces!Zmirr-VertexCalc!Zmirr))</f>
        <v>0</v>
      </c>
      <c r="L46" s="87">
        <f ca="1">IF(OR(Flag="Ignore",Flag="Det",Flag="Hole"),"",(INDIRECT("VertexCalc!X"&amp;Local)*Interfaces!Xnorm+INDIRECT("VertexCalc!Y"&amp;Local)*Interfaces!Ynorm+INDIRECT("VertexCalc!Z"&amp;Local)*Interfaces!Znorm))</f>
        <v>0.9999999999999999</v>
      </c>
      <c r="M46" s="87">
        <f ca="1">IF(OR(Flag="Ignore",Flag="Det",Flag="Hole"),"",(INDIRECT("VertexCalc!X"&amp;Local)*Interfaces!Xnorm+INDIRECT("VertexCalc!Y"&amp;Local)*Interfaces!Ynorm+INDIRECT("VertexCalc!Z"&amp;Local)*Interfaces!Znorm))</f>
        <v>0</v>
      </c>
      <c r="N46" s="87">
        <f ca="1">IF(OR(Flag="Ignore",Flag="Det",Flag="Hole"),"",(INDIRECT("VertexCalc!X"&amp;Local)*Interfaces!Xnorm+INDIRECT("VertexCalc!Y"&amp;Local)*Interfaces!Ynorm+INDIRECT("VertexCalc!Z"&amp;Local)*Interfaces!Znorm))</f>
        <v>0</v>
      </c>
      <c r="O46" s="86">
        <f ca="1" t="shared" si="5"/>
        <v>-6.971070059254094</v>
      </c>
      <c r="P46" s="87">
        <f ca="1" t="shared" si="5"/>
        <v>0</v>
      </c>
      <c r="Q46" s="88">
        <f ca="1" t="shared" si="5"/>
        <v>0</v>
      </c>
      <c r="R46" s="87">
        <f ca="1">IF(OR(Flag="Ignore",Flag="Det",Flag="Hole"),"",INDIRECT("VertexCalc!X"&amp;Local)*Interfaces!Xsag+INDIRECT("VertexCalc!Y"&amp;Local)*Interfaces!Ysag+INDIRECT("VertexCalc!Z"&amp;Local)*Interfaces!Zsag)</f>
        <v>0</v>
      </c>
      <c r="S46" s="87">
        <f ca="1">IF(OR(Flag="Ignore",Flag="Det",Flag="Hole"),"",INDIRECT("VertexCalc!X"&amp;Local)*Interfaces!Xsag+INDIRECT("VertexCalc!Y"&amp;Local)*Interfaces!Ysag+INDIRECT("VertexCalc!Z"&amp;Local)*Interfaces!Zsag)</f>
        <v>0.9999999999999999</v>
      </c>
      <c r="T46" s="87">
        <f ca="1">IF(OR(Flag="Ignore",Flag="Det",Flag="Hole"),"",INDIRECT("VertexCalc!X"&amp;Local)*Interfaces!Xsag+INDIRECT("VertexCalc!Y"&amp;Local)*Interfaces!Ysag+INDIRECT("VertexCalc!Z"&amp;Local)*Interfaces!Zsag)</f>
        <v>3.469446951953614E-18</v>
      </c>
      <c r="U46" s="86">
        <f ca="1" t="shared" si="6"/>
        <v>-6.971070059254094</v>
      </c>
      <c r="V46" s="87">
        <f ca="1" t="shared" si="6"/>
        <v>-11.95040581586416</v>
      </c>
      <c r="W46" s="88">
        <f ca="1" t="shared" si="6"/>
        <v>-4.146129903245866E-17</v>
      </c>
      <c r="X46" s="20">
        <f t="shared" si="2"/>
        <v>90</v>
      </c>
      <c r="Y46" s="124" t="s">
        <v>524</v>
      </c>
    </row>
    <row r="47" spans="3:25" ht="12.75">
      <c r="C47" s="18"/>
      <c r="D47" s="19" t="s">
        <v>525</v>
      </c>
      <c r="E47" s="19" t="s">
        <v>529</v>
      </c>
      <c r="F47" s="20"/>
      <c r="G47" s="20">
        <v>-1</v>
      </c>
      <c r="H47" s="19"/>
      <c r="I47" s="86">
        <f ca="1">IF(OR(Flag="Ignore",Flag="Det",Flag="Hole"),"",INDIRECT("VertexCalc!X"&amp;Local)*(Interfaces!Xmirr-VertexCalc!Xmirr)+INDIRECT("VertexCalc!Y"&amp;Local)*(Interfaces!Ymirr-VertexCalc!Ymirr)+INDIRECT("VertexCalc!Z"&amp;Local)*(Interfaces!Zmirr-VertexCalc!Zmirr))</f>
        <v>0</v>
      </c>
      <c r="J47" s="87">
        <f ca="1">IF(OR(Flag="Ignore",Flag="Det",Flag="Hole"),"",INDIRECT("VertexCalc!X"&amp;Local)*(Interfaces!Xmirr-VertexCalc!Xmirr)+INDIRECT("VertexCalc!Y"&amp;Local)*(Interfaces!Ymirr-VertexCalc!Ymirr)+INDIRECT("VertexCalc!Z"&amp;Local)*(Interfaces!Zmirr-VertexCalc!Zmirr))</f>
        <v>0</v>
      </c>
      <c r="K47" s="88">
        <f ca="1">IF(OR(Flag="Ignore",Flag="Det",Flag="Hole"),"",INDIRECT("VertexCalc!X"&amp;Local)*(Interfaces!Xmirr-VertexCalc!Xmirr)+INDIRECT("VertexCalc!Y"&amp;Local)*(Interfaces!Ymirr-VertexCalc!Ymirr)+INDIRECT("VertexCalc!Z"&amp;Local)*(Interfaces!Zmirr-VertexCalc!Zmirr))</f>
        <v>0</v>
      </c>
      <c r="L47" s="87">
        <f ca="1">IF(OR(Flag="Ignore",Flag="Det",Flag="Hole"),"",(INDIRECT("VertexCalc!X"&amp;Local)*Interfaces!Xnorm+INDIRECT("VertexCalc!Y"&amp;Local)*Interfaces!Ynorm+INDIRECT("VertexCalc!Z"&amp;Local)*Interfaces!Znorm))</f>
        <v>0.9999999999999999</v>
      </c>
      <c r="M47" s="87">
        <f ca="1">IF(OR(Flag="Ignore",Flag="Det",Flag="Hole"),"",(INDIRECT("VertexCalc!X"&amp;Local)*Interfaces!Xnorm+INDIRECT("VertexCalc!Y"&amp;Local)*Interfaces!Ynorm+INDIRECT("VertexCalc!Z"&amp;Local)*Interfaces!Znorm))</f>
        <v>5.724587470723463E-17</v>
      </c>
      <c r="N47" s="87">
        <f ca="1">IF(OR(Flag="Ignore",Flag="Det",Flag="Hole"),"",(INDIRECT("VertexCalc!X"&amp;Local)*Interfaces!Xnorm+INDIRECT("VertexCalc!Y"&amp;Local)*Interfaces!Ynorm+INDIRECT("VertexCalc!Z"&amp;Local)*Interfaces!Znorm))</f>
        <v>0</v>
      </c>
      <c r="O47" s="86">
        <f aca="true" ca="1" t="shared" si="7" ref="O47:Q49">IF(OR(Flag="Ignore",Flag="Det",Flag="Hole"),"",INDIRECT(Axe&amp;"mirr")+IF(ThMirr="Thick",Thick,Thin)*INDIRECT(Axe&amp;"norm"))</f>
        <v>-6.971070059254094</v>
      </c>
      <c r="P47" s="87">
        <f ca="1" t="shared" si="7"/>
        <v>-3.9906500318741463E-16</v>
      </c>
      <c r="Q47" s="88">
        <f ca="1" t="shared" si="7"/>
        <v>0</v>
      </c>
      <c r="R47" s="87">
        <f ca="1">IF(OR(Flag="Ignore",Flag="Det",Flag="Hole"),"",INDIRECT("VertexCalc!X"&amp;Local)*Interfaces!Xsag+INDIRECT("VertexCalc!Y"&amp;Local)*Interfaces!Ysag+INDIRECT("VertexCalc!Z"&amp;Local)*Interfaces!Zsag)</f>
        <v>5.724587470723463E-17</v>
      </c>
      <c r="S47" s="87">
        <f ca="1">IF(OR(Flag="Ignore",Flag="Det",Flag="Hole"),"",INDIRECT("VertexCalc!X"&amp;Local)*Interfaces!Xsag+INDIRECT("VertexCalc!Y"&amp;Local)*Interfaces!Ysag+INDIRECT("VertexCalc!Z"&amp;Local)*Interfaces!Zsag)</f>
        <v>1</v>
      </c>
      <c r="T47" s="87">
        <f ca="1">IF(OR(Flag="Ignore",Flag="Det",Flag="Hole"),"",INDIRECT("VertexCalc!X"&amp;Local)*Interfaces!Xsag+INDIRECT("VertexCalc!Y"&amp;Local)*Interfaces!Ysag+INDIRECT("VertexCalc!Z"&amp;Local)*Interfaces!Zsag)</f>
        <v>-1.3877787807814457E-17</v>
      </c>
      <c r="U47" s="86">
        <f ca="1" t="shared" si="6"/>
        <v>-6.971070059254095</v>
      </c>
      <c r="V47" s="87">
        <f ca="1" t="shared" si="6"/>
        <v>-11.950405815864162</v>
      </c>
      <c r="W47" s="88">
        <f ca="1" t="shared" si="6"/>
        <v>1.6584519612983464E-16</v>
      </c>
      <c r="X47" s="20">
        <f t="shared" si="2"/>
        <v>89.99999999999999</v>
      </c>
      <c r="Y47" s="124" t="s">
        <v>525</v>
      </c>
    </row>
    <row r="48" spans="3:25" ht="13.5" thickBot="1">
      <c r="C48" s="14"/>
      <c r="D48" s="15" t="s">
        <v>526</v>
      </c>
      <c r="E48" s="15" t="s">
        <v>529</v>
      </c>
      <c r="F48" s="16"/>
      <c r="G48" s="16"/>
      <c r="H48" s="15" t="s">
        <v>158</v>
      </c>
      <c r="I48" s="93">
        <f ca="1">IF(OR(Flag="Ignore",Flag="Det",Flag="Hole"),"",INDIRECT("VertexCalc!X"&amp;Local)*(Interfaces!Xmirr-VertexCalc!Xmirr)+INDIRECT("VertexCalc!Y"&amp;Local)*(Interfaces!Ymirr-VertexCalc!Ymirr)+INDIRECT("VertexCalc!Z"&amp;Local)*(Interfaces!Zmirr-VertexCalc!Zmirr))</f>
      </c>
      <c r="J48" s="94">
        <f ca="1">IF(OR(Flag="Ignore",Flag="Det",Flag="Hole"),"",INDIRECT("VertexCalc!X"&amp;Local)*(Interfaces!Xmirr-VertexCalc!Xmirr)+INDIRECT("VertexCalc!Y"&amp;Local)*(Interfaces!Ymirr-VertexCalc!Ymirr)+INDIRECT("VertexCalc!Z"&amp;Local)*(Interfaces!Zmirr-VertexCalc!Zmirr))</f>
      </c>
      <c r="K48" s="95">
        <f ca="1">IF(OR(Flag="Ignore",Flag="Det",Flag="Hole"),"",INDIRECT("VertexCalc!X"&amp;Local)*(Interfaces!Xmirr-VertexCalc!Xmirr)+INDIRECT("VertexCalc!Y"&amp;Local)*(Interfaces!Ymirr-VertexCalc!Ymirr)+INDIRECT("VertexCalc!Z"&amp;Local)*(Interfaces!Zmirr-VertexCalc!Zmirr))</f>
      </c>
      <c r="L48" s="94">
        <f ca="1">IF(OR(Flag="Ignore",Flag="Det",Flag="Hole"),"",(INDIRECT("VertexCalc!X"&amp;Local)*Interfaces!Xnorm+INDIRECT("VertexCalc!Y"&amp;Local)*Interfaces!Ynorm+INDIRECT("VertexCalc!Z"&amp;Local)*Interfaces!Znorm))</f>
      </c>
      <c r="M48" s="94">
        <f ca="1">IF(OR(Flag="Ignore",Flag="Det",Flag="Hole"),"",(INDIRECT("VertexCalc!X"&amp;Local)*Interfaces!Xnorm+INDIRECT("VertexCalc!Y"&amp;Local)*Interfaces!Ynorm+INDIRECT("VertexCalc!Z"&amp;Local)*Interfaces!Znorm))</f>
      </c>
      <c r="N48" s="94">
        <f ca="1">IF(OR(Flag="Ignore",Flag="Det",Flag="Hole"),"",(INDIRECT("VertexCalc!X"&amp;Local)*Interfaces!Xnorm+INDIRECT("VertexCalc!Y"&amp;Local)*Interfaces!Ynorm+INDIRECT("VertexCalc!Z"&amp;Local)*Interfaces!Znorm))</f>
      </c>
      <c r="O48" s="93">
        <f ca="1" t="shared" si="7"/>
      </c>
      <c r="P48" s="94">
        <f ca="1" t="shared" si="7"/>
      </c>
      <c r="Q48" s="95">
        <f ca="1" t="shared" si="7"/>
      </c>
      <c r="R48" s="94">
        <f ca="1">IF(OR(Flag="Ignore",Flag="Det",Flag="Hole"),"",INDIRECT("VertexCalc!X"&amp;Local)*Interfaces!Xsag+INDIRECT("VertexCalc!Y"&amp;Local)*Interfaces!Ysag+INDIRECT("VertexCalc!Z"&amp;Local)*Interfaces!Zsag)</f>
      </c>
      <c r="S48" s="94">
        <f ca="1">IF(OR(Flag="Ignore",Flag="Det",Flag="Hole"),"",INDIRECT("VertexCalc!X"&amp;Local)*Interfaces!Xsag+INDIRECT("VertexCalc!Y"&amp;Local)*Interfaces!Ysag+INDIRECT("VertexCalc!Z"&amp;Local)*Interfaces!Zsag)</f>
      </c>
      <c r="T48" s="94">
        <f ca="1">IF(OR(Flag="Ignore",Flag="Det",Flag="Hole"),"",INDIRECT("VertexCalc!X"&amp;Local)*Interfaces!Xsag+INDIRECT("VertexCalc!Y"&amp;Local)*Interfaces!Ysag+INDIRECT("VertexCalc!Z"&amp;Local)*Interfaces!Zsag)</f>
      </c>
      <c r="U48" s="93">
        <f aca="true" ca="1" t="shared" si="8" ref="U48:W49">IF(OR(Flag="Ignore",Flag="Det",Flag="Hole"),"",INDIRECT(Axe&amp;"spig")+DowlSep*DowlDir*INDIRECT(Axe&amp;"sag"))</f>
      </c>
      <c r="V48" s="94">
        <f ca="1" t="shared" si="8"/>
      </c>
      <c r="W48" s="95">
        <f ca="1" t="shared" si="8"/>
      </c>
      <c r="X48" s="16">
        <f t="shared" si="2"/>
      </c>
      <c r="Y48" s="123" t="s">
        <v>526</v>
      </c>
    </row>
    <row r="49" spans="3:25" ht="13.5" thickBot="1">
      <c r="C49" s="108" t="s">
        <v>538</v>
      </c>
      <c r="D49" s="109" t="s">
        <v>539</v>
      </c>
      <c r="E49" s="109"/>
      <c r="F49" s="106"/>
      <c r="G49" s="106">
        <v>-1</v>
      </c>
      <c r="H49" s="109"/>
      <c r="I49" s="115">
        <f>-I27</f>
        <v>0</v>
      </c>
      <c r="J49" s="110">
        <f>J27</f>
        <v>0</v>
      </c>
      <c r="K49" s="116">
        <f>K27</f>
        <v>0</v>
      </c>
      <c r="L49" s="110">
        <f>L27</f>
        <v>0.9999999999999999</v>
      </c>
      <c r="M49" s="110">
        <f>M27</f>
        <v>0</v>
      </c>
      <c r="N49" s="110">
        <f>N27</f>
        <v>-2.7755575615628914E-17</v>
      </c>
      <c r="O49" s="115">
        <f ca="1" t="shared" si="7"/>
        <v>-6.971070059254094</v>
      </c>
      <c r="P49" s="110">
        <f ca="1" t="shared" si="7"/>
        <v>0</v>
      </c>
      <c r="Q49" s="116">
        <f ca="1" t="shared" si="7"/>
        <v>1.9348606215147377E-16</v>
      </c>
      <c r="R49" s="110">
        <f>-R27</f>
        <v>0</v>
      </c>
      <c r="S49" s="110">
        <f>S27</f>
        <v>0.9999999999999999</v>
      </c>
      <c r="T49" s="110">
        <f>T27</f>
        <v>1.3877787807814457E-17</v>
      </c>
      <c r="U49" s="115">
        <f ca="1" t="shared" si="8"/>
        <v>-6.971070059254094</v>
      </c>
      <c r="V49" s="110">
        <f ca="1" t="shared" si="8"/>
        <v>-11.95040581586416</v>
      </c>
      <c r="W49" s="116">
        <f ca="1" t="shared" si="8"/>
        <v>2.7640866021639124E-17</v>
      </c>
      <c r="X49" s="106">
        <f>IF(OR(Flag="Ignore",Flag="Hole",Flag="Det"),"",ACOS(Xsag*Xnorm+Ysag*Ynorm+Zsag*Znorm)*180/PI())</f>
        <v>90</v>
      </c>
      <c r="Y49" s="125" t="s">
        <v>539</v>
      </c>
    </row>
    <row r="50" spans="1:25" ht="13.5" thickBot="1">
      <c r="A50" s="5" t="s">
        <v>553</v>
      </c>
      <c r="C50" s="19"/>
      <c r="D50" s="19"/>
      <c r="E50" s="19"/>
      <c r="F50" s="20"/>
      <c r="G50" s="20"/>
      <c r="H50" s="19"/>
      <c r="I50" s="93" t="s">
        <v>543</v>
      </c>
      <c r="J50" s="94" t="s">
        <v>544</v>
      </c>
      <c r="K50" s="95" t="s">
        <v>545</v>
      </c>
      <c r="L50" s="87" t="s">
        <v>543</v>
      </c>
      <c r="M50" s="87" t="s">
        <v>544</v>
      </c>
      <c r="N50" s="87" t="s">
        <v>545</v>
      </c>
      <c r="O50" s="93" t="s">
        <v>543</v>
      </c>
      <c r="P50" s="94" t="s">
        <v>544</v>
      </c>
      <c r="Q50" s="95" t="s">
        <v>545</v>
      </c>
      <c r="R50" s="87" t="s">
        <v>543</v>
      </c>
      <c r="S50" s="87" t="s">
        <v>544</v>
      </c>
      <c r="T50" s="87" t="s">
        <v>545</v>
      </c>
      <c r="U50" s="93" t="s">
        <v>543</v>
      </c>
      <c r="V50" s="94" t="s">
        <v>544</v>
      </c>
      <c r="W50" s="95" t="s">
        <v>545</v>
      </c>
      <c r="Y50" s="19"/>
    </row>
    <row r="51" spans="1:25" ht="12.75">
      <c r="A51" s="5" t="s">
        <v>575</v>
      </c>
      <c r="C51" s="19"/>
      <c r="D51" s="19"/>
      <c r="E51" s="19"/>
      <c r="F51" s="20"/>
      <c r="G51" s="20"/>
      <c r="H51" s="19"/>
      <c r="I51" s="87" t="s">
        <v>405</v>
      </c>
      <c r="J51" s="87" t="s">
        <v>406</v>
      </c>
      <c r="K51" s="87" t="s">
        <v>407</v>
      </c>
      <c r="L51" s="87" t="s">
        <v>405</v>
      </c>
      <c r="M51" s="87" t="s">
        <v>406</v>
      </c>
      <c r="N51" s="87" t="s">
        <v>407</v>
      </c>
      <c r="O51" s="87" t="s">
        <v>405</v>
      </c>
      <c r="P51" s="87" t="s">
        <v>406</v>
      </c>
      <c r="Q51" s="87" t="s">
        <v>407</v>
      </c>
      <c r="R51" s="87" t="s">
        <v>405</v>
      </c>
      <c r="S51" s="87" t="s">
        <v>406</v>
      </c>
      <c r="T51" s="87" t="s">
        <v>407</v>
      </c>
      <c r="U51" s="87" t="s">
        <v>405</v>
      </c>
      <c r="V51" s="87" t="s">
        <v>406</v>
      </c>
      <c r="W51" s="87" t="s">
        <v>407</v>
      </c>
      <c r="Y51" s="19"/>
    </row>
    <row r="52" spans="3:23" ht="12.75">
      <c r="C52" s="23" t="s">
        <v>135</v>
      </c>
      <c r="I52" s="45"/>
      <c r="J52" s="45"/>
      <c r="K52" s="45"/>
      <c r="L52" s="45"/>
      <c r="M52" s="45"/>
      <c r="N52" s="45"/>
      <c r="O52" s="87"/>
      <c r="P52" s="87"/>
      <c r="Q52" s="87"/>
      <c r="R52" s="45"/>
      <c r="S52" s="45"/>
      <c r="T52" s="45"/>
      <c r="U52" s="87"/>
      <c r="V52" s="87"/>
      <c r="W52" s="87"/>
    </row>
    <row r="53" spans="3:23" ht="12.75">
      <c r="C53" s="1" t="s">
        <v>17</v>
      </c>
      <c r="D53" s="1" t="str">
        <f>"-Zsyno"</f>
        <v>-Zsyno</v>
      </c>
      <c r="E53" s="1" t="s">
        <v>128</v>
      </c>
      <c r="F53" s="29" t="s">
        <v>409</v>
      </c>
      <c r="G53" s="107"/>
      <c r="I53" s="45"/>
      <c r="J53" s="45"/>
      <c r="K53" s="45"/>
      <c r="L53" s="45"/>
      <c r="M53" s="45"/>
      <c r="N53" s="45"/>
      <c r="O53" s="87"/>
      <c r="P53" s="87"/>
      <c r="Q53" s="87"/>
      <c r="R53" s="45"/>
      <c r="S53" s="45"/>
      <c r="T53" s="45"/>
      <c r="U53" s="87"/>
      <c r="V53" s="87"/>
      <c r="W53" s="87"/>
    </row>
    <row r="54" spans="3:23" ht="12.75">
      <c r="C54" s="1" t="s">
        <v>80</v>
      </c>
      <c r="D54" s="1" t="s">
        <v>131</v>
      </c>
      <c r="E54" s="1" t="s">
        <v>129</v>
      </c>
      <c r="F54" s="19" t="s">
        <v>128</v>
      </c>
      <c r="G54" s="20"/>
      <c r="I54" s="45"/>
      <c r="J54" s="45"/>
      <c r="K54" s="45"/>
      <c r="L54" s="45"/>
      <c r="M54" s="45"/>
      <c r="N54" s="45"/>
      <c r="O54" s="87"/>
      <c r="P54" s="87"/>
      <c r="Q54" s="87"/>
      <c r="R54" s="45"/>
      <c r="S54" s="45"/>
      <c r="T54" s="45"/>
      <c r="U54" s="87"/>
      <c r="V54" s="87"/>
      <c r="W54" s="87"/>
    </row>
    <row r="55" spans="3:23" ht="12.75">
      <c r="C55" s="1" t="s">
        <v>81</v>
      </c>
      <c r="D55" s="1" t="s">
        <v>132</v>
      </c>
      <c r="E55" s="1" t="s">
        <v>130</v>
      </c>
      <c r="F55" s="19" t="s">
        <v>129</v>
      </c>
      <c r="G55" s="20"/>
      <c r="I55" s="45"/>
      <c r="J55" s="45"/>
      <c r="K55" s="45"/>
      <c r="L55" s="45"/>
      <c r="M55" s="45"/>
      <c r="N55" s="45"/>
      <c r="O55" s="87"/>
      <c r="P55" s="87"/>
      <c r="Q55" s="87"/>
      <c r="R55" s="45"/>
      <c r="S55" s="45"/>
      <c r="T55" s="45"/>
      <c r="U55" s="87"/>
      <c r="V55" s="87"/>
      <c r="W55" s="87"/>
    </row>
    <row r="56" spans="3:23" ht="12.75">
      <c r="C56" s="19"/>
      <c r="D56" s="19"/>
      <c r="E56" s="19"/>
      <c r="F56" s="19" t="s">
        <v>130</v>
      </c>
      <c r="G56" s="20"/>
      <c r="H56" s="19"/>
      <c r="I56" s="45"/>
      <c r="J56" s="45"/>
      <c r="K56" s="45"/>
      <c r="L56" s="45"/>
      <c r="M56" s="45"/>
      <c r="N56" s="45"/>
      <c r="O56" s="87"/>
      <c r="P56" s="87"/>
      <c r="Q56" s="87"/>
      <c r="R56" s="45"/>
      <c r="S56" s="45"/>
      <c r="T56" s="45"/>
      <c r="U56" s="87"/>
      <c r="V56" s="87"/>
      <c r="W56" s="87"/>
    </row>
    <row r="57" spans="3:23" ht="12.75">
      <c r="C57" s="29" t="s">
        <v>46</v>
      </c>
      <c r="D57" s="29" t="s">
        <v>408</v>
      </c>
      <c r="E57" s="29" t="s">
        <v>301</v>
      </c>
      <c r="F57" s="20"/>
      <c r="G57" s="20"/>
      <c r="I57" s="45"/>
      <c r="J57" s="45"/>
      <c r="K57" s="45"/>
      <c r="L57" s="45"/>
      <c r="M57" s="45"/>
      <c r="N57" s="45"/>
      <c r="O57" s="87"/>
      <c r="P57" s="87"/>
      <c r="Q57" s="87"/>
      <c r="R57" s="45"/>
      <c r="S57" s="45"/>
      <c r="T57" s="45"/>
      <c r="U57" s="87"/>
      <c r="V57" s="87"/>
      <c r="W57" s="87"/>
    </row>
    <row r="58" spans="3:23" ht="12.75">
      <c r="C58" s="19" t="s">
        <v>17</v>
      </c>
      <c r="D58" s="19" t="str">
        <f>"-Zsyno"</f>
        <v>-Zsyno</v>
      </c>
      <c r="E58" s="19" t="s">
        <v>405</v>
      </c>
      <c r="F58" s="20"/>
      <c r="G58" s="20"/>
      <c r="I58" s="45"/>
      <c r="J58" s="45"/>
      <c r="K58" s="45"/>
      <c r="L58" s="45"/>
      <c r="M58" s="45"/>
      <c r="N58" s="45"/>
      <c r="O58" s="87"/>
      <c r="P58" s="87"/>
      <c r="Q58" s="87"/>
      <c r="R58" s="45"/>
      <c r="S58" s="45"/>
      <c r="T58" s="45"/>
      <c r="U58" s="87"/>
      <c r="V58" s="87"/>
      <c r="W58" s="87"/>
    </row>
    <row r="59" spans="3:23" ht="12.75">
      <c r="C59" s="19" t="s">
        <v>80</v>
      </c>
      <c r="D59" s="19" t="s">
        <v>131</v>
      </c>
      <c r="E59" s="19" t="s">
        <v>406</v>
      </c>
      <c r="F59" s="20"/>
      <c r="G59" s="20"/>
      <c r="I59" s="45"/>
      <c r="J59" s="45"/>
      <c r="K59" s="45"/>
      <c r="L59" s="45"/>
      <c r="M59" s="45"/>
      <c r="N59" s="45"/>
      <c r="O59" s="87"/>
      <c r="P59" s="87"/>
      <c r="Q59" s="87"/>
      <c r="R59" s="45"/>
      <c r="S59" s="45"/>
      <c r="T59" s="45"/>
      <c r="U59" s="87"/>
      <c r="V59" s="87"/>
      <c r="W59" s="87"/>
    </row>
    <row r="60" spans="3:23" ht="12.75">
      <c r="C60" s="19" t="s">
        <v>81</v>
      </c>
      <c r="D60" s="19" t="s">
        <v>132</v>
      </c>
      <c r="E60" s="19" t="s">
        <v>407</v>
      </c>
      <c r="G60" s="20"/>
      <c r="I60" s="45"/>
      <c r="J60" s="45"/>
      <c r="K60" s="45"/>
      <c r="L60" s="45"/>
      <c r="M60" s="45"/>
      <c r="N60" s="45"/>
      <c r="O60" s="87"/>
      <c r="P60" s="87"/>
      <c r="Q60" s="87"/>
      <c r="R60" s="45"/>
      <c r="S60" s="45"/>
      <c r="T60" s="45"/>
      <c r="U60" s="87"/>
      <c r="V60" s="87"/>
      <c r="W60" s="87"/>
    </row>
    <row r="61" spans="3:20" ht="12.75">
      <c r="C61" s="19"/>
      <c r="D61" s="19"/>
      <c r="E61" s="19"/>
      <c r="H61" s="19"/>
      <c r="I61" s="45"/>
      <c r="J61" s="45"/>
      <c r="K61" s="45"/>
      <c r="L61" s="45"/>
      <c r="M61" s="45"/>
      <c r="N61" s="45"/>
      <c r="R61" s="45"/>
      <c r="S61" s="45"/>
      <c r="T61" s="45"/>
    </row>
    <row r="62" spans="3:20" ht="12.75">
      <c r="C62" s="19" t="s">
        <v>399</v>
      </c>
      <c r="D62" s="19">
        <v>-1</v>
      </c>
      <c r="E62" s="19"/>
      <c r="H62" s="19"/>
      <c r="I62" s="45"/>
      <c r="J62" s="45"/>
      <c r="K62" s="45"/>
      <c r="L62" s="45"/>
      <c r="M62" s="45"/>
      <c r="N62" s="45"/>
      <c r="R62" s="45"/>
      <c r="S62" s="45"/>
      <c r="T62" s="45"/>
    </row>
    <row r="63" spans="3:20" ht="12.75">
      <c r="C63" s="19" t="s">
        <v>400</v>
      </c>
      <c r="D63" s="19">
        <v>-1</v>
      </c>
      <c r="E63" s="19"/>
      <c r="H63" s="19"/>
      <c r="I63" s="45"/>
      <c r="J63" s="45"/>
      <c r="K63" s="45"/>
      <c r="L63" s="45"/>
      <c r="M63" s="45"/>
      <c r="N63" s="45"/>
      <c r="R63" s="45"/>
      <c r="S63" s="45"/>
      <c r="T63" s="45"/>
    </row>
    <row r="64" spans="3:20" ht="12.75">
      <c r="C64" s="19"/>
      <c r="D64" s="19"/>
      <c r="H64" s="19"/>
      <c r="I64" s="45"/>
      <c r="J64" s="45"/>
      <c r="K64" s="45"/>
      <c r="L64" s="45"/>
      <c r="M64" s="45"/>
      <c r="N64" s="45"/>
      <c r="R64" s="45"/>
      <c r="S64" s="45"/>
      <c r="T64" s="45"/>
    </row>
    <row r="65" spans="9:20" ht="12.75">
      <c r="I65" s="45"/>
      <c r="J65" s="45"/>
      <c r="K65" s="45"/>
      <c r="L65" s="45"/>
      <c r="M65" s="45"/>
      <c r="N65" s="45"/>
      <c r="R65" s="45"/>
      <c r="S65" s="45"/>
      <c r="T65" s="45"/>
    </row>
  </sheetData>
  <printOptions/>
  <pageMargins left="0.31" right="0.33" top="0.984251968503937" bottom="0.984251968503937" header="0.5118110236220472" footer="0.5118110236220472"/>
  <pageSetup fitToHeight="1" fitToWidth="1" horizontalDpi="600" verticalDpi="600" orientation="landscape" paperSize="9" scale="46" r:id="rId1"/>
  <headerFooter alignWithMargins="0">
    <oddHeader>&amp;L&amp;F, &amp;A&amp;R&amp;T, &amp;D</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D66"/>
  <sheetViews>
    <sheetView zoomScale="80" zoomScaleNormal="80" workbookViewId="0" topLeftCell="D1">
      <selection activeCell="Y2" sqref="Y2"/>
    </sheetView>
  </sheetViews>
  <sheetFormatPr defaultColWidth="12" defaultRowHeight="12.75"/>
  <cols>
    <col min="1" max="2" width="12" style="55" customWidth="1"/>
    <col min="3" max="3" width="20.16015625" style="55" customWidth="1"/>
    <col min="4" max="4" width="12" style="55" customWidth="1"/>
    <col min="5" max="5" width="12" style="1" customWidth="1"/>
    <col min="6" max="6" width="8.83203125" style="55" customWidth="1"/>
    <col min="7" max="7" width="10.83203125" style="30" customWidth="1"/>
    <col min="8" max="8" width="12" style="30" customWidth="1"/>
    <col min="9" max="9" width="10.83203125" style="30" customWidth="1"/>
    <col min="10" max="10" width="12.33203125" style="30" customWidth="1"/>
    <col min="11" max="11" width="9.5" style="30" customWidth="1"/>
    <col min="12" max="12" width="11" style="30" customWidth="1"/>
    <col min="13" max="13" width="12.16015625" style="30" customWidth="1"/>
    <col min="14" max="16" width="8.83203125" style="30" customWidth="1"/>
    <col min="17" max="17" width="12" style="45" customWidth="1"/>
    <col min="18" max="19" width="9.33203125" style="45" customWidth="1"/>
    <col min="20" max="23" width="9.33203125" style="30" customWidth="1"/>
    <col min="24" max="24" width="12" style="30" customWidth="1"/>
    <col min="25" max="25" width="12.33203125" style="55" customWidth="1"/>
    <col min="26" max="16384" width="12" style="55" customWidth="1"/>
  </cols>
  <sheetData>
    <row r="1" spans="3:24" s="53" customFormat="1" ht="12.75">
      <c r="C1" s="53" t="s">
        <v>127</v>
      </c>
      <c r="D1" s="53" t="s">
        <v>2</v>
      </c>
      <c r="E1" s="5" t="s">
        <v>530</v>
      </c>
      <c r="F1" s="53" t="s">
        <v>156</v>
      </c>
      <c r="G1" s="32" t="str">
        <f>"X"&amp;Ray</f>
        <v>XGut</v>
      </c>
      <c r="H1" s="32" t="str">
        <f>"Y"&amp;Ray</f>
        <v>YGut</v>
      </c>
      <c r="I1" s="32" t="str">
        <f>"Z"&amp;Ray</f>
        <v>ZGut</v>
      </c>
      <c r="J1" s="32" t="s">
        <v>136</v>
      </c>
      <c r="K1" s="32" t="s">
        <v>137</v>
      </c>
      <c r="L1" s="32" t="s">
        <v>138</v>
      </c>
      <c r="M1" s="32" t="s">
        <v>139</v>
      </c>
      <c r="N1" s="32" t="s">
        <v>140</v>
      </c>
      <c r="O1" s="32" t="s">
        <v>141</v>
      </c>
      <c r="P1" s="32" t="s">
        <v>142</v>
      </c>
      <c r="Q1" s="54" t="s">
        <v>143</v>
      </c>
      <c r="R1" s="54" t="s">
        <v>144</v>
      </c>
      <c r="S1" s="54" t="s">
        <v>145</v>
      </c>
      <c r="T1" s="32" t="s">
        <v>146</v>
      </c>
      <c r="U1" s="32" t="s">
        <v>14</v>
      </c>
      <c r="V1" s="32" t="s">
        <v>15</v>
      </c>
      <c r="W1" s="32" t="s">
        <v>16</v>
      </c>
      <c r="X1" s="32" t="s">
        <v>397</v>
      </c>
    </row>
    <row r="2" spans="2:25" ht="13.5" thickBot="1">
      <c r="B2" s="55" t="s">
        <v>44</v>
      </c>
      <c r="C2" s="55" t="str">
        <f>PhotGutRay!J4</f>
        <v>(BOLPHT155)</v>
      </c>
      <c r="D2" s="55" t="s">
        <v>91</v>
      </c>
      <c r="E2" s="1" t="s">
        <v>527</v>
      </c>
      <c r="F2" s="55" t="s">
        <v>126</v>
      </c>
      <c r="G2" s="30">
        <f ca="1" t="shared" si="0" ref="G2:I21">INDIRECT("RayImpacts!"&amp;Axe&amp;System&amp;Ray)</f>
        <v>3252</v>
      </c>
      <c r="H2" s="30">
        <f ca="1" t="shared" si="0"/>
        <v>0</v>
      </c>
      <c r="I2" s="30">
        <f ca="1" t="shared" si="0"/>
        <v>61.176845</v>
      </c>
      <c r="J2" s="30">
        <f>IF(Flag="Ignore","",G2-G1)</f>
      </c>
      <c r="K2" s="30">
        <f>IF(Flag="Ignore","",H2-H1)</f>
      </c>
      <c r="L2" s="30">
        <f>IF(Flag="Ignore","",I2-I1)</f>
      </c>
      <c r="M2" s="30">
        <f aca="true" t="shared" si="1" ref="M2:M22">IF(Flag="ignore","",SQRT(Xdiff^2+Ydiff^2+Zdiff^2))</f>
      </c>
      <c r="N2" s="30">
        <f aca="true" t="shared" si="2" ref="N2:N22">IF(Flag="ignore","",Xdiff/DiffMod)</f>
      </c>
      <c r="O2" s="30">
        <f aca="true" t="shared" si="3" ref="O2:O22">IF(Flag="ignore","",Ydiff/DiffMod)</f>
      </c>
      <c r="P2" s="30">
        <f aca="true" t="shared" si="4" ref="P2:P22">IF(Flag="ignore","",Zdiff/DiffMod)</f>
      </c>
      <c r="Q2" s="45">
        <f>IF(OR(Flag="Ignore",Flag="Det",Flag="Hole"),"",N3-Xray)</f>
      </c>
      <c r="R2" s="45">
        <f>IF(OR(Flag="Ignore",Flag="Det",Flag="Hole"),"",O3-Yray)</f>
      </c>
      <c r="S2" s="45">
        <f>IF(OR(Flag="Ignore",Flag="Det",Flag="Hole"),"",P3-Zray)</f>
      </c>
      <c r="T2" s="30">
        <f>IF(OR(Flag="Ignore",Flag="Det",Flag="Hole"),"",SQRT(dXray^2+dYray^2+dZray^2))</f>
      </c>
      <c r="U2" s="30">
        <f>IF(OR(Flag="Ignore",Flag="Det",Flag="Hole"),"",dXray/drayMod)</f>
      </c>
      <c r="V2" s="30">
        <f>IF(OR(Flag="Ignore",Flag="Det",Flag="Hole"),"",dYray/drayMod)</f>
      </c>
      <c r="W2" s="30">
        <f>IF(OR(Flag="Ignore",Flag="Det",Flag="Hole"),"",dZray/drayMod)</f>
      </c>
      <c r="X2" s="30">
        <f>IF(OR(Flag="Ignore",Flag="Det",Flag="Hole"),"",SIGN(Xnorm))</f>
      </c>
      <c r="Y2" s="55" t="e">
        <f>Xnorm*VertexCalc!Xnorm+Ynorm*VertexCalc!Ynorm+Znorm*VertexCalc!Znorm</f>
        <v>#VALUE!</v>
      </c>
    </row>
    <row r="3" spans="3:25" ht="12.75">
      <c r="C3" s="56" t="s">
        <v>120</v>
      </c>
      <c r="D3" s="57" t="s">
        <v>92</v>
      </c>
      <c r="E3" s="11" t="s">
        <v>527</v>
      </c>
      <c r="F3" s="57"/>
      <c r="G3" s="48">
        <f ca="1" t="shared" si="0"/>
        <v>1252.428903</v>
      </c>
      <c r="H3" s="48">
        <f ca="1" t="shared" si="0"/>
        <v>0</v>
      </c>
      <c r="I3" s="48">
        <f ca="1" t="shared" si="0"/>
        <v>54.793441</v>
      </c>
      <c r="J3" s="48">
        <f aca="true" t="shared" si="5" ref="J3:J22">IF(Flag="Ignore","",G3-G2)</f>
        <v>-1999.571097</v>
      </c>
      <c r="K3" s="48">
        <f aca="true" t="shared" si="6" ref="K3:K22">IF(Flag="Ignore","",H3-H2)</f>
        <v>0</v>
      </c>
      <c r="L3" s="48">
        <f aca="true" t="shared" si="7" ref="L3:L22">IF(Flag="Ignore","",I3-I2)</f>
        <v>-6.383403999999999</v>
      </c>
      <c r="M3" s="48">
        <f t="shared" si="1"/>
        <v>1999.5812861207744</v>
      </c>
      <c r="N3" s="48">
        <f t="shared" si="2"/>
        <v>-0.9999949043728079</v>
      </c>
      <c r="O3" s="48">
        <f t="shared" si="3"/>
        <v>0</v>
      </c>
      <c r="P3" s="48">
        <f t="shared" si="4"/>
        <v>-0.0031923703448855155</v>
      </c>
      <c r="Q3" s="48">
        <f aca="true" t="shared" si="8" ref="Q3:Q22">IF(OR(Flag="Ignore",Flag="Det",Flag="Hole"),"",N4-Xray)</f>
        <v>1.9993998261087873</v>
      </c>
      <c r="R3" s="48">
        <f aca="true" t="shared" si="9" ref="R3:R22">IF(OR(Flag="Ignore",Flag="Det",Flag="Hole"),"",O4-Yray)</f>
        <v>0</v>
      </c>
      <c r="S3" s="48">
        <f aca="true" t="shared" si="10" ref="S3:S22">IF(OR(Flag="Ignore",Flag="Det",Flag="Hole"),"",P4-Zray)</f>
        <v>-0.031301142232129577</v>
      </c>
      <c r="T3" s="48">
        <f aca="true" t="shared" si="11" ref="T3:T22">IF(OR(Flag="Ignore",Flag="Det",Flag="Hole"),"",SQRT(dXray^2+dYray^2+dZray^2))</f>
        <v>1.999644824999901</v>
      </c>
      <c r="U3" s="48">
        <f aca="true" t="shared" si="12" ref="U3:U22">IF(OR(Flag="Ignore",Flag="Det",Flag="Hole"),"",dXray/drayMod)</f>
        <v>0.9998774787962088</v>
      </c>
      <c r="V3" s="48">
        <f aca="true" t="shared" si="13" ref="V3:V22">IF(OR(Flag="Ignore",Flag="Det",Flag="Hole"),"",dYray/drayMod)</f>
        <v>0</v>
      </c>
      <c r="W3" s="48">
        <f aca="true" t="shared" si="14" ref="W3:W22">IF(OR(Flag="Ignore",Flag="Det",Flag="Hole"),"",dZray/drayMod)</f>
        <v>-0.01565335095552838</v>
      </c>
      <c r="X3" s="49">
        <f aca="true" t="shared" si="15" ref="X3:X22">IF(OR(Flag="Ignore",Flag="Det",Flag="Hole"),"",SIGN(Xnorm))</f>
        <v>1</v>
      </c>
      <c r="Y3" s="55" t="e">
        <f>Xnorm*VertexCalc!Xnorm+Ynorm*VertexCalc!Ynorm+Znorm*VertexCalc!Znorm</f>
        <v>#VALUE!</v>
      </c>
    </row>
    <row r="4" spans="3:25" ht="13.5" thickBot="1">
      <c r="C4" s="58"/>
      <c r="D4" s="59" t="s">
        <v>93</v>
      </c>
      <c r="E4" s="15" t="s">
        <v>527</v>
      </c>
      <c r="F4" s="59"/>
      <c r="G4" s="51">
        <f ca="1" t="shared" si="0"/>
        <v>2839.998</v>
      </c>
      <c r="H4" s="51">
        <f ca="1" t="shared" si="0"/>
        <v>0</v>
      </c>
      <c r="I4" s="51">
        <f ca="1" t="shared" si="0"/>
        <v>7.11E-15</v>
      </c>
      <c r="J4" s="51">
        <f t="shared" si="5"/>
        <v>1587.569097</v>
      </c>
      <c r="K4" s="51">
        <f t="shared" si="6"/>
        <v>0</v>
      </c>
      <c r="L4" s="51">
        <f t="shared" si="7"/>
        <v>-54.793440999999994</v>
      </c>
      <c r="M4" s="51">
        <f t="shared" si="1"/>
        <v>1588.5143873840163</v>
      </c>
      <c r="N4" s="51">
        <f t="shared" si="2"/>
        <v>0.9994049217359794</v>
      </c>
      <c r="O4" s="51">
        <f t="shared" si="3"/>
        <v>0</v>
      </c>
      <c r="P4" s="51">
        <f t="shared" si="4"/>
        <v>-0.03449351257701509</v>
      </c>
      <c r="Q4" s="51">
        <f t="shared" si="8"/>
        <v>-1.998809843473631</v>
      </c>
      <c r="R4" s="51">
        <f t="shared" si="9"/>
        <v>0</v>
      </c>
      <c r="S4" s="51">
        <f t="shared" si="10"/>
        <v>4.845152751231652E-11</v>
      </c>
      <c r="T4" s="51">
        <f t="shared" si="11"/>
        <v>1.998809843473631</v>
      </c>
      <c r="U4" s="51">
        <f t="shared" si="12"/>
        <v>-1</v>
      </c>
      <c r="V4" s="51">
        <f t="shared" si="13"/>
        <v>0</v>
      </c>
      <c r="W4" s="51">
        <f t="shared" si="14"/>
        <v>2.4240188565469062E-11</v>
      </c>
      <c r="X4" s="52">
        <f t="shared" si="15"/>
        <v>-1</v>
      </c>
      <c r="Y4" s="55" t="e">
        <f>Xnorm*VertexCalc!Xnorm+Ynorm*VertexCalc!Ynorm+Znorm*VertexCalc!Znorm</f>
        <v>#VALUE!</v>
      </c>
    </row>
    <row r="5" spans="1:25" ht="13.5" thickBot="1">
      <c r="A5" s="55" t="s">
        <v>3</v>
      </c>
      <c r="B5" s="60" t="s">
        <v>147</v>
      </c>
      <c r="C5" s="56" t="s">
        <v>121</v>
      </c>
      <c r="D5" s="57" t="s">
        <v>94</v>
      </c>
      <c r="E5" s="11" t="s">
        <v>527</v>
      </c>
      <c r="F5" s="57" t="s">
        <v>157</v>
      </c>
      <c r="G5" s="48">
        <f ca="1" t="shared" si="0"/>
        <v>228.382552</v>
      </c>
      <c r="H5" s="48">
        <f ca="1" t="shared" si="0"/>
        <v>0</v>
      </c>
      <c r="I5" s="48">
        <f ca="1" t="shared" si="0"/>
        <v>-90.137429</v>
      </c>
      <c r="J5" s="48">
        <f t="shared" si="5"/>
        <v>-2611.615448</v>
      </c>
      <c r="K5" s="48">
        <f t="shared" si="6"/>
        <v>0</v>
      </c>
      <c r="L5" s="48">
        <f t="shared" si="7"/>
        <v>-90.13742900000001</v>
      </c>
      <c r="M5" s="48">
        <f t="shared" si="1"/>
        <v>2613.1704889537864</v>
      </c>
      <c r="N5" s="48">
        <f t="shared" si="2"/>
        <v>-0.9994049217376517</v>
      </c>
      <c r="O5" s="48">
        <f t="shared" si="3"/>
        <v>0</v>
      </c>
      <c r="P5" s="48">
        <f t="shared" si="4"/>
        <v>-0.034493512528563565</v>
      </c>
      <c r="Q5" s="48">
        <f t="shared" si="8"/>
      </c>
      <c r="R5" s="48">
        <f t="shared" si="9"/>
      </c>
      <c r="S5" s="48">
        <f t="shared" si="10"/>
      </c>
      <c r="T5" s="48">
        <f t="shared" si="11"/>
      </c>
      <c r="U5" s="48">
        <f t="shared" si="12"/>
      </c>
      <c r="V5" s="48">
        <f t="shared" si="13"/>
      </c>
      <c r="W5" s="48">
        <f t="shared" si="14"/>
      </c>
      <c r="X5" s="49">
        <f t="shared" si="15"/>
      </c>
      <c r="Y5" s="55" t="e">
        <f>Xnorm*VertexCalc!Xnorm+Ynorm*VertexCalc!Ynorm+Znorm*VertexCalc!Znorm</f>
        <v>#VALUE!</v>
      </c>
    </row>
    <row r="6" spans="3:25" ht="12.75">
      <c r="C6" s="61"/>
      <c r="D6" s="62" t="s">
        <v>95</v>
      </c>
      <c r="E6" s="19" t="s">
        <v>527</v>
      </c>
      <c r="F6" s="62"/>
      <c r="G6" s="45">
        <f ca="1" t="shared" si="0"/>
        <v>131.14166</v>
      </c>
      <c r="H6" s="45">
        <f ca="1" t="shared" si="0"/>
        <v>0</v>
      </c>
      <c r="I6" s="45">
        <f ca="1" t="shared" si="0"/>
        <v>-93.493606</v>
      </c>
      <c r="J6" s="45">
        <f t="shared" si="5"/>
        <v>-97.240892</v>
      </c>
      <c r="K6" s="45">
        <f t="shared" si="6"/>
        <v>0</v>
      </c>
      <c r="L6" s="45">
        <f t="shared" si="7"/>
        <v>-3.3561770000000024</v>
      </c>
      <c r="M6" s="45">
        <f t="shared" si="1"/>
        <v>97.29879239235703</v>
      </c>
      <c r="N6" s="45">
        <f t="shared" si="2"/>
        <v>-0.9994049217782319</v>
      </c>
      <c r="O6" s="45">
        <f t="shared" si="3"/>
        <v>0</v>
      </c>
      <c r="P6" s="45">
        <f t="shared" si="4"/>
        <v>-0.03449351135280519</v>
      </c>
      <c r="Q6" s="45">
        <f t="shared" si="8"/>
        <v>1.8658356402374152</v>
      </c>
      <c r="R6" s="45">
        <f t="shared" si="9"/>
        <v>0</v>
      </c>
      <c r="S6" s="45">
        <f t="shared" si="10"/>
        <v>-0.4648038049931809</v>
      </c>
      <c r="T6" s="45">
        <f t="shared" si="11"/>
        <v>1.9228586046603384</v>
      </c>
      <c r="U6" s="45">
        <f t="shared" si="12"/>
        <v>0.9703446918641239</v>
      </c>
      <c r="V6" s="45">
        <f t="shared" si="13"/>
        <v>0</v>
      </c>
      <c r="W6" s="45">
        <f t="shared" si="14"/>
        <v>-0.24172542061421398</v>
      </c>
      <c r="X6" s="46">
        <f t="shared" si="15"/>
        <v>1</v>
      </c>
      <c r="Y6" s="55">
        <f>Xnorm*VertexCalc!Xnorm+Ynorm*VertexCalc!Ynorm+Znorm*VertexCalc!Znorm</f>
        <v>0.9227292697321573</v>
      </c>
    </row>
    <row r="7" spans="3:25" ht="12.75">
      <c r="C7" s="61"/>
      <c r="D7" s="62" t="s">
        <v>97</v>
      </c>
      <c r="E7" s="19" t="s">
        <v>527</v>
      </c>
      <c r="F7" s="62"/>
      <c r="G7" s="45">
        <f ca="1" t="shared" si="0"/>
        <v>316.125099</v>
      </c>
      <c r="H7" s="45">
        <f ca="1" t="shared" si="0"/>
        <v>0</v>
      </c>
      <c r="I7" s="45">
        <f ca="1" t="shared" si="0"/>
        <v>-200.09386</v>
      </c>
      <c r="J7" s="45">
        <f t="shared" si="5"/>
        <v>184.98343899999998</v>
      </c>
      <c r="K7" s="45">
        <f t="shared" si="6"/>
        <v>0</v>
      </c>
      <c r="L7" s="45">
        <f t="shared" si="7"/>
        <v>-106.600254</v>
      </c>
      <c r="M7" s="45">
        <f t="shared" si="1"/>
        <v>213.50055469982092</v>
      </c>
      <c r="N7" s="45">
        <f t="shared" si="2"/>
        <v>0.8664307184591832</v>
      </c>
      <c r="O7" s="45">
        <f t="shared" si="3"/>
        <v>0</v>
      </c>
      <c r="P7" s="45">
        <f t="shared" si="4"/>
        <v>-0.4992973163459861</v>
      </c>
      <c r="Q7" s="45">
        <f t="shared" si="8"/>
        <v>-1.8610736640512038</v>
      </c>
      <c r="R7" s="45">
        <f t="shared" si="9"/>
        <v>0</v>
      </c>
      <c r="S7" s="45">
        <f t="shared" si="10"/>
        <v>0.6026675769823453</v>
      </c>
      <c r="T7" s="45">
        <f t="shared" si="11"/>
        <v>1.9562217132448827</v>
      </c>
      <c r="U7" s="45">
        <f t="shared" si="12"/>
        <v>-0.9513613162815517</v>
      </c>
      <c r="V7" s="45">
        <f t="shared" si="13"/>
        <v>0</v>
      </c>
      <c r="W7" s="45">
        <f t="shared" si="14"/>
        <v>0.30807733750315575</v>
      </c>
      <c r="X7" s="46">
        <f t="shared" si="15"/>
        <v>-1</v>
      </c>
      <c r="Y7" s="55">
        <f>Xnorm*VertexCalc!Xnorm+Ynorm*VertexCalc!Ynorm+Znorm*VertexCalc!Znorm</f>
        <v>1</v>
      </c>
    </row>
    <row r="8" spans="3:25" ht="13.5" thickBot="1">
      <c r="C8" s="58"/>
      <c r="D8" s="59" t="s">
        <v>98</v>
      </c>
      <c r="E8" s="15" t="s">
        <v>527</v>
      </c>
      <c r="F8" s="59"/>
      <c r="G8" s="51">
        <f ca="1" t="shared" si="0"/>
        <v>119.782557</v>
      </c>
      <c r="H8" s="51">
        <f ca="1" t="shared" si="0"/>
        <v>0</v>
      </c>
      <c r="I8" s="51">
        <f ca="1" t="shared" si="0"/>
        <v>-179.688568</v>
      </c>
      <c r="J8" s="51">
        <f t="shared" si="5"/>
        <v>-196.34254199999998</v>
      </c>
      <c r="K8" s="51">
        <f t="shared" si="6"/>
        <v>0</v>
      </c>
      <c r="L8" s="51">
        <f t="shared" si="7"/>
        <v>20.405292000000003</v>
      </c>
      <c r="M8" s="51">
        <f t="shared" si="1"/>
        <v>197.400024672306</v>
      </c>
      <c r="N8" s="51">
        <f t="shared" si="2"/>
        <v>-0.9946429455920206</v>
      </c>
      <c r="O8" s="51">
        <f t="shared" si="3"/>
        <v>0</v>
      </c>
      <c r="P8" s="51">
        <f t="shared" si="4"/>
        <v>0.10337026063635918</v>
      </c>
      <c r="Q8" s="51">
        <f t="shared" si="8"/>
        <v>1.905636263521358</v>
      </c>
      <c r="R8" s="51">
        <f t="shared" si="9"/>
        <v>0</v>
      </c>
      <c r="S8" s="51">
        <f t="shared" si="10"/>
        <v>-0.5157913739272493</v>
      </c>
      <c r="T8" s="51">
        <f t="shared" si="11"/>
        <v>1.9742062481578264</v>
      </c>
      <c r="U8" s="51">
        <f t="shared" si="12"/>
        <v>0.9652670612807286</v>
      </c>
      <c r="V8" s="51">
        <f t="shared" si="13"/>
        <v>0</v>
      </c>
      <c r="W8" s="51">
        <f t="shared" si="14"/>
        <v>-0.26126519172378526</v>
      </c>
      <c r="X8" s="52">
        <f t="shared" si="15"/>
        <v>1</v>
      </c>
      <c r="Y8" s="55">
        <f>Xnorm*VertexCalc!Xnorm+Ynorm*VertexCalc!Ynorm+Znorm*VertexCalc!Znorm</f>
        <v>0.9999999999902809</v>
      </c>
    </row>
    <row r="9" spans="3:25" ht="12.75">
      <c r="C9" s="56" t="s">
        <v>122</v>
      </c>
      <c r="D9" s="57" t="s">
        <v>101</v>
      </c>
      <c r="E9" s="11" t="s">
        <v>527</v>
      </c>
      <c r="F9" s="57"/>
      <c r="G9" s="48">
        <f ca="1" t="shared" si="0"/>
        <v>296.15067</v>
      </c>
      <c r="H9" s="48">
        <f ca="1" t="shared" si="0"/>
        <v>0</v>
      </c>
      <c r="I9" s="48">
        <f ca="1" t="shared" si="0"/>
        <v>-259.533208</v>
      </c>
      <c r="J9" s="48">
        <f t="shared" si="5"/>
        <v>176.368113</v>
      </c>
      <c r="K9" s="48">
        <f t="shared" si="6"/>
        <v>0</v>
      </c>
      <c r="L9" s="48">
        <f t="shared" si="7"/>
        <v>-79.84464</v>
      </c>
      <c r="M9" s="48">
        <f t="shared" si="1"/>
        <v>193.59978775791663</v>
      </c>
      <c r="N9" s="48">
        <f t="shared" si="2"/>
        <v>0.9109933179293375</v>
      </c>
      <c r="O9" s="48">
        <f t="shared" si="3"/>
        <v>0</v>
      </c>
      <c r="P9" s="48">
        <f t="shared" si="4"/>
        <v>-0.41242111329089004</v>
      </c>
      <c r="Q9" s="48">
        <f t="shared" si="8"/>
        <v>-1.9061485562424076</v>
      </c>
      <c r="R9" s="48">
        <f t="shared" si="9"/>
        <v>0</v>
      </c>
      <c r="S9" s="48">
        <f t="shared" si="10"/>
        <v>0.3141050329273167</v>
      </c>
      <c r="T9" s="48">
        <f t="shared" si="11"/>
        <v>1.9318551421303012</v>
      </c>
      <c r="U9" s="48">
        <f t="shared" si="12"/>
        <v>-0.9866933160114965</v>
      </c>
      <c r="V9" s="48">
        <f t="shared" si="13"/>
        <v>0</v>
      </c>
      <c r="W9" s="48">
        <f t="shared" si="14"/>
        <v>0.1625924356734873</v>
      </c>
      <c r="X9" s="49">
        <f t="shared" si="15"/>
        <v>-1</v>
      </c>
      <c r="Y9" s="55">
        <f>Xnorm*VertexCalc!Xnorm+Ynorm*VertexCalc!Ynorm+Znorm*VertexCalc!Znorm</f>
        <v>0.9999999999999989</v>
      </c>
    </row>
    <row r="10" spans="3:25" ht="12.75">
      <c r="C10" s="61"/>
      <c r="D10" s="62" t="s">
        <v>104</v>
      </c>
      <c r="E10" s="19" t="s">
        <v>527</v>
      </c>
      <c r="F10" s="62"/>
      <c r="G10" s="45">
        <f ca="1" t="shared" si="0"/>
        <v>94.234236</v>
      </c>
      <c r="H10" s="45">
        <f ca="1" t="shared" si="0"/>
        <v>0</v>
      </c>
      <c r="I10" s="45">
        <f ca="1" t="shared" si="0"/>
        <v>-279.481485</v>
      </c>
      <c r="J10" s="45">
        <f t="shared" si="5"/>
        <v>-201.91643399999998</v>
      </c>
      <c r="K10" s="45">
        <f t="shared" si="6"/>
        <v>0</v>
      </c>
      <c r="L10" s="45">
        <f t="shared" si="7"/>
        <v>-19.94827700000002</v>
      </c>
      <c r="M10" s="45">
        <f t="shared" si="1"/>
        <v>202.89943340124208</v>
      </c>
      <c r="N10" s="45">
        <f t="shared" si="2"/>
        <v>-0.9951552383130702</v>
      </c>
      <c r="O10" s="45">
        <f t="shared" si="3"/>
        <v>0</v>
      </c>
      <c r="P10" s="45">
        <f t="shared" si="4"/>
        <v>-0.09831608036357337</v>
      </c>
      <c r="Q10" s="45">
        <f t="shared" si="8"/>
        <v>1.772986870220171</v>
      </c>
      <c r="R10" s="45">
        <f t="shared" si="9"/>
        <v>0</v>
      </c>
      <c r="S10" s="45">
        <f t="shared" si="10"/>
        <v>-0.530156633765478</v>
      </c>
      <c r="T10" s="45">
        <f t="shared" si="11"/>
        <v>1.8505535653686602</v>
      </c>
      <c r="U10" s="45">
        <f t="shared" si="12"/>
        <v>0.9580845987924501</v>
      </c>
      <c r="V10" s="45">
        <f t="shared" si="13"/>
        <v>0</v>
      </c>
      <c r="W10" s="45">
        <f t="shared" si="14"/>
        <v>-0.2864854299204585</v>
      </c>
      <c r="X10" s="46">
        <f t="shared" si="15"/>
        <v>1</v>
      </c>
      <c r="Y10" s="55">
        <f>Xnorm*VertexCalc!Xnorm+Ynorm*VertexCalc!Ynorm+Znorm*VertexCalc!Znorm</f>
        <v>0.9999999999896765</v>
      </c>
    </row>
    <row r="11" spans="3:25" ht="12.75">
      <c r="C11" s="61"/>
      <c r="D11" s="62" t="s">
        <v>107</v>
      </c>
      <c r="E11" s="19" t="s">
        <v>527</v>
      </c>
      <c r="F11" s="62"/>
      <c r="G11" s="45">
        <f ca="1" t="shared" si="0"/>
        <v>240.46633</v>
      </c>
      <c r="H11" s="45">
        <f ca="1" t="shared" si="0"/>
        <v>0</v>
      </c>
      <c r="I11" s="45">
        <f ca="1" t="shared" si="0"/>
        <v>-397.634151</v>
      </c>
      <c r="J11" s="45">
        <f t="shared" si="5"/>
        <v>146.23209400000002</v>
      </c>
      <c r="K11" s="45">
        <f t="shared" si="6"/>
        <v>0</v>
      </c>
      <c r="L11" s="45">
        <f t="shared" si="7"/>
        <v>-118.15266599999995</v>
      </c>
      <c r="M11" s="45">
        <f t="shared" si="1"/>
        <v>187.99967499581587</v>
      </c>
      <c r="N11" s="45">
        <f t="shared" si="2"/>
        <v>0.7778316319071007</v>
      </c>
      <c r="O11" s="45">
        <f t="shared" si="3"/>
        <v>0</v>
      </c>
      <c r="P11" s="45">
        <f t="shared" si="4"/>
        <v>-0.6284727141290514</v>
      </c>
      <c r="Q11" s="45">
        <f t="shared" si="8"/>
        <v>-1.4578079392584908</v>
      </c>
      <c r="R11" s="45">
        <f t="shared" si="9"/>
        <v>0</v>
      </c>
      <c r="S11" s="45">
        <f t="shared" si="10"/>
        <v>-0.10476136953098136</v>
      </c>
      <c r="T11" s="45">
        <f t="shared" si="11"/>
        <v>1.461567286275625</v>
      </c>
      <c r="U11" s="45">
        <f t="shared" si="12"/>
        <v>-0.9974278659269161</v>
      </c>
      <c r="V11" s="45">
        <f t="shared" si="13"/>
        <v>0</v>
      </c>
      <c r="W11" s="45">
        <f t="shared" si="14"/>
        <v>-0.07167741814879762</v>
      </c>
      <c r="X11" s="46">
        <f t="shared" si="15"/>
        <v>-1</v>
      </c>
      <c r="Y11" s="55">
        <f>Xnorm*VertexCalc!Xnorm+Ynorm*VertexCalc!Ynorm+Znorm*VertexCalc!Znorm</f>
        <v>0.9999999999895659</v>
      </c>
    </row>
    <row r="12" spans="3:25" ht="12.75">
      <c r="C12" s="61"/>
      <c r="D12" s="62" t="s">
        <v>108</v>
      </c>
      <c r="E12" s="19" t="s">
        <v>527</v>
      </c>
      <c r="F12" s="62" t="s">
        <v>157</v>
      </c>
      <c r="G12" s="45">
        <f ca="1" t="shared" si="0"/>
        <v>192.86738</v>
      </c>
      <c r="H12" s="45">
        <f ca="1" t="shared" si="0"/>
        <v>0</v>
      </c>
      <c r="I12" s="45">
        <f ca="1" t="shared" si="0"/>
        <v>-448.961193</v>
      </c>
      <c r="J12" s="45">
        <f t="shared" si="5"/>
        <v>-47.59895</v>
      </c>
      <c r="K12" s="45">
        <f t="shared" si="6"/>
        <v>0</v>
      </c>
      <c r="L12" s="45">
        <f t="shared" si="7"/>
        <v>-51.327042000000006</v>
      </c>
      <c r="M12" s="45">
        <f t="shared" si="1"/>
        <v>70.00089486265347</v>
      </c>
      <c r="N12" s="45">
        <f t="shared" si="2"/>
        <v>-0.6799763073513901</v>
      </c>
      <c r="O12" s="45">
        <f t="shared" si="3"/>
        <v>0</v>
      </c>
      <c r="P12" s="45">
        <f t="shared" si="4"/>
        <v>-0.7332340836600327</v>
      </c>
      <c r="Q12" s="45">
        <f t="shared" si="8"/>
      </c>
      <c r="R12" s="45">
        <f t="shared" si="9"/>
      </c>
      <c r="S12" s="45">
        <f t="shared" si="10"/>
      </c>
      <c r="T12" s="45">
        <f t="shared" si="11"/>
      </c>
      <c r="U12" s="45">
        <f t="shared" si="12"/>
      </c>
      <c r="V12" s="45">
        <f t="shared" si="13"/>
      </c>
      <c r="W12" s="45">
        <f t="shared" si="14"/>
      </c>
      <c r="X12" s="46">
        <f t="shared" si="15"/>
      </c>
      <c r="Y12" s="55" t="e">
        <f>Xnorm*VertexCalc!Xnorm+Ynorm*VertexCalc!Ynorm+Znorm*VertexCalc!Znorm</f>
        <v>#VALUE!</v>
      </c>
    </row>
    <row r="13" spans="3:25" ht="13.5" thickBot="1">
      <c r="C13" s="58"/>
      <c r="D13" s="59" t="s">
        <v>109</v>
      </c>
      <c r="E13" s="15" t="s">
        <v>527</v>
      </c>
      <c r="F13" s="59"/>
      <c r="G13" s="51">
        <f ca="1" t="shared" si="0"/>
        <v>104.471035</v>
      </c>
      <c r="H13" s="51">
        <f ca="1" t="shared" si="0"/>
        <v>0</v>
      </c>
      <c r="I13" s="51">
        <f ca="1" t="shared" si="0"/>
        <v>-544.281002</v>
      </c>
      <c r="J13" s="51">
        <f t="shared" si="5"/>
        <v>-88.396345</v>
      </c>
      <c r="K13" s="51">
        <f t="shared" si="6"/>
        <v>0</v>
      </c>
      <c r="L13" s="51">
        <f t="shared" si="7"/>
        <v>-95.31980899999996</v>
      </c>
      <c r="M13" s="51">
        <f t="shared" si="1"/>
        <v>129.99915306322382</v>
      </c>
      <c r="N13" s="51">
        <f t="shared" si="2"/>
        <v>-0.6799763145919059</v>
      </c>
      <c r="O13" s="51">
        <f t="shared" si="3"/>
        <v>0</v>
      </c>
      <c r="P13" s="51">
        <f t="shared" si="4"/>
        <v>-0.7332340769454252</v>
      </c>
      <c r="Q13" s="51">
        <f t="shared" si="8"/>
        <v>1.6721822244713773</v>
      </c>
      <c r="R13" s="51">
        <f t="shared" si="9"/>
        <v>0</v>
      </c>
      <c r="S13" s="51">
        <f t="shared" si="10"/>
        <v>0.8578431953928739</v>
      </c>
      <c r="T13" s="51">
        <f t="shared" si="11"/>
        <v>1.8793850961737193</v>
      </c>
      <c r="U13" s="51">
        <f t="shared" si="12"/>
        <v>0.8897496462411079</v>
      </c>
      <c r="V13" s="51">
        <f t="shared" si="13"/>
        <v>0</v>
      </c>
      <c r="W13" s="51">
        <f t="shared" si="14"/>
        <v>0.4564488657164385</v>
      </c>
      <c r="X13" s="52">
        <f t="shared" si="15"/>
        <v>1</v>
      </c>
      <c r="Y13" s="55">
        <f>Xnorm*VertexCalc!Xnorm+Ynorm*VertexCalc!Ynorm+Znorm*VertexCalc!Znorm</f>
        <v>0.9999999999750928</v>
      </c>
    </row>
    <row r="14" spans="3:25" ht="12.75">
      <c r="C14" s="56" t="s">
        <v>123</v>
      </c>
      <c r="D14" s="57" t="s">
        <v>111</v>
      </c>
      <c r="E14" s="11" t="s">
        <v>527</v>
      </c>
      <c r="F14" s="57"/>
      <c r="G14" s="48">
        <f ca="1" t="shared" si="0"/>
        <v>238.419239</v>
      </c>
      <c r="H14" s="48">
        <f ca="1" t="shared" si="0"/>
        <v>0</v>
      </c>
      <c r="I14" s="48">
        <f ca="1" t="shared" si="0"/>
        <v>-527.45872</v>
      </c>
      <c r="J14" s="48">
        <f t="shared" si="5"/>
        <v>133.948204</v>
      </c>
      <c r="K14" s="48">
        <f t="shared" si="6"/>
        <v>0</v>
      </c>
      <c r="L14" s="48">
        <f t="shared" si="7"/>
        <v>16.822281999999973</v>
      </c>
      <c r="M14" s="48">
        <f t="shared" si="1"/>
        <v>135.00040935683543</v>
      </c>
      <c r="N14" s="48">
        <f t="shared" si="2"/>
        <v>0.9922059098794714</v>
      </c>
      <c r="O14" s="48">
        <f t="shared" si="3"/>
        <v>0</v>
      </c>
      <c r="P14" s="48">
        <f t="shared" si="4"/>
        <v>0.12460911844744874</v>
      </c>
      <c r="Q14" s="48">
        <f t="shared" si="8"/>
        <v>-1.7216640017494453</v>
      </c>
      <c r="R14" s="48">
        <f t="shared" si="9"/>
        <v>1.3481437865611832E-16</v>
      </c>
      <c r="S14" s="48">
        <f t="shared" si="10"/>
        <v>-0.8086346239700255</v>
      </c>
      <c r="T14" s="48">
        <f t="shared" si="11"/>
        <v>1.9021085379134017</v>
      </c>
      <c r="U14" s="48">
        <f t="shared" si="12"/>
        <v>-0.9051344691602601</v>
      </c>
      <c r="V14" s="48">
        <f t="shared" si="13"/>
        <v>7.087628070057907E-17</v>
      </c>
      <c r="W14" s="48">
        <f t="shared" si="14"/>
        <v>-0.4251253847254644</v>
      </c>
      <c r="X14" s="49">
        <f t="shared" si="15"/>
        <v>-1</v>
      </c>
      <c r="Y14" s="55">
        <f>Xnorm*VertexCalc!Xnorm+Ynorm*VertexCalc!Ynorm+Znorm*VertexCalc!Znorm</f>
        <v>0.9999999999999999</v>
      </c>
    </row>
    <row r="15" spans="3:25" ht="12.75">
      <c r="C15" s="61"/>
      <c r="D15" s="62" t="s">
        <v>113</v>
      </c>
      <c r="E15" s="19" t="s">
        <v>527</v>
      </c>
      <c r="F15" s="62"/>
      <c r="G15" s="45">
        <f ca="1" t="shared" si="0"/>
        <v>139.942078</v>
      </c>
      <c r="H15" s="45">
        <f ca="1" t="shared" si="0"/>
        <v>1.82E-14</v>
      </c>
      <c r="I15" s="45">
        <f ca="1" t="shared" si="0"/>
        <v>-619.802462</v>
      </c>
      <c r="J15" s="45">
        <f t="shared" si="5"/>
        <v>-98.477161</v>
      </c>
      <c r="K15" s="45">
        <f t="shared" si="6"/>
        <v>1.82E-14</v>
      </c>
      <c r="L15" s="45">
        <f t="shared" si="7"/>
        <v>-92.34374200000002</v>
      </c>
      <c r="M15" s="45">
        <f t="shared" si="1"/>
        <v>135.00043675922862</v>
      </c>
      <c r="N15" s="45">
        <f t="shared" si="2"/>
        <v>-0.7294580918699739</v>
      </c>
      <c r="O15" s="45">
        <f t="shared" si="3"/>
        <v>1.3481437865611832E-16</v>
      </c>
      <c r="P15" s="45">
        <f t="shared" si="4"/>
        <v>-0.6840255055225768</v>
      </c>
      <c r="Q15" s="45">
        <f t="shared" si="8"/>
        <v>0.7294630718699737</v>
      </c>
      <c r="R15" s="45">
        <f t="shared" si="9"/>
        <v>-0.9999999999734487</v>
      </c>
      <c r="S15" s="45">
        <f t="shared" si="10"/>
        <v>0.6840201855225767</v>
      </c>
      <c r="T15" s="45">
        <f t="shared" si="11"/>
        <v>1.4142135579081456</v>
      </c>
      <c r="U15" s="45">
        <f t="shared" si="12"/>
        <v>0.5158082863729362</v>
      </c>
      <c r="V15" s="45">
        <f t="shared" si="13"/>
        <v>-0.7071067834002476</v>
      </c>
      <c r="W15" s="45">
        <f t="shared" si="14"/>
        <v>0.48367531317855206</v>
      </c>
      <c r="X15" s="46">
        <f t="shared" si="15"/>
        <v>1</v>
      </c>
      <c r="Y15" s="55">
        <f>Xnorm*VertexCalc!Xnorm+Ynorm*VertexCalc!Ynorm+Znorm*VertexCalc!Znorm</f>
        <v>1</v>
      </c>
    </row>
    <row r="16" spans="3:25" ht="13.5" thickBot="1">
      <c r="C16" s="58"/>
      <c r="D16" s="59" t="s">
        <v>115</v>
      </c>
      <c r="E16" s="15" t="s">
        <v>527</v>
      </c>
      <c r="F16" s="59" t="s">
        <v>158</v>
      </c>
      <c r="G16" s="51">
        <f ca="1" t="shared" si="0"/>
        <v>139.942327</v>
      </c>
      <c r="H16" s="51">
        <f ca="1" t="shared" si="0"/>
        <v>-50</v>
      </c>
      <c r="I16" s="51">
        <f ca="1" t="shared" si="0"/>
        <v>-619.802728</v>
      </c>
      <c r="J16" s="51">
        <f t="shared" si="5"/>
        <v>0.00024899999999661304</v>
      </c>
      <c r="K16" s="51">
        <f t="shared" si="6"/>
        <v>-50.00000000000002</v>
      </c>
      <c r="L16" s="51">
        <f t="shared" si="7"/>
        <v>-0.0002660000000105356</v>
      </c>
      <c r="M16" s="51">
        <f t="shared" si="1"/>
        <v>50.00000000132759</v>
      </c>
      <c r="N16" s="51">
        <f t="shared" si="2"/>
        <v>4.979999999800033E-06</v>
      </c>
      <c r="O16" s="51">
        <f t="shared" si="3"/>
        <v>-0.9999999999734486</v>
      </c>
      <c r="P16" s="51">
        <f t="shared" si="4"/>
        <v>-5.320000000069456E-06</v>
      </c>
      <c r="Q16" s="51">
        <f t="shared" si="8"/>
      </c>
      <c r="R16" s="51">
        <f t="shared" si="9"/>
      </c>
      <c r="S16" s="51">
        <f t="shared" si="10"/>
      </c>
      <c r="T16" s="51">
        <f t="shared" si="11"/>
      </c>
      <c r="U16" s="51">
        <f t="shared" si="12"/>
      </c>
      <c r="V16" s="51">
        <f t="shared" si="13"/>
      </c>
      <c r="W16" s="51">
        <f t="shared" si="14"/>
      </c>
      <c r="X16" s="52">
        <f t="shared" si="15"/>
      </c>
      <c r="Y16" s="55" t="e">
        <f>Xnorm*VertexCalc!Xnorm+Ynorm*VertexCalc!Ynorm+Znorm*VertexCalc!Znorm</f>
        <v>#VALUE!</v>
      </c>
    </row>
    <row r="17" spans="4:25" ht="13.5" thickBot="1">
      <c r="D17" s="55" t="s">
        <v>111</v>
      </c>
      <c r="E17" s="1" t="s">
        <v>527</v>
      </c>
      <c r="F17" s="55" t="s">
        <v>126</v>
      </c>
      <c r="G17" s="30">
        <f ca="1" t="shared" si="0"/>
        <v>238.419239</v>
      </c>
      <c r="H17" s="30">
        <f ca="1" t="shared" si="0"/>
        <v>0</v>
      </c>
      <c r="I17" s="30">
        <f ca="1" t="shared" si="0"/>
        <v>-527.45872</v>
      </c>
      <c r="J17" s="30">
        <f t="shared" si="5"/>
      </c>
      <c r="K17" s="30">
        <f t="shared" si="6"/>
      </c>
      <c r="L17" s="30">
        <f t="shared" si="7"/>
      </c>
      <c r="M17" s="30">
        <f t="shared" si="1"/>
      </c>
      <c r="N17" s="30">
        <f t="shared" si="2"/>
      </c>
      <c r="O17" s="30">
        <f t="shared" si="3"/>
      </c>
      <c r="P17" s="30">
        <f t="shared" si="4"/>
      </c>
      <c r="Q17" s="45">
        <f t="shared" si="8"/>
      </c>
      <c r="R17" s="45">
        <f t="shared" si="9"/>
      </c>
      <c r="S17" s="45">
        <f t="shared" si="10"/>
      </c>
      <c r="T17" s="30">
        <f t="shared" si="11"/>
      </c>
      <c r="U17" s="30">
        <f t="shared" si="12"/>
      </c>
      <c r="V17" s="30">
        <f t="shared" si="13"/>
      </c>
      <c r="W17" s="30">
        <f t="shared" si="14"/>
      </c>
      <c r="X17" s="30">
        <f t="shared" si="15"/>
      </c>
      <c r="Y17" s="55" t="e">
        <f>Xnorm*VertexCalc!Xnorm+Ynorm*VertexCalc!Ynorm+Znorm*VertexCalc!Znorm</f>
        <v>#VALUE!</v>
      </c>
    </row>
    <row r="18" spans="3:25" ht="12.75">
      <c r="C18" s="56" t="s">
        <v>124</v>
      </c>
      <c r="D18" s="57" t="s">
        <v>116</v>
      </c>
      <c r="E18" s="11" t="s">
        <v>527</v>
      </c>
      <c r="F18" s="57"/>
      <c r="G18" s="48">
        <f ca="1" t="shared" si="0"/>
        <v>337.640264</v>
      </c>
      <c r="H18" s="48">
        <f ca="1" t="shared" si="0"/>
        <v>-4.41E-16</v>
      </c>
      <c r="I18" s="48">
        <f ca="1" t="shared" si="0"/>
        <v>-514.997754</v>
      </c>
      <c r="J18" s="48">
        <f t="shared" si="5"/>
        <v>99.221025</v>
      </c>
      <c r="K18" s="48">
        <f t="shared" si="6"/>
        <v>-4.41E-16</v>
      </c>
      <c r="L18" s="48">
        <f t="shared" si="7"/>
        <v>12.460965999999985</v>
      </c>
      <c r="M18" s="48">
        <f t="shared" si="1"/>
        <v>100.0004373775624</v>
      </c>
      <c r="N18" s="48">
        <f t="shared" si="2"/>
        <v>0.9922059103139754</v>
      </c>
      <c r="O18" s="48">
        <f t="shared" si="3"/>
        <v>-4.409980711733861E-18</v>
      </c>
      <c r="P18" s="48">
        <f t="shared" si="4"/>
        <v>0.12460911498769019</v>
      </c>
      <c r="Q18" s="48">
        <f t="shared" si="8"/>
        <v>-1.6299820850103424</v>
      </c>
      <c r="R18" s="48">
        <f t="shared" si="9"/>
        <v>-0.7660444449277741</v>
      </c>
      <c r="S18" s="48">
        <f t="shared" si="10"/>
        <v>-0.20471816182365904</v>
      </c>
      <c r="T18" s="48">
        <f t="shared" si="11"/>
        <v>1.8126155728228261</v>
      </c>
      <c r="U18" s="48">
        <f t="shared" si="12"/>
        <v>-0.8992431210727906</v>
      </c>
      <c r="V18" s="48">
        <f t="shared" si="13"/>
        <v>-0.42261826303014505</v>
      </c>
      <c r="W18" s="48">
        <f t="shared" si="14"/>
        <v>-0.1129407497613225</v>
      </c>
      <c r="X18" s="49">
        <f t="shared" si="15"/>
        <v>-1</v>
      </c>
      <c r="Y18" s="55">
        <f>Xnorm*VertexCalc!Xnorm+Ynorm*VertexCalc!Ynorm+Znorm*VertexCalc!Znorm</f>
        <v>1</v>
      </c>
    </row>
    <row r="19" spans="3:25" ht="13.5" thickBot="1">
      <c r="C19" s="58"/>
      <c r="D19" s="59" t="s">
        <v>117</v>
      </c>
      <c r="E19" s="15" t="s">
        <v>527</v>
      </c>
      <c r="F19" s="59" t="s">
        <v>158</v>
      </c>
      <c r="G19" s="51">
        <f ca="1" t="shared" si="0"/>
        <v>283.429289</v>
      </c>
      <c r="H19" s="51">
        <f ca="1" t="shared" si="0"/>
        <v>-65.113778</v>
      </c>
      <c r="I19" s="51">
        <f ca="1" t="shared" si="0"/>
        <v>-521.807023</v>
      </c>
      <c r="J19" s="51">
        <f t="shared" si="5"/>
        <v>-54.21097500000002</v>
      </c>
      <c r="K19" s="51">
        <f t="shared" si="6"/>
        <v>-65.113778</v>
      </c>
      <c r="L19" s="51">
        <f t="shared" si="7"/>
        <v>-6.809268999999972</v>
      </c>
      <c r="M19" s="51">
        <f t="shared" si="1"/>
        <v>85.00000023646042</v>
      </c>
      <c r="N19" s="51">
        <f t="shared" si="2"/>
        <v>-0.637776174696367</v>
      </c>
      <c r="O19" s="51">
        <f t="shared" si="3"/>
        <v>-0.7660444449277741</v>
      </c>
      <c r="P19" s="51">
        <f t="shared" si="4"/>
        <v>-0.08010904683596885</v>
      </c>
      <c r="Q19" s="51">
        <f t="shared" si="8"/>
      </c>
      <c r="R19" s="51">
        <f t="shared" si="9"/>
      </c>
      <c r="S19" s="51">
        <f t="shared" si="10"/>
      </c>
      <c r="T19" s="51">
        <f t="shared" si="11"/>
      </c>
      <c r="U19" s="51">
        <f t="shared" si="12"/>
      </c>
      <c r="V19" s="51">
        <f t="shared" si="13"/>
      </c>
      <c r="W19" s="51">
        <f t="shared" si="14"/>
      </c>
      <c r="X19" s="52">
        <f t="shared" si="15"/>
      </c>
      <c r="Y19" s="55" t="e">
        <f>Xnorm*VertexCalc!Xnorm+Ynorm*VertexCalc!Ynorm+Znorm*VertexCalc!Znorm</f>
        <v>#VALUE!</v>
      </c>
    </row>
    <row r="20" spans="4:25" ht="13.5" thickBot="1">
      <c r="D20" s="55" t="s">
        <v>116</v>
      </c>
      <c r="E20" s="1" t="s">
        <v>527</v>
      </c>
      <c r="F20" s="55" t="s">
        <v>126</v>
      </c>
      <c r="G20" s="30">
        <f ca="1" t="shared" si="0"/>
        <v>337.640264</v>
      </c>
      <c r="H20" s="30">
        <f ca="1" t="shared" si="0"/>
        <v>-4.41E-16</v>
      </c>
      <c r="I20" s="30">
        <f ca="1" t="shared" si="0"/>
        <v>-514.997754</v>
      </c>
      <c r="J20" s="30">
        <f t="shared" si="5"/>
      </c>
      <c r="K20" s="30">
        <f t="shared" si="6"/>
      </c>
      <c r="L20" s="30">
        <f t="shared" si="7"/>
      </c>
      <c r="M20" s="30">
        <f t="shared" si="1"/>
      </c>
      <c r="N20" s="30">
        <f t="shared" si="2"/>
      </c>
      <c r="O20" s="30">
        <f t="shared" si="3"/>
      </c>
      <c r="P20" s="30">
        <f t="shared" si="4"/>
      </c>
      <c r="Q20" s="45">
        <f t="shared" si="8"/>
      </c>
      <c r="R20" s="45">
        <f t="shared" si="9"/>
      </c>
      <c r="S20" s="45">
        <f t="shared" si="10"/>
      </c>
      <c r="T20" s="30">
        <f t="shared" si="11"/>
      </c>
      <c r="U20" s="30">
        <f t="shared" si="12"/>
      </c>
      <c r="V20" s="30">
        <f t="shared" si="13"/>
      </c>
      <c r="W20" s="30">
        <f t="shared" si="14"/>
      </c>
      <c r="X20" s="30">
        <f t="shared" si="15"/>
      </c>
      <c r="Y20" s="55" t="e">
        <f>Xnorm*VertexCalc!Xnorm+Ynorm*VertexCalc!Ynorm+Znorm*VertexCalc!Znorm</f>
        <v>#VALUE!</v>
      </c>
    </row>
    <row r="21" spans="3:25" ht="12.75">
      <c r="C21" s="56" t="s">
        <v>125</v>
      </c>
      <c r="D21" s="57" t="s">
        <v>118</v>
      </c>
      <c r="E21" s="11" t="s">
        <v>527</v>
      </c>
      <c r="F21" s="57"/>
      <c r="G21" s="48">
        <f ca="1" t="shared" si="0"/>
        <v>381.297659</v>
      </c>
      <c r="H21" s="48">
        <f ca="1" t="shared" si="0"/>
        <v>-4.78E-15</v>
      </c>
      <c r="I21" s="48">
        <f ca="1" t="shared" si="0"/>
        <v>-509.514911</v>
      </c>
      <c r="J21" s="48">
        <f t="shared" si="5"/>
        <v>43.65739500000001</v>
      </c>
      <c r="K21" s="48">
        <f t="shared" si="6"/>
        <v>-4.3390000000000005E-15</v>
      </c>
      <c r="L21" s="48">
        <f t="shared" si="7"/>
        <v>5.482843000000003</v>
      </c>
      <c r="M21" s="48">
        <f t="shared" si="1"/>
        <v>44.00033756175826</v>
      </c>
      <c r="N21" s="48">
        <f t="shared" si="2"/>
        <v>0.9922059106642784</v>
      </c>
      <c r="O21" s="48">
        <f t="shared" si="3"/>
        <v>-9.86128798196114E-17</v>
      </c>
      <c r="P21" s="48">
        <f t="shared" si="4"/>
        <v>0.12460911219838623</v>
      </c>
      <c r="Q21" s="48">
        <f t="shared" si="8"/>
        <v>-0.9921887397910191</v>
      </c>
      <c r="R21" s="48">
        <f t="shared" si="9"/>
        <v>4.4154253611597994E-16</v>
      </c>
      <c r="S21" s="48">
        <f t="shared" si="10"/>
        <v>0.8753908876541944</v>
      </c>
      <c r="T21" s="48">
        <f t="shared" si="11"/>
        <v>1.3231582299770837</v>
      </c>
      <c r="U21" s="48">
        <f t="shared" si="12"/>
        <v>-0.7498640127176651</v>
      </c>
      <c r="V21" s="48">
        <f t="shared" si="13"/>
        <v>3.33703502810565E-16</v>
      </c>
      <c r="W21" s="48">
        <f t="shared" si="14"/>
        <v>0.6615919909059974</v>
      </c>
      <c r="X21" s="49">
        <f t="shared" si="15"/>
        <v>-1</v>
      </c>
      <c r="Y21" s="55">
        <f>Xnorm*VertexCalc!Xnorm+Ynorm*VertexCalc!Ynorm+Znorm*VertexCalc!Znorm</f>
        <v>1</v>
      </c>
    </row>
    <row r="22" spans="3:25" ht="13.5" thickBot="1">
      <c r="C22" s="58"/>
      <c r="D22" s="59" t="s">
        <v>119</v>
      </c>
      <c r="E22" s="15" t="s">
        <v>527</v>
      </c>
      <c r="F22" s="59" t="s">
        <v>158</v>
      </c>
      <c r="G22" s="51">
        <f ca="1" t="shared" si="16" ref="G22:I41">INDIRECT("RayImpacts!"&amp;Axe&amp;System&amp;Ray)</f>
        <v>381.298363</v>
      </c>
      <c r="H22" s="51">
        <f ca="1" t="shared" si="16"/>
        <v>9.28E-15</v>
      </c>
      <c r="I22" s="51">
        <f ca="1" t="shared" si="16"/>
        <v>-468.515249</v>
      </c>
      <c r="J22" s="51">
        <f t="shared" si="5"/>
        <v>0.0007039999999847169</v>
      </c>
      <c r="K22" s="51">
        <f t="shared" si="6"/>
        <v>1.4059999999999999E-14</v>
      </c>
      <c r="L22" s="51">
        <f t="shared" si="7"/>
        <v>40.999662</v>
      </c>
      <c r="M22" s="51">
        <f t="shared" si="1"/>
        <v>40.99966200604415</v>
      </c>
      <c r="N22" s="51">
        <f t="shared" si="2"/>
        <v>1.7170873259416957E-05</v>
      </c>
      <c r="O22" s="51">
        <f t="shared" si="3"/>
        <v>3.4292965629636855E-16</v>
      </c>
      <c r="P22" s="51">
        <f t="shared" si="4"/>
        <v>0.9999999998525806</v>
      </c>
      <c r="Q22" s="51">
        <f t="shared" si="8"/>
      </c>
      <c r="R22" s="51">
        <f t="shared" si="9"/>
      </c>
      <c r="S22" s="51">
        <f t="shared" si="10"/>
      </c>
      <c r="T22" s="51">
        <f t="shared" si="11"/>
      </c>
      <c r="U22" s="51">
        <f t="shared" si="12"/>
      </c>
      <c r="V22" s="51">
        <f t="shared" si="13"/>
      </c>
      <c r="W22" s="51">
        <f t="shared" si="14"/>
      </c>
      <c r="X22" s="52">
        <f t="shared" si="15"/>
      </c>
      <c r="Y22" s="55" t="e">
        <f>Xnorm*VertexCalc!Xnorm+Ynorm*VertexCalc!Ynorm+Znorm*VertexCalc!Znorm</f>
        <v>#VALUE!</v>
      </c>
    </row>
    <row r="23" spans="3:25" ht="13.5" thickBot="1">
      <c r="C23" s="18"/>
      <c r="D23" s="19" t="s">
        <v>98</v>
      </c>
      <c r="E23" s="15" t="s">
        <v>528</v>
      </c>
      <c r="F23" s="19"/>
      <c r="G23" s="44">
        <f ca="1" t="shared" si="16"/>
        <v>125.120751</v>
      </c>
      <c r="H23" s="45">
        <f ca="1" t="shared" si="16"/>
        <v>58.002151</v>
      </c>
      <c r="I23" s="46">
        <f ca="1" t="shared" si="16"/>
        <v>-183.378714</v>
      </c>
      <c r="J23" s="45">
        <f aca="true" t="shared" si="17" ref="J23:J37">IF(Flag="Ignore","",G23-G22)</f>
        <v>-256.177612</v>
      </c>
      <c r="K23" s="45">
        <f aca="true" t="shared" si="18" ref="K23:K37">IF(Flag="Ignore","",H23-H22)</f>
        <v>58.00215099999999</v>
      </c>
      <c r="L23" s="45">
        <f aca="true" t="shared" si="19" ref="L23:L37">IF(Flag="Ignore","",I23-I22)</f>
        <v>285.136535</v>
      </c>
      <c r="M23" s="103">
        <f aca="true" t="shared" si="20" ref="M23:M48">IF(Flag="ignore","",SQRT(Xdiff^2+Ydiff^2+Zdiff^2))</f>
        <v>387.67778115653675</v>
      </c>
      <c r="N23" s="45">
        <f aca="true" t="shared" si="21" ref="N23:N48">IF(Flag="ignore","",Xdiff/DiffMod)</f>
        <v>-0.6608003461941</v>
      </c>
      <c r="O23" s="45">
        <f aca="true" t="shared" si="22" ref="O23:O48">IF(Flag="ignore","",Ydiff/DiffMod)</f>
        <v>0.14961432875251587</v>
      </c>
      <c r="P23" s="45">
        <f aca="true" t="shared" si="23" ref="P23:P48">IF(Flag="ignore","",Zdiff/DiffMod)</f>
        <v>0.7354987798097911</v>
      </c>
      <c r="Q23" s="44">
        <f aca="true" t="shared" si="24" ref="Q23:Q37">IF(OR(Flag="Ignore",Flag="Det",Flag="Hole"),"",N24-Xray)</f>
        <v>1.5676160475298695</v>
      </c>
      <c r="R23" s="45">
        <f aca="true" t="shared" si="25" ref="R23:R37">IF(OR(Flag="Ignore",Flag="Det",Flag="Hole"),"",O24-Yray)</f>
        <v>-0.2707535822483553</v>
      </c>
      <c r="S23" s="46">
        <f aca="true" t="shared" si="26" ref="S23:S37">IF(OR(Flag="Ignore",Flag="Det",Flag="Hole"),"",P24-Zray)</f>
        <v>-1.1392444486080917</v>
      </c>
      <c r="T23" s="45">
        <f aca="true" t="shared" si="27" ref="T23:T48">IF(OR(Flag="Ignore",Flag="Det",Flag="Hole"),"",SQRT(dXray^2+dYray^2+dZray^2))</f>
        <v>1.956682265585765</v>
      </c>
      <c r="U23" s="44">
        <f aca="true" t="shared" si="28" ref="U23:U48">IF(OR(Flag="Ignore",Flag="Det",Flag="Hole"),"",dXray/drayMod)</f>
        <v>0.8011602471700114</v>
      </c>
      <c r="V23" s="45">
        <f aca="true" t="shared" si="29" ref="V23:V48">IF(OR(Flag="Ignore",Flag="Det",Flag="Hole"),"",dYray/drayMod)</f>
        <v>-0.13837381112426075</v>
      </c>
      <c r="W23" s="46">
        <f aca="true" t="shared" si="30" ref="W23:W48">IF(OR(Flag="Ignore",Flag="Det",Flag="Hole"),"",dZray/drayMod)</f>
        <v>-0.5822327255912652</v>
      </c>
      <c r="X23" s="45">
        <f aca="true" t="shared" si="31" ref="X23:X48">IF(OR(Flag="Ignore",Flag="Det",Flag="Hole"),"",SIGN(Xnorm))</f>
        <v>1</v>
      </c>
      <c r="Y23" s="55" t="e">
        <f>Xnorm*VertexCalc!Xnorm+Ynorm*VertexCalc!Ynorm+Znorm*VertexCalc!Znorm</f>
        <v>#VALUE!</v>
      </c>
    </row>
    <row r="24" spans="3:25" ht="12.75">
      <c r="C24" s="10" t="s">
        <v>502</v>
      </c>
      <c r="D24" s="11" t="s">
        <v>503</v>
      </c>
      <c r="E24" s="11" t="s">
        <v>528</v>
      </c>
      <c r="F24" s="11"/>
      <c r="G24" s="47">
        <f ca="1" t="shared" si="16"/>
        <v>306.147395</v>
      </c>
      <c r="H24" s="48">
        <f ca="1" t="shared" si="16"/>
        <v>33.819252</v>
      </c>
      <c r="I24" s="49">
        <f ca="1" t="shared" si="16"/>
        <v>-263.978028</v>
      </c>
      <c r="J24" s="48">
        <f t="shared" si="17"/>
        <v>181.02664400000003</v>
      </c>
      <c r="K24" s="48">
        <f t="shared" si="18"/>
        <v>-24.182899</v>
      </c>
      <c r="L24" s="48">
        <f t="shared" si="19"/>
        <v>-80.59931399999999</v>
      </c>
      <c r="M24" s="104">
        <f t="shared" si="20"/>
        <v>199.6289254071602</v>
      </c>
      <c r="N24" s="48">
        <f t="shared" si="21"/>
        <v>0.9068157013357696</v>
      </c>
      <c r="O24" s="48">
        <f t="shared" si="22"/>
        <v>-0.12113925349583941</v>
      </c>
      <c r="P24" s="48">
        <f t="shared" si="23"/>
        <v>-0.40374566879830076</v>
      </c>
      <c r="Q24" s="47">
        <f t="shared" si="24"/>
        <v>-0.8283211212788415</v>
      </c>
      <c r="R24" s="48">
        <f t="shared" si="25"/>
        <v>1.0794331520026588</v>
      </c>
      <c r="S24" s="49">
        <f t="shared" si="26"/>
        <v>0.6785390547927396</v>
      </c>
      <c r="T24" s="48">
        <f t="shared" si="27"/>
        <v>1.5204298926547244</v>
      </c>
      <c r="U24" s="47">
        <f t="shared" si="28"/>
        <v>-0.5447940252164889</v>
      </c>
      <c r="V24" s="48">
        <f t="shared" si="29"/>
        <v>0.7099525977603152</v>
      </c>
      <c r="W24" s="49">
        <f t="shared" si="30"/>
        <v>0.44628105384588723</v>
      </c>
      <c r="X24" s="49">
        <f t="shared" si="31"/>
        <v>-1</v>
      </c>
      <c r="Y24" s="55">
        <f>Xnorm*VertexCalc!Xnorm+Ynorm*VertexCalc!Ynorm+Znorm*VertexCalc!Znorm</f>
        <v>0.9999999998893911</v>
      </c>
    </row>
    <row r="25" spans="3:25" ht="12.75">
      <c r="C25" s="18"/>
      <c r="D25" s="19" t="s">
        <v>504</v>
      </c>
      <c r="E25" s="19" t="s">
        <v>528</v>
      </c>
      <c r="F25" s="19" t="s">
        <v>157</v>
      </c>
      <c r="G25" s="44">
        <f ca="1" t="shared" si="16"/>
        <v>314.98366599999997</v>
      </c>
      <c r="H25" s="45">
        <f ca="1" t="shared" si="16"/>
        <v>141.696058</v>
      </c>
      <c r="I25" s="46">
        <f ca="1" t="shared" si="16"/>
        <v>-233.04406</v>
      </c>
      <c r="J25" s="45">
        <f t="shared" si="17"/>
        <v>8.836270999999954</v>
      </c>
      <c r="K25" s="45">
        <f t="shared" si="18"/>
        <v>107.87680599999999</v>
      </c>
      <c r="L25" s="45">
        <f t="shared" si="19"/>
        <v>30.933967999999993</v>
      </c>
      <c r="M25" s="103">
        <f t="shared" si="20"/>
        <v>112.57173417058162</v>
      </c>
      <c r="N25" s="45">
        <f t="shared" si="21"/>
        <v>0.07849458005692815</v>
      </c>
      <c r="O25" s="45">
        <f t="shared" si="22"/>
        <v>0.9582938985068193</v>
      </c>
      <c r="P25" s="45">
        <f t="shared" si="23"/>
        <v>0.2747933859944388</v>
      </c>
      <c r="Q25" s="44">
        <f t="shared" si="24"/>
      </c>
      <c r="R25" s="45">
        <f t="shared" si="25"/>
      </c>
      <c r="S25" s="46">
        <f t="shared" si="26"/>
      </c>
      <c r="T25" s="45">
        <f t="shared" si="27"/>
      </c>
      <c r="U25" s="44">
        <f t="shared" si="28"/>
      </c>
      <c r="V25" s="45">
        <f t="shared" si="29"/>
      </c>
      <c r="W25" s="46">
        <f t="shared" si="30"/>
      </c>
      <c r="X25" s="46">
        <f t="shared" si="31"/>
      </c>
      <c r="Y25" s="55" t="e">
        <f>Xnorm*VertexCalc!Xnorm+Ynorm*VertexCalc!Ynorm+Znorm*VertexCalc!Znorm</f>
        <v>#VALUE!</v>
      </c>
    </row>
    <row r="26" spans="3:25" ht="12.75">
      <c r="C26" s="18"/>
      <c r="D26" s="19" t="s">
        <v>505</v>
      </c>
      <c r="E26" s="19" t="s">
        <v>528</v>
      </c>
      <c r="F26" s="19"/>
      <c r="G26" s="44">
        <f ca="1" t="shared" si="16"/>
        <v>317.372432</v>
      </c>
      <c r="H26" s="45">
        <f ca="1" t="shared" si="16"/>
        <v>170.859094</v>
      </c>
      <c r="I26" s="46">
        <f ca="1" t="shared" si="16"/>
        <v>-224.68148</v>
      </c>
      <c r="J26" s="45">
        <f t="shared" si="17"/>
        <v>2.3887660000000324</v>
      </c>
      <c r="K26" s="45">
        <f t="shared" si="18"/>
        <v>29.163036000000005</v>
      </c>
      <c r="L26" s="45">
        <f t="shared" si="19"/>
        <v>8.362580000000008</v>
      </c>
      <c r="M26" s="103">
        <f t="shared" si="20"/>
        <v>30.43224631860837</v>
      </c>
      <c r="N26" s="45">
        <f t="shared" si="21"/>
        <v>0.07849456707832232</v>
      </c>
      <c r="O26" s="45">
        <f t="shared" si="22"/>
        <v>0.9582938996576049</v>
      </c>
      <c r="P26" s="45">
        <f t="shared" si="23"/>
        <v>0.27479338568860595</v>
      </c>
      <c r="Q26" s="44">
        <f t="shared" si="24"/>
        <v>0.9063132736127879</v>
      </c>
      <c r="R26" s="45">
        <f t="shared" si="25"/>
        <v>-0.9582800570520121</v>
      </c>
      <c r="S26" s="46">
        <f t="shared" si="26"/>
        <v>-0.44844106555129504</v>
      </c>
      <c r="T26" s="45">
        <f t="shared" si="27"/>
        <v>1.393127347712016</v>
      </c>
      <c r="U26" s="44">
        <f t="shared" si="28"/>
        <v>0.6505602485668373</v>
      </c>
      <c r="V26" s="45">
        <f t="shared" si="29"/>
        <v>-0.6878624977291778</v>
      </c>
      <c r="W26" s="46">
        <f t="shared" si="30"/>
        <v>-0.3218952425905544</v>
      </c>
      <c r="X26" s="46">
        <f t="shared" si="31"/>
        <v>1</v>
      </c>
      <c r="Y26" s="55">
        <f>Xnorm*VertexCalc!Xnorm+Ynorm*VertexCalc!Ynorm+Znorm*VertexCalc!Znorm</f>
        <v>0.9999999999999959</v>
      </c>
    </row>
    <row r="27" spans="3:25" ht="13.5" thickBot="1">
      <c r="C27" s="14"/>
      <c r="D27" s="15" t="s">
        <v>506</v>
      </c>
      <c r="E27" s="15" t="s">
        <v>528</v>
      </c>
      <c r="F27" s="15"/>
      <c r="G27" s="50">
        <f ca="1" t="shared" si="16"/>
        <v>373.50445</v>
      </c>
      <c r="H27" s="51">
        <f ca="1" t="shared" si="16"/>
        <v>170.859883</v>
      </c>
      <c r="I27" s="52">
        <f ca="1" t="shared" si="16"/>
        <v>-234.57904</v>
      </c>
      <c r="J27" s="51">
        <f t="shared" si="17"/>
        <v>56.132018000000016</v>
      </c>
      <c r="K27" s="51">
        <f t="shared" si="18"/>
        <v>0.0007889999999974862</v>
      </c>
      <c r="L27" s="51">
        <f t="shared" si="19"/>
        <v>-9.897559999999999</v>
      </c>
      <c r="M27" s="105">
        <f t="shared" si="20"/>
        <v>56.99793978143813</v>
      </c>
      <c r="N27" s="51">
        <f t="shared" si="21"/>
        <v>0.9848078406911103</v>
      </c>
      <c r="O27" s="51">
        <f t="shared" si="22"/>
        <v>1.384260559281532E-05</v>
      </c>
      <c r="P27" s="51">
        <f t="shared" si="23"/>
        <v>-0.17364767986268909</v>
      </c>
      <c r="Q27" s="50">
        <f t="shared" si="24"/>
        <v>-1.8508355194464443</v>
      </c>
      <c r="R27" s="51">
        <f t="shared" si="25"/>
        <v>-2.9720315871217918E-05</v>
      </c>
      <c r="S27" s="52">
        <f t="shared" si="26"/>
        <v>-0.3263483794993287</v>
      </c>
      <c r="T27" s="51">
        <f t="shared" si="27"/>
        <v>1.8793869707246893</v>
      </c>
      <c r="U27" s="50">
        <f t="shared" si="28"/>
        <v>-0.9848081040663831</v>
      </c>
      <c r="V27" s="51">
        <f t="shared" si="29"/>
        <v>-1.5813835220831505E-05</v>
      </c>
      <c r="W27" s="52">
        <f t="shared" si="30"/>
        <v>-0.17364618600792425</v>
      </c>
      <c r="X27" s="52">
        <f t="shared" si="31"/>
        <v>-1</v>
      </c>
      <c r="Y27" s="55">
        <f>Xnorm*VertexCalc!Xnorm+Ynorm*VertexCalc!Ynorm+Znorm*VertexCalc!Znorm</f>
        <v>0.9999999998729163</v>
      </c>
    </row>
    <row r="28" spans="3:25" ht="12.75">
      <c r="C28" s="10" t="s">
        <v>507</v>
      </c>
      <c r="D28" s="11" t="s">
        <v>508</v>
      </c>
      <c r="E28" s="11" t="s">
        <v>528</v>
      </c>
      <c r="F28" s="11"/>
      <c r="G28" s="47">
        <f ca="1" t="shared" si="16"/>
        <v>223.12771</v>
      </c>
      <c r="H28" s="48">
        <f ca="1" t="shared" si="16"/>
        <v>170.857126</v>
      </c>
      <c r="I28" s="49">
        <f ca="1" t="shared" si="16"/>
        <v>-321.398179</v>
      </c>
      <c r="J28" s="48">
        <f t="shared" si="17"/>
        <v>-150.37674</v>
      </c>
      <c r="K28" s="48">
        <f t="shared" si="18"/>
        <v>-0.002757000000002563</v>
      </c>
      <c r="L28" s="48">
        <f t="shared" si="19"/>
        <v>-86.81913900000004</v>
      </c>
      <c r="M28" s="104">
        <f t="shared" si="20"/>
        <v>173.63964650197252</v>
      </c>
      <c r="N28" s="48">
        <f t="shared" si="21"/>
        <v>-0.866027678755334</v>
      </c>
      <c r="O28" s="48">
        <f t="shared" si="22"/>
        <v>-1.58777102784026E-05</v>
      </c>
      <c r="P28" s="48">
        <f t="shared" si="23"/>
        <v>-0.4999960593620178</v>
      </c>
      <c r="Q28" s="47">
        <f t="shared" si="24"/>
        <v>1.7320553604922084</v>
      </c>
      <c r="R28" s="48">
        <f t="shared" si="25"/>
        <v>1.0138434230734733E-10</v>
      </c>
      <c r="S28" s="49">
        <f t="shared" si="26"/>
        <v>5.164230876264497E-09</v>
      </c>
      <c r="T28" s="48">
        <f t="shared" si="27"/>
        <v>1.7320553604922084</v>
      </c>
      <c r="U28" s="47">
        <f t="shared" si="28"/>
        <v>1</v>
      </c>
      <c r="V28" s="48">
        <f t="shared" si="29"/>
        <v>5.853412345811877E-11</v>
      </c>
      <c r="W28" s="49">
        <f t="shared" si="30"/>
        <v>2.981562249140205E-09</v>
      </c>
      <c r="X28" s="49">
        <f t="shared" si="31"/>
        <v>1</v>
      </c>
      <c r="Y28" s="55">
        <f>Xnorm*VertexCalc!Xnorm+Ynorm*VertexCalc!Ynorm+Znorm*VertexCalc!Znorm</f>
        <v>1</v>
      </c>
    </row>
    <row r="29" spans="3:25" ht="12.75">
      <c r="C29" s="18"/>
      <c r="D29" s="19" t="s">
        <v>509</v>
      </c>
      <c r="E29" s="19" t="s">
        <v>528</v>
      </c>
      <c r="F29" s="19"/>
      <c r="G29" s="44">
        <f ca="1" t="shared" si="16"/>
        <v>373.123603</v>
      </c>
      <c r="H29" s="45">
        <f ca="1" t="shared" si="16"/>
        <v>170.854376</v>
      </c>
      <c r="I29" s="46">
        <f ca="1" t="shared" si="16"/>
        <v>-407.997437</v>
      </c>
      <c r="J29" s="45">
        <f t="shared" si="17"/>
        <v>149.995893</v>
      </c>
      <c r="K29" s="45">
        <f t="shared" si="18"/>
        <v>-0.0027499999999918145</v>
      </c>
      <c r="L29" s="45">
        <f t="shared" si="19"/>
        <v>-86.59925799999996</v>
      </c>
      <c r="M29" s="103">
        <f t="shared" si="20"/>
        <v>173.19988282496183</v>
      </c>
      <c r="N29" s="45">
        <f t="shared" si="21"/>
        <v>0.8660276817368745</v>
      </c>
      <c r="O29" s="45">
        <f t="shared" si="22"/>
        <v>-1.587760889406029E-05</v>
      </c>
      <c r="P29" s="45">
        <f t="shared" si="23"/>
        <v>-0.4999960541977869</v>
      </c>
      <c r="Q29" s="44">
        <f t="shared" si="24"/>
        <v>-1.8660276817272892</v>
      </c>
      <c r="R29" s="45">
        <f t="shared" si="25"/>
        <v>1.714161171529441E-05</v>
      </c>
      <c r="S29" s="46">
        <f t="shared" si="26"/>
        <v>0.4999918621884305</v>
      </c>
      <c r="T29" s="45">
        <f t="shared" si="27"/>
        <v>1.9318517467758778</v>
      </c>
      <c r="U29" s="44">
        <f t="shared" si="28"/>
        <v>-0.9659269583401292</v>
      </c>
      <c r="V29" s="45">
        <f t="shared" si="29"/>
        <v>8.873150718683529E-06</v>
      </c>
      <c r="W29" s="46">
        <f t="shared" si="30"/>
        <v>0.2588148200413832</v>
      </c>
      <c r="X29" s="46">
        <f t="shared" si="31"/>
        <v>-1</v>
      </c>
      <c r="Y29" s="55">
        <f>Xnorm*VertexCalc!Xnorm+Ynorm*VertexCalc!Ynorm+Znorm*VertexCalc!Znorm</f>
        <v>0.9999999999510673</v>
      </c>
    </row>
    <row r="30" spans="3:25" ht="12.75">
      <c r="C30" s="18"/>
      <c r="D30" s="19" t="s">
        <v>510</v>
      </c>
      <c r="E30" s="19" t="s">
        <v>528</v>
      </c>
      <c r="F30" s="19"/>
      <c r="G30" s="44">
        <f ca="1" t="shared" si="16"/>
        <v>248.123882</v>
      </c>
      <c r="H30" s="45">
        <f ca="1" t="shared" si="16"/>
        <v>170.854534</v>
      </c>
      <c r="I30" s="46">
        <f ca="1" t="shared" si="16"/>
        <v>-407.997961</v>
      </c>
      <c r="J30" s="45">
        <f t="shared" si="17"/>
        <v>-124.999721</v>
      </c>
      <c r="K30" s="45">
        <f t="shared" si="18"/>
        <v>0.00015799999999899228</v>
      </c>
      <c r="L30" s="45">
        <f t="shared" si="19"/>
        <v>-0.0005239999999844258</v>
      </c>
      <c r="M30" s="103">
        <f t="shared" si="20"/>
        <v>124.99972100119815</v>
      </c>
      <c r="N30" s="45">
        <f t="shared" si="21"/>
        <v>-0.9999999999904147</v>
      </c>
      <c r="O30" s="45">
        <f t="shared" si="22"/>
        <v>1.2640028212341195E-06</v>
      </c>
      <c r="P30" s="45">
        <f t="shared" si="23"/>
        <v>-4.192009356400108E-06</v>
      </c>
      <c r="Q30" s="44">
        <f t="shared" si="24"/>
        <v>1.000054678967641</v>
      </c>
      <c r="R30" s="45">
        <f t="shared" si="25"/>
        <v>8.323441663015999E-05</v>
      </c>
      <c r="S30" s="46">
        <f t="shared" si="26"/>
        <v>-0.9999958029257567</v>
      </c>
      <c r="T30" s="45">
        <f t="shared" si="27"/>
        <v>1.4142492615243496</v>
      </c>
      <c r="U30" s="44">
        <f t="shared" si="28"/>
        <v>0.7071275949543232</v>
      </c>
      <c r="V30" s="45">
        <f t="shared" si="29"/>
        <v>5.885413476578076E-05</v>
      </c>
      <c r="W30" s="46">
        <f t="shared" si="30"/>
        <v>-0.7070859643567433</v>
      </c>
      <c r="X30" s="46">
        <f t="shared" si="31"/>
        <v>1</v>
      </c>
      <c r="Y30" s="55" t="e">
        <f>Xnorm*VertexCalc!Xnorm+Ynorm*VertexCalc!Ynorm+Znorm*VertexCalc!Znorm</f>
        <v>#VALUE!</v>
      </c>
    </row>
    <row r="31" spans="3:25" ht="12.75">
      <c r="C31" s="18"/>
      <c r="D31" s="19" t="s">
        <v>511</v>
      </c>
      <c r="E31" s="19" t="s">
        <v>528</v>
      </c>
      <c r="F31" s="19"/>
      <c r="G31" s="44">
        <f ca="1" t="shared" si="16"/>
        <v>248.126616</v>
      </c>
      <c r="H31" s="45">
        <f ca="1" t="shared" si="16"/>
        <v>170.858759</v>
      </c>
      <c r="I31" s="46">
        <f ca="1" t="shared" si="16"/>
        <v>-457.998896</v>
      </c>
      <c r="J31" s="45">
        <f t="shared" si="17"/>
        <v>0.002734000000003789</v>
      </c>
      <c r="K31" s="45">
        <f t="shared" si="18"/>
        <v>0.0042249999999910415</v>
      </c>
      <c r="L31" s="45">
        <f t="shared" si="19"/>
        <v>-50.00093500000003</v>
      </c>
      <c r="M31" s="103">
        <f t="shared" si="20"/>
        <v>50.000935253249104</v>
      </c>
      <c r="N31" s="45">
        <f t="shared" si="21"/>
        <v>5.4678977226253606E-05</v>
      </c>
      <c r="O31" s="45">
        <f t="shared" si="22"/>
        <v>8.449841945139411E-05</v>
      </c>
      <c r="P31" s="45">
        <f t="shared" si="23"/>
        <v>-0.9999999949351132</v>
      </c>
      <c r="Q31" s="44">
        <f t="shared" si="24"/>
        <v>-0.5001414372429179</v>
      </c>
      <c r="R31" s="45">
        <f t="shared" si="25"/>
        <v>-0.707068563596753</v>
      </c>
      <c r="S31" s="46">
        <f t="shared" si="26"/>
        <v>1.5000867532008049</v>
      </c>
      <c r="T31" s="45">
        <f t="shared" si="27"/>
        <v>1.7321511706553558</v>
      </c>
      <c r="U31" s="44">
        <f t="shared" si="28"/>
        <v>-0.28874006248178125</v>
      </c>
      <c r="V31" s="45">
        <f t="shared" si="29"/>
        <v>-0.4082025723708832</v>
      </c>
      <c r="W31" s="46">
        <f t="shared" si="30"/>
        <v>0.866025309230516</v>
      </c>
      <c r="X31" s="46">
        <f t="shared" si="31"/>
        <v>-1</v>
      </c>
      <c r="Y31" s="55" t="e">
        <f>Xnorm*VertexCalc!Xnorm+Ynorm*VertexCalc!Ynorm+Znorm*VertexCalc!Znorm</f>
        <v>#VALUE!</v>
      </c>
    </row>
    <row r="32" spans="3:25" ht="12.75">
      <c r="C32" s="18"/>
      <c r="D32" s="19" t="s">
        <v>512</v>
      </c>
      <c r="E32" s="19" t="s">
        <v>528</v>
      </c>
      <c r="F32" s="19"/>
      <c r="G32" s="44">
        <f ca="1" t="shared" si="16"/>
        <v>248.123672</v>
      </c>
      <c r="H32" s="45">
        <f ca="1" t="shared" si="16"/>
        <v>170.854597</v>
      </c>
      <c r="I32" s="46">
        <f ca="1" t="shared" si="16"/>
        <v>-457.995952</v>
      </c>
      <c r="J32" s="45">
        <f t="shared" si="17"/>
        <v>-0.0029440000000136024</v>
      </c>
      <c r="K32" s="45">
        <f t="shared" si="18"/>
        <v>-0.004161999999979571</v>
      </c>
      <c r="L32" s="45">
        <f t="shared" si="19"/>
        <v>0.0029440000000136024</v>
      </c>
      <c r="M32" s="103">
        <f t="shared" si="20"/>
        <v>0.005886978511935485</v>
      </c>
      <c r="N32" s="45">
        <f t="shared" si="21"/>
        <v>-0.5000867582656917</v>
      </c>
      <c r="O32" s="45">
        <f t="shared" si="22"/>
        <v>-0.7069840651773016</v>
      </c>
      <c r="P32" s="45">
        <f t="shared" si="23"/>
        <v>0.5000867582656917</v>
      </c>
      <c r="Q32" s="44">
        <f t="shared" si="24"/>
        <v>1.5000867575650014</v>
      </c>
      <c r="R32" s="45">
        <f t="shared" si="25"/>
        <v>0.7070161052813453</v>
      </c>
      <c r="S32" s="46">
        <f t="shared" si="26"/>
        <v>-0.5001061183285599</v>
      </c>
      <c r="T32" s="45">
        <f t="shared" si="27"/>
        <v>1.7321195636960924</v>
      </c>
      <c r="U32" s="44">
        <f t="shared" si="28"/>
        <v>0.8660411146006766</v>
      </c>
      <c r="V32" s="45">
        <f t="shared" si="29"/>
        <v>0.40817973545236985</v>
      </c>
      <c r="W32" s="46">
        <f t="shared" si="30"/>
        <v>-0.2887249407087152</v>
      </c>
      <c r="X32" s="46">
        <f t="shared" si="31"/>
        <v>1</v>
      </c>
      <c r="Y32" s="55" t="e">
        <f>Xnorm*VertexCalc!Xnorm+Ynorm*VertexCalc!Ynorm+Znorm*VertexCalc!Znorm</f>
        <v>#VALUE!</v>
      </c>
    </row>
    <row r="33" spans="3:25" ht="12.75">
      <c r="C33" s="18"/>
      <c r="D33" s="19" t="s">
        <v>513</v>
      </c>
      <c r="E33" s="19" t="s">
        <v>528</v>
      </c>
      <c r="F33" s="19"/>
      <c r="G33" s="44">
        <f ca="1" t="shared" si="16"/>
        <v>373.123266</v>
      </c>
      <c r="H33" s="45">
        <f ca="1" t="shared" si="16"/>
        <v>170.858602</v>
      </c>
      <c r="I33" s="46">
        <f ca="1" t="shared" si="16"/>
        <v>-457.998372</v>
      </c>
      <c r="J33" s="45">
        <f t="shared" si="17"/>
        <v>124.999594</v>
      </c>
      <c r="K33" s="45">
        <f t="shared" si="18"/>
        <v>0.004004999999978054</v>
      </c>
      <c r="L33" s="45">
        <f t="shared" si="19"/>
        <v>-0.0024200000000291766</v>
      </c>
      <c r="M33" s="103">
        <f t="shared" si="20"/>
        <v>124.99959408758599</v>
      </c>
      <c r="N33" s="45">
        <f t="shared" si="21"/>
        <v>0.9999999992993098</v>
      </c>
      <c r="O33" s="45">
        <f t="shared" si="22"/>
        <v>3.204010404363225E-05</v>
      </c>
      <c r="P33" s="45">
        <f t="shared" si="23"/>
        <v>-1.9360062868152247E-05</v>
      </c>
      <c r="Q33" s="44">
        <f t="shared" si="24"/>
        <v>-1.8660268546053962</v>
      </c>
      <c r="R33" s="45">
        <f t="shared" si="25"/>
        <v>-4.759440718703259E-05</v>
      </c>
      <c r="S33" s="46">
        <f t="shared" si="26"/>
        <v>-0.4999781255775246</v>
      </c>
      <c r="T33" s="45">
        <f t="shared" si="27"/>
        <v>1.9318473931524072</v>
      </c>
      <c r="U33" s="44">
        <f t="shared" si="28"/>
        <v>-0.9659287070084742</v>
      </c>
      <c r="V33" s="45">
        <f t="shared" si="29"/>
        <v>-2.463673236081427E-05</v>
      </c>
      <c r="W33" s="46">
        <f t="shared" si="30"/>
        <v>-0.2588082926993811</v>
      </c>
      <c r="X33" s="46">
        <f t="shared" si="31"/>
        <v>-1</v>
      </c>
      <c r="Y33" s="55">
        <f>Xnorm*VertexCalc!Xnorm+Ynorm*VertexCalc!Ynorm+Znorm*VertexCalc!Znorm</f>
        <v>0.9999999996345592</v>
      </c>
    </row>
    <row r="34" spans="3:25" ht="12.75">
      <c r="C34" s="18"/>
      <c r="D34" s="19" t="s">
        <v>514</v>
      </c>
      <c r="E34" s="19" t="s">
        <v>528</v>
      </c>
      <c r="F34" s="19"/>
      <c r="G34" s="44">
        <f ca="1" t="shared" si="16"/>
        <v>223.12771</v>
      </c>
      <c r="H34" s="45">
        <f ca="1" t="shared" si="16"/>
        <v>170.855908</v>
      </c>
      <c r="I34" s="46">
        <f ca="1" t="shared" si="16"/>
        <v>-544.597766</v>
      </c>
      <c r="J34" s="45">
        <f t="shared" si="17"/>
        <v>-149.995556</v>
      </c>
      <c r="K34" s="45">
        <f t="shared" si="18"/>
        <v>-0.0026939999999910924</v>
      </c>
      <c r="L34" s="45">
        <f t="shared" si="19"/>
        <v>-86.59939399999996</v>
      </c>
      <c r="M34" s="103">
        <f t="shared" si="20"/>
        <v>173.19965897245294</v>
      </c>
      <c r="N34" s="45">
        <f t="shared" si="21"/>
        <v>-0.8660268553060864</v>
      </c>
      <c r="O34" s="45">
        <f t="shared" si="22"/>
        <v>-1.5554303143400343E-05</v>
      </c>
      <c r="P34" s="45">
        <f t="shared" si="23"/>
        <v>-0.49999748564039276</v>
      </c>
      <c r="Q34" s="44">
        <f t="shared" si="24"/>
        <v>1.732053711635198</v>
      </c>
      <c r="R34" s="45">
        <f t="shared" si="25"/>
        <v>-3.770684649866368E-10</v>
      </c>
      <c r="S34" s="46">
        <f t="shared" si="26"/>
        <v>1.7719551381745191E-09</v>
      </c>
      <c r="T34" s="45">
        <f t="shared" si="27"/>
        <v>1.732053711635198</v>
      </c>
      <c r="U34" s="44">
        <f t="shared" si="28"/>
        <v>1</v>
      </c>
      <c r="V34" s="45">
        <f t="shared" si="29"/>
        <v>-2.1770021475295582E-10</v>
      </c>
      <c r="W34" s="46">
        <f t="shared" si="30"/>
        <v>1.023037060728129E-09</v>
      </c>
      <c r="X34" s="46">
        <f t="shared" si="31"/>
        <v>1</v>
      </c>
      <c r="Y34" s="55">
        <f>Xnorm*VertexCalc!Xnorm+Ynorm*VertexCalc!Ynorm+Znorm*VertexCalc!Znorm</f>
        <v>1</v>
      </c>
    </row>
    <row r="35" spans="3:25" ht="12.75">
      <c r="C35" s="18"/>
      <c r="D35" s="19" t="s">
        <v>515</v>
      </c>
      <c r="E35" s="19" t="s">
        <v>528</v>
      </c>
      <c r="F35" s="19"/>
      <c r="G35" s="44">
        <f ca="1" t="shared" si="16"/>
        <v>354.74645499999997</v>
      </c>
      <c r="H35" s="45">
        <f ca="1" t="shared" si="16"/>
        <v>170.853544</v>
      </c>
      <c r="I35" s="46">
        <f ca="1" t="shared" si="16"/>
        <v>-620.587374</v>
      </c>
      <c r="J35" s="45">
        <f t="shared" si="17"/>
        <v>131.61874499999996</v>
      </c>
      <c r="K35" s="45">
        <f t="shared" si="18"/>
        <v>-0.0023640000000000327</v>
      </c>
      <c r="L35" s="45">
        <f t="shared" si="19"/>
        <v>-75.98960799999998</v>
      </c>
      <c r="M35" s="103">
        <f t="shared" si="20"/>
        <v>151.97998080325306</v>
      </c>
      <c r="N35" s="45">
        <f t="shared" si="21"/>
        <v>0.8660268563291115</v>
      </c>
      <c r="O35" s="45">
        <f t="shared" si="22"/>
        <v>-1.555468021186533E-05</v>
      </c>
      <c r="P35" s="45">
        <f t="shared" si="23"/>
        <v>-0.4999974838684376</v>
      </c>
      <c r="Q35" s="44">
        <f t="shared" si="24"/>
        <v>-1.8508330105148847</v>
      </c>
      <c r="R35" s="45">
        <f t="shared" si="25"/>
        <v>3.472955690454802E-05</v>
      </c>
      <c r="S35" s="46">
        <f t="shared" si="26"/>
        <v>0.32634024010892404</v>
      </c>
      <c r="T35" s="45">
        <f t="shared" si="27"/>
        <v>1.8793830866356342</v>
      </c>
      <c r="U35" s="44">
        <f t="shared" si="28"/>
        <v>-0.9848088043764094</v>
      </c>
      <c r="V35" s="45">
        <f t="shared" si="29"/>
        <v>1.8479232441491704E-05</v>
      </c>
      <c r="W35" s="46">
        <f t="shared" si="30"/>
        <v>0.17364221399540206</v>
      </c>
      <c r="X35" s="46">
        <f t="shared" si="31"/>
        <v>-1</v>
      </c>
      <c r="Y35" s="55">
        <f>Xnorm*VertexCalc!Xnorm+Ynorm*VertexCalc!Ynorm+Znorm*VertexCalc!Znorm</f>
        <v>0.9999999998109236</v>
      </c>
    </row>
    <row r="36" spans="3:25" ht="12.75">
      <c r="C36" s="18"/>
      <c r="D36" s="19" t="s">
        <v>516</v>
      </c>
      <c r="E36" s="19" t="s">
        <v>528</v>
      </c>
      <c r="F36" s="19"/>
      <c r="G36" s="44">
        <f ca="1" t="shared" si="16"/>
        <v>263.583891</v>
      </c>
      <c r="H36" s="45">
        <f ca="1" t="shared" si="16"/>
        <v>170.855319</v>
      </c>
      <c r="I36" s="46">
        <f ca="1" t="shared" si="16"/>
        <v>-636.662659</v>
      </c>
      <c r="J36" s="45">
        <f t="shared" si="17"/>
        <v>-91.16256399999997</v>
      </c>
      <c r="K36" s="45">
        <f t="shared" si="18"/>
        <v>0.001775000000009186</v>
      </c>
      <c r="L36" s="45">
        <f t="shared" si="19"/>
        <v>-16.075285000000008</v>
      </c>
      <c r="M36" s="103">
        <f t="shared" si="20"/>
        <v>92.56904377833845</v>
      </c>
      <c r="N36" s="45">
        <f t="shared" si="21"/>
        <v>-0.9848061541857732</v>
      </c>
      <c r="O36" s="45">
        <f t="shared" si="22"/>
        <v>1.9174876692682693E-05</v>
      </c>
      <c r="P36" s="45">
        <f t="shared" si="23"/>
        <v>-0.1736572437595136</v>
      </c>
      <c r="Q36" s="44">
        <f t="shared" si="24"/>
        <v>0.9847888669794439</v>
      </c>
      <c r="R36" s="45">
        <f t="shared" si="25"/>
        <v>0.9999808248970061</v>
      </c>
      <c r="S36" s="46">
        <f t="shared" si="26"/>
        <v>0.1736448439701579</v>
      </c>
      <c r="T36" s="45">
        <f t="shared" si="27"/>
        <v>1.4141864426325739</v>
      </c>
      <c r="U36" s="44">
        <f t="shared" si="28"/>
        <v>0.6963642397435331</v>
      </c>
      <c r="V36" s="45">
        <f t="shared" si="29"/>
        <v>0.7071067822114708</v>
      </c>
      <c r="W36" s="46">
        <f t="shared" si="30"/>
        <v>0.12278780133608828</v>
      </c>
      <c r="X36" s="46">
        <f t="shared" si="31"/>
        <v>1</v>
      </c>
      <c r="Y36" s="55">
        <f>Xnorm*VertexCalc!Xnorm+Ynorm*VertexCalc!Ynorm+Znorm*VertexCalc!Znorm</f>
        <v>1</v>
      </c>
    </row>
    <row r="37" spans="3:25" ht="13.5" thickBot="1">
      <c r="C37" s="14"/>
      <c r="D37" s="15" t="s">
        <v>517</v>
      </c>
      <c r="E37" s="19" t="s">
        <v>528</v>
      </c>
      <c r="F37" s="15" t="s">
        <v>158</v>
      </c>
      <c r="G37" s="50">
        <f ca="1" t="shared" si="16"/>
        <v>263.582508</v>
      </c>
      <c r="H37" s="51">
        <f ca="1" t="shared" si="16"/>
        <v>250.856678</v>
      </c>
      <c r="I37" s="52">
        <f ca="1" t="shared" si="16"/>
        <v>-636.663651</v>
      </c>
      <c r="J37" s="51">
        <f t="shared" si="17"/>
        <v>-0.0013829999999757092</v>
      </c>
      <c r="K37" s="51">
        <f t="shared" si="18"/>
        <v>80.00135899999998</v>
      </c>
      <c r="L37" s="51">
        <f t="shared" si="19"/>
        <v>-0.0009919999999965512</v>
      </c>
      <c r="M37" s="105">
        <f t="shared" si="20"/>
        <v>80.00135901810438</v>
      </c>
      <c r="N37" s="51">
        <f t="shared" si="21"/>
        <v>-1.7287206329366667E-05</v>
      </c>
      <c r="O37" s="51">
        <f t="shared" si="22"/>
        <v>0.9999999997736988</v>
      </c>
      <c r="P37" s="51">
        <f t="shared" si="23"/>
        <v>-1.2399789355729078E-05</v>
      </c>
      <c r="Q37" s="50">
        <f t="shared" si="24"/>
      </c>
      <c r="R37" s="51">
        <f t="shared" si="25"/>
      </c>
      <c r="S37" s="52">
        <f t="shared" si="26"/>
      </c>
      <c r="T37" s="51">
        <f t="shared" si="27"/>
      </c>
      <c r="U37" s="50">
        <f t="shared" si="28"/>
      </c>
      <c r="V37" s="51">
        <f t="shared" si="29"/>
      </c>
      <c r="W37" s="52">
        <f t="shared" si="30"/>
      </c>
      <c r="X37" s="52">
        <f t="shared" si="31"/>
      </c>
      <c r="Y37" s="55" t="e">
        <f>Xnorm*VertexCalc!Xnorm+Ynorm*VertexCalc!Ynorm+Znorm*VertexCalc!Znorm</f>
        <v>#VALUE!</v>
      </c>
    </row>
    <row r="38" spans="1:25" ht="13.5" thickBot="1">
      <c r="A38" s="63" t="s">
        <v>135</v>
      </c>
      <c r="C38" s="19"/>
      <c r="D38" s="19" t="s">
        <v>506</v>
      </c>
      <c r="E38" s="19" t="s">
        <v>529</v>
      </c>
      <c r="F38" s="19" t="s">
        <v>126</v>
      </c>
      <c r="G38" s="44">
        <f ca="1" t="shared" si="16"/>
        <v>373.50445</v>
      </c>
      <c r="H38" s="45">
        <f ca="1" t="shared" si="16"/>
        <v>170.859883</v>
      </c>
      <c r="I38" s="46">
        <f ca="1" t="shared" si="16"/>
        <v>-234.57904</v>
      </c>
      <c r="J38" s="45">
        <f aca="true" t="shared" si="32" ref="J38:J48">IF(Flag="Ignore","",G38-G37)</f>
      </c>
      <c r="K38" s="45">
        <f aca="true" t="shared" si="33" ref="K38:K48">IF(Flag="Ignore","",H38-H37)</f>
      </c>
      <c r="L38" s="45">
        <f aca="true" t="shared" si="34" ref="L38:L48">IF(Flag="Ignore","",I38-I37)</f>
      </c>
      <c r="M38" s="103">
        <f t="shared" si="20"/>
      </c>
      <c r="N38" s="45">
        <f t="shared" si="21"/>
      </c>
      <c r="O38" s="45">
        <f t="shared" si="22"/>
      </c>
      <c r="P38" s="45">
        <f t="shared" si="23"/>
      </c>
      <c r="Q38" s="44">
        <f aca="true" t="shared" si="35" ref="Q38:Q47">IF(OR(Flag="Ignore",Flag="Det",Flag="Hole"),"",N39-Xray)</f>
      </c>
      <c r="R38" s="45">
        <f aca="true" t="shared" si="36" ref="R38:R47">IF(OR(Flag="Ignore",Flag="Det",Flag="Hole"),"",O39-Yray)</f>
      </c>
      <c r="S38" s="46">
        <f aca="true" t="shared" si="37" ref="S38:S47">IF(OR(Flag="Ignore",Flag="Det",Flag="Hole"),"",P39-Zray)</f>
      </c>
      <c r="T38" s="45">
        <f t="shared" si="27"/>
      </c>
      <c r="U38" s="44">
        <f t="shared" si="28"/>
      </c>
      <c r="V38" s="45">
        <f t="shared" si="29"/>
      </c>
      <c r="W38" s="46">
        <f t="shared" si="30"/>
      </c>
      <c r="X38" s="45">
        <f t="shared" si="31"/>
      </c>
      <c r="Y38" s="55" t="e">
        <f>Xnorm*VertexCalc!Xnorm+Ynorm*VertexCalc!Ynorm+Znorm*VertexCalc!Znorm</f>
        <v>#VALUE!</v>
      </c>
    </row>
    <row r="39" spans="1:25" ht="12.75">
      <c r="A39" s="55" t="s">
        <v>17</v>
      </c>
      <c r="B39" s="55" t="str">
        <f>"-Zsyno"</f>
        <v>-Zsyno</v>
      </c>
      <c r="C39" s="10" t="s">
        <v>518</v>
      </c>
      <c r="D39" s="11" t="s">
        <v>508</v>
      </c>
      <c r="E39" s="11" t="s">
        <v>529</v>
      </c>
      <c r="F39" s="11" t="s">
        <v>157</v>
      </c>
      <c r="G39" s="47">
        <f ca="1" t="shared" si="16"/>
        <v>223.12771</v>
      </c>
      <c r="H39" s="48">
        <f ca="1" t="shared" si="16"/>
        <v>170.857126</v>
      </c>
      <c r="I39" s="49">
        <f ca="1" t="shared" si="16"/>
        <v>-321.398179</v>
      </c>
      <c r="J39" s="48">
        <f t="shared" si="32"/>
        <v>-150.37674</v>
      </c>
      <c r="K39" s="48">
        <f t="shared" si="33"/>
        <v>-0.002757000000002563</v>
      </c>
      <c r="L39" s="48">
        <f t="shared" si="34"/>
        <v>-86.81913900000004</v>
      </c>
      <c r="M39" s="104">
        <f t="shared" si="20"/>
        <v>173.63964650197252</v>
      </c>
      <c r="N39" s="48">
        <f t="shared" si="21"/>
        <v>-0.866027678755334</v>
      </c>
      <c r="O39" s="48">
        <f t="shared" si="22"/>
        <v>-1.58777102784026E-05</v>
      </c>
      <c r="P39" s="48">
        <f t="shared" si="23"/>
        <v>-0.4999960593620178</v>
      </c>
      <c r="Q39" s="47">
        <f t="shared" si="35"/>
      </c>
      <c r="R39" s="48">
        <f t="shared" si="36"/>
      </c>
      <c r="S39" s="49">
        <f t="shared" si="37"/>
      </c>
      <c r="T39" s="48">
        <f t="shared" si="27"/>
      </c>
      <c r="U39" s="47">
        <f t="shared" si="28"/>
      </c>
      <c r="V39" s="48">
        <f t="shared" si="29"/>
      </c>
      <c r="W39" s="49">
        <f t="shared" si="30"/>
      </c>
      <c r="X39" s="49">
        <f t="shared" si="31"/>
      </c>
      <c r="Y39" s="55" t="e">
        <f>Xnorm*VertexCalc!Xnorm+Ynorm*VertexCalc!Ynorm+Znorm*VertexCalc!Znorm</f>
        <v>#VALUE!</v>
      </c>
    </row>
    <row r="40" spans="1:25" ht="12.75">
      <c r="A40" s="55" t="s">
        <v>80</v>
      </c>
      <c r="B40" s="55" t="s">
        <v>131</v>
      </c>
      <c r="C40" s="18"/>
      <c r="D40" s="19" t="s">
        <v>519</v>
      </c>
      <c r="E40" s="19" t="s">
        <v>529</v>
      </c>
      <c r="F40" s="19"/>
      <c r="G40" s="44">
        <f ca="1" t="shared" si="16"/>
        <v>73.13181599999999</v>
      </c>
      <c r="H40" s="45">
        <f ca="1" t="shared" si="16"/>
        <v>170.854376</v>
      </c>
      <c r="I40" s="46">
        <f ca="1" t="shared" si="16"/>
        <v>-407.997437</v>
      </c>
      <c r="J40" s="45">
        <f t="shared" si="32"/>
        <v>-149.99589400000002</v>
      </c>
      <c r="K40" s="45">
        <f t="shared" si="33"/>
        <v>-0.0027499999999918145</v>
      </c>
      <c r="L40" s="45">
        <f t="shared" si="34"/>
        <v>-86.59925799999996</v>
      </c>
      <c r="M40" s="103">
        <f t="shared" si="20"/>
        <v>173.1998836909895</v>
      </c>
      <c r="N40" s="45">
        <f t="shared" si="21"/>
        <v>-0.8660276831802708</v>
      </c>
      <c r="O40" s="45">
        <f t="shared" si="22"/>
        <v>-1.587760881466966E-05</v>
      </c>
      <c r="P40" s="45">
        <f t="shared" si="23"/>
        <v>-0.4999960516977251</v>
      </c>
      <c r="Q40" s="44">
        <f t="shared" si="35"/>
        <v>1.8660276831706855</v>
      </c>
      <c r="R40" s="45">
        <f t="shared" si="36"/>
        <v>1.714161162579173E-05</v>
      </c>
      <c r="S40" s="46">
        <f t="shared" si="37"/>
        <v>0.4999918596884022</v>
      </c>
      <c r="T40" s="45">
        <f t="shared" si="27"/>
        <v>1.9318517475230488</v>
      </c>
      <c r="U40" s="44">
        <f t="shared" si="28"/>
        <v>0.9659269587137002</v>
      </c>
      <c r="V40" s="45">
        <f t="shared" si="29"/>
        <v>8.873150668921719E-06</v>
      </c>
      <c r="W40" s="46">
        <f t="shared" si="30"/>
        <v>0.25881481864717304</v>
      </c>
      <c r="X40" s="46">
        <f t="shared" si="31"/>
        <v>1</v>
      </c>
      <c r="Y40" s="55">
        <f>Xnorm*VertexCalc!Xnorm+Ynorm*VertexCalc!Ynorm+Znorm*VertexCalc!Znorm</f>
        <v>0.999999999951061</v>
      </c>
    </row>
    <row r="41" spans="1:25" ht="12.75">
      <c r="A41" s="55" t="s">
        <v>81</v>
      </c>
      <c r="B41" s="55" t="s">
        <v>132</v>
      </c>
      <c r="C41" s="18"/>
      <c r="D41" s="19" t="s">
        <v>520</v>
      </c>
      <c r="E41" s="19" t="s">
        <v>529</v>
      </c>
      <c r="F41" s="19"/>
      <c r="G41" s="44">
        <f ca="1" t="shared" si="16"/>
        <v>198.131538</v>
      </c>
      <c r="H41" s="45">
        <f ca="1" t="shared" si="16"/>
        <v>170.854534</v>
      </c>
      <c r="I41" s="46">
        <f ca="1" t="shared" si="16"/>
        <v>-407.997961</v>
      </c>
      <c r="J41" s="45">
        <f t="shared" si="32"/>
        <v>124.99972200000002</v>
      </c>
      <c r="K41" s="45">
        <f t="shared" si="33"/>
        <v>0.00015799999999899228</v>
      </c>
      <c r="L41" s="45">
        <f t="shared" si="34"/>
        <v>-0.0005239999999844258</v>
      </c>
      <c r="M41" s="103">
        <f t="shared" si="20"/>
        <v>124.99972200119818</v>
      </c>
      <c r="N41" s="45">
        <f t="shared" si="21"/>
        <v>0.9999999999904147</v>
      </c>
      <c r="O41" s="45">
        <f t="shared" si="22"/>
        <v>1.2640028111220742E-06</v>
      </c>
      <c r="P41" s="45">
        <f t="shared" si="23"/>
        <v>-4.192009322863958E-06</v>
      </c>
      <c r="Q41" s="44">
        <f t="shared" si="35"/>
        <v>-1.000054678967641</v>
      </c>
      <c r="R41" s="45">
        <f t="shared" si="36"/>
        <v>8.323441664027204E-05</v>
      </c>
      <c r="S41" s="46">
        <f t="shared" si="37"/>
        <v>-0.9999958029257903</v>
      </c>
      <c r="T41" s="45">
        <f t="shared" si="27"/>
        <v>1.4142492615243736</v>
      </c>
      <c r="U41" s="44">
        <f t="shared" si="28"/>
        <v>-0.7071275949543112</v>
      </c>
      <c r="V41" s="45">
        <f t="shared" si="29"/>
        <v>5.8854134772929886E-05</v>
      </c>
      <c r="W41" s="46">
        <f t="shared" si="30"/>
        <v>-0.707085964356755</v>
      </c>
      <c r="X41" s="46">
        <f t="shared" si="31"/>
        <v>-1</v>
      </c>
      <c r="Y41" s="55" t="e">
        <f>Xnorm*VertexCalc!Xnorm+Ynorm*VertexCalc!Ynorm+Znorm*VertexCalc!Znorm</f>
        <v>#VALUE!</v>
      </c>
    </row>
    <row r="42" spans="3:25" ht="12.75">
      <c r="C42" s="18"/>
      <c r="D42" s="19" t="s">
        <v>521</v>
      </c>
      <c r="E42" s="19" t="s">
        <v>529</v>
      </c>
      <c r="F42" s="19"/>
      <c r="G42" s="44">
        <f ca="1" t="shared" si="38" ref="G42:I48">INDIRECT("RayImpacts!"&amp;Axe&amp;System&amp;Ray)</f>
        <v>198.128804</v>
      </c>
      <c r="H42" s="45">
        <f ca="1" t="shared" si="38"/>
        <v>170.858759</v>
      </c>
      <c r="I42" s="46">
        <f ca="1" t="shared" si="38"/>
        <v>-457.998896</v>
      </c>
      <c r="J42" s="45">
        <f t="shared" si="32"/>
        <v>-0.002734000000003789</v>
      </c>
      <c r="K42" s="45">
        <f t="shared" si="33"/>
        <v>0.0042249999999910415</v>
      </c>
      <c r="L42" s="45">
        <f t="shared" si="34"/>
        <v>-50.00093500000003</v>
      </c>
      <c r="M42" s="103">
        <f t="shared" si="20"/>
        <v>50.000935253249104</v>
      </c>
      <c r="N42" s="45">
        <f t="shared" si="21"/>
        <v>-5.4678977226253606E-05</v>
      </c>
      <c r="O42" s="45">
        <f t="shared" si="22"/>
        <v>8.449841945139411E-05</v>
      </c>
      <c r="P42" s="45">
        <f t="shared" si="23"/>
        <v>-0.9999999949351132</v>
      </c>
      <c r="Q42" s="44">
        <f t="shared" si="35"/>
        <v>0.5000140359265707</v>
      </c>
      <c r="R42" s="45">
        <f t="shared" si="36"/>
        <v>-0.7071286178967365</v>
      </c>
      <c r="S42" s="46">
        <f t="shared" si="37"/>
        <v>1.50012923274409</v>
      </c>
      <c r="T42" s="45">
        <f t="shared" si="27"/>
        <v>1.7321756935442487</v>
      </c>
      <c r="U42" s="44">
        <f t="shared" si="28"/>
        <v>0.28866242482797994</v>
      </c>
      <c r="V42" s="45">
        <f t="shared" si="29"/>
        <v>-0.4082314632009774</v>
      </c>
      <c r="W42" s="46">
        <f t="shared" si="30"/>
        <v>0.8660375724789426</v>
      </c>
      <c r="X42" s="46">
        <f t="shared" si="31"/>
        <v>1</v>
      </c>
      <c r="Y42" s="55" t="e">
        <f>Xnorm*VertexCalc!Xnorm+Ynorm*VertexCalc!Ynorm+Znorm*VertexCalc!Znorm</f>
        <v>#VALUE!</v>
      </c>
    </row>
    <row r="43" spans="3:25" ht="12.75">
      <c r="C43" s="18"/>
      <c r="D43" s="19" t="s">
        <v>522</v>
      </c>
      <c r="E43" s="19" t="s">
        <v>529</v>
      </c>
      <c r="F43" s="19"/>
      <c r="G43" s="44">
        <f ca="1" t="shared" si="38"/>
        <v>198.131747</v>
      </c>
      <c r="H43" s="45">
        <f ca="1" t="shared" si="38"/>
        <v>170.854597</v>
      </c>
      <c r="I43" s="46">
        <f ca="1" t="shared" si="38"/>
        <v>-457.995952</v>
      </c>
      <c r="J43" s="45">
        <f t="shared" si="32"/>
        <v>0.0029429999999877055</v>
      </c>
      <c r="K43" s="45">
        <f t="shared" si="33"/>
        <v>-0.004161999999979571</v>
      </c>
      <c r="L43" s="45">
        <f t="shared" si="34"/>
        <v>0.0029440000000136024</v>
      </c>
      <c r="M43" s="103">
        <f t="shared" si="20"/>
        <v>0.005886478488862223</v>
      </c>
      <c r="N43" s="45">
        <f t="shared" si="21"/>
        <v>0.4999593569493444</v>
      </c>
      <c r="O43" s="45">
        <f t="shared" si="22"/>
        <v>-0.7070441194772852</v>
      </c>
      <c r="P43" s="45">
        <f t="shared" si="23"/>
        <v>0.500129237808977</v>
      </c>
      <c r="Q43" s="44">
        <f t="shared" si="35"/>
        <v>-1.4999593562486542</v>
      </c>
      <c r="R43" s="45">
        <f t="shared" si="36"/>
        <v>0.7070761595813289</v>
      </c>
      <c r="S43" s="46">
        <f t="shared" si="37"/>
        <v>-0.5001485978718452</v>
      </c>
      <c r="T43" s="45">
        <f t="shared" si="27"/>
        <v>1.7320460114556226</v>
      </c>
      <c r="U43" s="44">
        <f t="shared" si="28"/>
        <v>-0.8660043361019484</v>
      </c>
      <c r="V43" s="45">
        <f t="shared" si="29"/>
        <v>0.40823174148075747</v>
      </c>
      <c r="W43" s="46">
        <f t="shared" si="30"/>
        <v>-0.288761727208111</v>
      </c>
      <c r="X43" s="46">
        <f t="shared" si="31"/>
        <v>-1</v>
      </c>
      <c r="Y43" s="55" t="e">
        <f>Xnorm*VertexCalc!Xnorm+Ynorm*VertexCalc!Ynorm+Znorm*VertexCalc!Znorm</f>
        <v>#VALUE!</v>
      </c>
    </row>
    <row r="44" spans="3:25" ht="12.75">
      <c r="C44" s="18"/>
      <c r="D44" s="19" t="s">
        <v>523</v>
      </c>
      <c r="E44" s="19" t="s">
        <v>529</v>
      </c>
      <c r="F44" s="19"/>
      <c r="G44" s="44">
        <f ca="1" t="shared" si="38"/>
        <v>73.13215299999999</v>
      </c>
      <c r="H44" s="45">
        <f ca="1" t="shared" si="38"/>
        <v>170.858602</v>
      </c>
      <c r="I44" s="46">
        <f ca="1" t="shared" si="38"/>
        <v>-457.998372</v>
      </c>
      <c r="J44" s="45">
        <f t="shared" si="32"/>
        <v>-124.999594</v>
      </c>
      <c r="K44" s="45">
        <f t="shared" si="33"/>
        <v>0.004004999999978054</v>
      </c>
      <c r="L44" s="45">
        <f t="shared" si="34"/>
        <v>-0.0024200000000291766</v>
      </c>
      <c r="M44" s="103">
        <f t="shared" si="20"/>
        <v>124.99959408758599</v>
      </c>
      <c r="N44" s="45">
        <f t="shared" si="21"/>
        <v>-0.9999999992993098</v>
      </c>
      <c r="O44" s="45">
        <f t="shared" si="22"/>
        <v>3.204010404363225E-05</v>
      </c>
      <c r="P44" s="45">
        <f t="shared" si="23"/>
        <v>-1.9360062868152247E-05</v>
      </c>
      <c r="Q44" s="44">
        <f t="shared" si="35"/>
        <v>1.8660268560488025</v>
      </c>
      <c r="R44" s="45">
        <f t="shared" si="36"/>
        <v>-4.7594407109258514E-05</v>
      </c>
      <c r="S44" s="46">
        <f t="shared" si="37"/>
        <v>-0.49997812307745465</v>
      </c>
      <c r="T44" s="45">
        <f t="shared" si="27"/>
        <v>1.9318473938995957</v>
      </c>
      <c r="U44" s="44">
        <f t="shared" si="28"/>
        <v>0.9659287073820417</v>
      </c>
      <c r="V44" s="45">
        <f t="shared" si="29"/>
        <v>-2.4636732311026502E-05</v>
      </c>
      <c r="W44" s="46">
        <f t="shared" si="30"/>
        <v>-0.2588082913051465</v>
      </c>
      <c r="X44" s="46">
        <f t="shared" si="31"/>
        <v>1</v>
      </c>
      <c r="Y44" s="55">
        <f>Xnorm*VertexCalc!Xnorm+Ynorm*VertexCalc!Ynorm+Znorm*VertexCalc!Znorm</f>
        <v>0.9999999996345433</v>
      </c>
    </row>
    <row r="45" spans="3:25" ht="12.75">
      <c r="C45" s="18"/>
      <c r="D45" s="19" t="s">
        <v>514</v>
      </c>
      <c r="E45" s="19" t="s">
        <v>529</v>
      </c>
      <c r="F45" s="19"/>
      <c r="G45" s="44">
        <f ca="1" t="shared" si="38"/>
        <v>223.12771</v>
      </c>
      <c r="H45" s="45">
        <f ca="1" t="shared" si="38"/>
        <v>170.855908</v>
      </c>
      <c r="I45" s="46">
        <f ca="1" t="shared" si="38"/>
        <v>-544.597766</v>
      </c>
      <c r="J45" s="45">
        <f t="shared" si="32"/>
        <v>149.99555700000002</v>
      </c>
      <c r="K45" s="45">
        <f t="shared" si="33"/>
        <v>-0.0026939999999910924</v>
      </c>
      <c r="L45" s="45">
        <f t="shared" si="34"/>
        <v>-86.59939399999996</v>
      </c>
      <c r="M45" s="103">
        <f t="shared" si="20"/>
        <v>173.19965983847982</v>
      </c>
      <c r="N45" s="45">
        <f t="shared" si="21"/>
        <v>0.8660268567494926</v>
      </c>
      <c r="O45" s="45">
        <f t="shared" si="22"/>
        <v>-1.5554303065626262E-05</v>
      </c>
      <c r="P45" s="45">
        <f t="shared" si="23"/>
        <v>-0.49999748314032283</v>
      </c>
      <c r="Q45" s="44">
        <f t="shared" si="35"/>
        <v>-1.7320537130786042</v>
      </c>
      <c r="R45" s="45">
        <f t="shared" si="36"/>
        <v>-3.771462390639627E-10</v>
      </c>
      <c r="S45" s="46">
        <f t="shared" si="37"/>
        <v>-7.281146796600524E-10</v>
      </c>
      <c r="T45" s="45">
        <f t="shared" si="27"/>
        <v>1.7320537130786042</v>
      </c>
      <c r="U45" s="44">
        <f t="shared" si="28"/>
        <v>-1</v>
      </c>
      <c r="V45" s="45">
        <f t="shared" si="29"/>
        <v>-2.177451173806912E-10</v>
      </c>
      <c r="W45" s="46">
        <f t="shared" si="30"/>
        <v>-4.203765011224043E-10</v>
      </c>
      <c r="X45" s="46">
        <f t="shared" si="31"/>
        <v>-1</v>
      </c>
      <c r="Y45" s="55">
        <f>Xnorm*VertexCalc!Xnorm+Ynorm*VertexCalc!Ynorm+Znorm*VertexCalc!Znorm</f>
        <v>1</v>
      </c>
    </row>
    <row r="46" spans="3:25" ht="12.75">
      <c r="C46" s="18"/>
      <c r="D46" s="19" t="s">
        <v>524</v>
      </c>
      <c r="E46" s="19" t="s">
        <v>529</v>
      </c>
      <c r="F46" s="19"/>
      <c r="G46" s="44">
        <f ca="1" t="shared" si="38"/>
        <v>91.508965</v>
      </c>
      <c r="H46" s="45">
        <f ca="1" t="shared" si="38"/>
        <v>170.853544</v>
      </c>
      <c r="I46" s="46">
        <f ca="1" t="shared" si="38"/>
        <v>-620.587374</v>
      </c>
      <c r="J46" s="45">
        <f t="shared" si="32"/>
        <v>-131.618745</v>
      </c>
      <c r="K46" s="45">
        <f t="shared" si="33"/>
        <v>-0.0023640000000000327</v>
      </c>
      <c r="L46" s="45">
        <f t="shared" si="34"/>
        <v>-75.98960799999998</v>
      </c>
      <c r="M46" s="103">
        <f t="shared" si="20"/>
        <v>151.97998080325308</v>
      </c>
      <c r="N46" s="45">
        <f t="shared" si="21"/>
        <v>-0.8660268563291116</v>
      </c>
      <c r="O46" s="45">
        <f t="shared" si="22"/>
        <v>-1.5554680211865326E-05</v>
      </c>
      <c r="P46" s="45">
        <f t="shared" si="23"/>
        <v>-0.4999974838684375</v>
      </c>
      <c r="Q46" s="44">
        <f t="shared" si="35"/>
        <v>1.8508330105148847</v>
      </c>
      <c r="R46" s="45">
        <f t="shared" si="36"/>
        <v>3.4729556904548016E-05</v>
      </c>
      <c r="S46" s="46">
        <f t="shared" si="37"/>
        <v>0.32634024010892393</v>
      </c>
      <c r="T46" s="45">
        <f t="shared" si="27"/>
        <v>1.8793830866356342</v>
      </c>
      <c r="U46" s="44">
        <f t="shared" si="28"/>
        <v>0.9848088043764094</v>
      </c>
      <c r="V46" s="45">
        <f t="shared" si="29"/>
        <v>1.8479232441491697E-05</v>
      </c>
      <c r="W46" s="46">
        <f t="shared" si="30"/>
        <v>0.173642213995402</v>
      </c>
      <c r="X46" s="46">
        <f t="shared" si="31"/>
        <v>1</v>
      </c>
      <c r="Y46" s="55">
        <f>Xnorm*VertexCalc!Xnorm+Ynorm*VertexCalc!Ynorm+Znorm*VertexCalc!Znorm</f>
        <v>0.9999999998109236</v>
      </c>
    </row>
    <row r="47" spans="3:25" ht="12.75">
      <c r="C47" s="18"/>
      <c r="D47" s="19" t="s">
        <v>525</v>
      </c>
      <c r="E47" s="19" t="s">
        <v>529</v>
      </c>
      <c r="F47" s="19"/>
      <c r="G47" s="44">
        <f ca="1" t="shared" si="38"/>
        <v>182.671529</v>
      </c>
      <c r="H47" s="45">
        <f ca="1" t="shared" si="38"/>
        <v>170.855319</v>
      </c>
      <c r="I47" s="46">
        <f ca="1" t="shared" si="38"/>
        <v>-636.662659</v>
      </c>
      <c r="J47" s="45">
        <f t="shared" si="32"/>
        <v>91.16256399999999</v>
      </c>
      <c r="K47" s="45">
        <f t="shared" si="33"/>
        <v>0.001775000000009186</v>
      </c>
      <c r="L47" s="45">
        <f t="shared" si="34"/>
        <v>-16.075285000000008</v>
      </c>
      <c r="M47" s="103">
        <f t="shared" si="20"/>
        <v>92.56904377833847</v>
      </c>
      <c r="N47" s="45">
        <f t="shared" si="21"/>
        <v>0.9848061541857732</v>
      </c>
      <c r="O47" s="45">
        <f t="shared" si="22"/>
        <v>1.917487669268269E-05</v>
      </c>
      <c r="P47" s="45">
        <f t="shared" si="23"/>
        <v>-0.17365724375951358</v>
      </c>
      <c r="Q47" s="44">
        <f t="shared" si="35"/>
        <v>-0.9847888669794435</v>
      </c>
      <c r="R47" s="45">
        <f t="shared" si="36"/>
        <v>0.9999808248970061</v>
      </c>
      <c r="S47" s="46">
        <f t="shared" si="37"/>
        <v>0.17364484397015786</v>
      </c>
      <c r="T47" s="45">
        <f t="shared" si="27"/>
        <v>1.4141864426325736</v>
      </c>
      <c r="U47" s="44">
        <f t="shared" si="28"/>
        <v>-0.6963642397435329</v>
      </c>
      <c r="V47" s="45">
        <f t="shared" si="29"/>
        <v>0.7071067822114709</v>
      </c>
      <c r="W47" s="46">
        <f t="shared" si="30"/>
        <v>0.12278780133608828</v>
      </c>
      <c r="X47" s="46">
        <f t="shared" si="31"/>
        <v>-1</v>
      </c>
      <c r="Y47" s="55">
        <f>Xnorm*VertexCalc!Xnorm+Ynorm*VertexCalc!Ynorm+Znorm*VertexCalc!Znorm</f>
        <v>0.9999999999999999</v>
      </c>
    </row>
    <row r="48" spans="3:25" ht="13.5" thickBot="1">
      <c r="C48" s="14"/>
      <c r="D48" s="15" t="s">
        <v>526</v>
      </c>
      <c r="E48" s="15" t="s">
        <v>529</v>
      </c>
      <c r="F48" s="15" t="s">
        <v>158</v>
      </c>
      <c r="G48" s="50">
        <f ca="1" t="shared" si="38"/>
        <v>182.672912</v>
      </c>
      <c r="H48" s="51">
        <f ca="1" t="shared" si="38"/>
        <v>250.856678</v>
      </c>
      <c r="I48" s="52">
        <f ca="1" t="shared" si="38"/>
        <v>-636.663651</v>
      </c>
      <c r="J48" s="51">
        <f t="shared" si="32"/>
        <v>0.001383000000004131</v>
      </c>
      <c r="K48" s="51">
        <f t="shared" si="33"/>
        <v>80.00135899999998</v>
      </c>
      <c r="L48" s="51">
        <f t="shared" si="34"/>
        <v>-0.0009919999999965512</v>
      </c>
      <c r="M48" s="105">
        <f t="shared" si="20"/>
        <v>80.00135901810438</v>
      </c>
      <c r="N48" s="51">
        <f t="shared" si="21"/>
        <v>1.7287206329721933E-05</v>
      </c>
      <c r="O48" s="51">
        <f t="shared" si="22"/>
        <v>0.9999999997736988</v>
      </c>
      <c r="P48" s="51">
        <f t="shared" si="23"/>
        <v>-1.2399789355729078E-05</v>
      </c>
      <c r="Q48" s="50">
        <f>IF(OR(Flag="Ignore",Flag="Det",Flag="Hole"),"",N52-Xray)</f>
      </c>
      <c r="R48" s="51">
        <f>IF(OR(Flag="Ignore",Flag="Det",Flag="Hole"),"",O52-Yray)</f>
      </c>
      <c r="S48" s="52">
        <f>IF(OR(Flag="Ignore",Flag="Det",Flag="Hole"),"",P52-Zray)</f>
      </c>
      <c r="T48" s="51">
        <f t="shared" si="27"/>
      </c>
      <c r="U48" s="50">
        <f t="shared" si="28"/>
      </c>
      <c r="V48" s="51">
        <f t="shared" si="29"/>
      </c>
      <c r="W48" s="52">
        <f t="shared" si="30"/>
      </c>
      <c r="X48" s="52">
        <f t="shared" si="31"/>
      </c>
      <c r="Y48" s="55" t="e">
        <f>Xnorm*VertexCalc!Xnorm+Ynorm*VertexCalc!Ynorm+Znorm*VertexCalc!Znorm</f>
        <v>#VALUE!</v>
      </c>
    </row>
    <row r="49" spans="1:30" s="1" customFormat="1" ht="12.75">
      <c r="A49" s="25" t="s">
        <v>553</v>
      </c>
      <c r="C49" s="19"/>
      <c r="D49" s="19"/>
      <c r="E49" s="19"/>
      <c r="G49" s="21" t="s">
        <v>17</v>
      </c>
      <c r="H49" s="21" t="s">
        <v>80</v>
      </c>
      <c r="I49" s="21" t="s">
        <v>81</v>
      </c>
      <c r="J49" s="21"/>
      <c r="K49" s="21"/>
      <c r="L49" s="21"/>
      <c r="M49" s="21"/>
      <c r="N49" s="21"/>
      <c r="O49" s="21"/>
      <c r="P49" s="21"/>
      <c r="Q49" s="21"/>
      <c r="R49" s="21"/>
      <c r="S49" s="21"/>
      <c r="T49" s="21"/>
      <c r="U49" s="21"/>
      <c r="V49" s="21"/>
      <c r="W49" s="21"/>
      <c r="X49" s="21"/>
      <c r="Y49" s="19"/>
      <c r="Z49" s="19"/>
      <c r="AA49" s="19"/>
      <c r="AB49" s="19"/>
      <c r="AC49" s="19"/>
      <c r="AD49" s="19"/>
    </row>
    <row r="50" spans="1:30" s="1" customFormat="1" ht="12.75">
      <c r="A50" s="5"/>
      <c r="C50" s="23"/>
      <c r="G50" s="21"/>
      <c r="H50" s="21"/>
      <c r="I50" s="21"/>
      <c r="J50" s="21"/>
      <c r="K50" s="21"/>
      <c r="L50" s="21"/>
      <c r="M50" s="21"/>
      <c r="N50" s="21"/>
      <c r="O50" s="21"/>
      <c r="P50" s="20"/>
      <c r="Q50" s="20"/>
      <c r="R50" s="20"/>
      <c r="S50" s="20"/>
      <c r="T50" s="20"/>
      <c r="U50" s="20"/>
      <c r="V50" s="21"/>
      <c r="W50" s="21"/>
      <c r="X50" s="21"/>
      <c r="Y50" s="19"/>
      <c r="Z50" s="19"/>
      <c r="AA50" s="19"/>
      <c r="AB50" s="19"/>
      <c r="AC50" s="19"/>
      <c r="AD50" s="19"/>
    </row>
    <row r="51" spans="1:30" s="1" customFormat="1" ht="12.75">
      <c r="A51" s="25"/>
      <c r="C51" s="19"/>
      <c r="D51" s="19"/>
      <c r="E51" s="19"/>
      <c r="G51" s="21"/>
      <c r="H51" s="21"/>
      <c r="I51" s="21"/>
      <c r="J51" s="21"/>
      <c r="K51" s="21"/>
      <c r="L51" s="21"/>
      <c r="M51" s="21"/>
      <c r="N51" s="21"/>
      <c r="O51" s="21"/>
      <c r="P51" s="20"/>
      <c r="Q51" s="20"/>
      <c r="R51" s="20"/>
      <c r="S51" s="20"/>
      <c r="T51" s="20"/>
      <c r="U51" s="20"/>
      <c r="V51" s="21"/>
      <c r="W51" s="21"/>
      <c r="X51" s="21"/>
      <c r="Y51" s="19"/>
      <c r="Z51" s="19"/>
      <c r="AA51" s="19"/>
      <c r="AB51" s="19"/>
      <c r="AC51" s="19"/>
      <c r="AD51" s="19"/>
    </row>
    <row r="52" spans="3:24" ht="12.75">
      <c r="C52" s="19"/>
      <c r="D52" s="19"/>
      <c r="E52" s="19"/>
      <c r="F52" s="19"/>
      <c r="G52" s="45"/>
      <c r="H52" s="45"/>
      <c r="I52" s="45"/>
      <c r="J52" s="45"/>
      <c r="K52" s="45"/>
      <c r="L52" s="45"/>
      <c r="M52" s="45"/>
      <c r="N52" s="45"/>
      <c r="O52" s="45"/>
      <c r="P52" s="45"/>
      <c r="T52" s="45"/>
      <c r="U52" s="45"/>
      <c r="V52" s="45"/>
      <c r="W52" s="45"/>
      <c r="X52" s="45"/>
    </row>
    <row r="53" spans="3:24" ht="12.75">
      <c r="C53" s="19"/>
      <c r="D53" s="19"/>
      <c r="E53" s="19"/>
      <c r="F53" s="19"/>
      <c r="G53" s="45"/>
      <c r="H53" s="45"/>
      <c r="I53" s="45"/>
      <c r="J53" s="45"/>
      <c r="K53" s="45"/>
      <c r="L53" s="45"/>
      <c r="M53" s="45"/>
      <c r="N53" s="45"/>
      <c r="O53" s="45"/>
      <c r="P53" s="45"/>
      <c r="T53" s="45"/>
      <c r="U53" s="45"/>
      <c r="V53" s="45"/>
      <c r="W53" s="45"/>
      <c r="X53" s="45"/>
    </row>
    <row r="54" spans="3:24" ht="12.75">
      <c r="C54" s="23" t="s">
        <v>135</v>
      </c>
      <c r="D54" s="1"/>
      <c r="F54" s="1"/>
      <c r="G54" s="45"/>
      <c r="H54" s="45"/>
      <c r="I54" s="45"/>
      <c r="J54" s="45"/>
      <c r="K54" s="45"/>
      <c r="L54" s="45"/>
      <c r="M54" s="45"/>
      <c r="N54" s="45"/>
      <c r="O54" s="45"/>
      <c r="P54" s="45"/>
      <c r="T54" s="45"/>
      <c r="U54" s="45"/>
      <c r="V54" s="45"/>
      <c r="W54" s="45"/>
      <c r="X54" s="45"/>
    </row>
    <row r="55" spans="3:24" ht="12.75">
      <c r="C55" s="1" t="s">
        <v>17</v>
      </c>
      <c r="D55" s="1" t="str">
        <f>"-Zsyno"</f>
        <v>-Zsyno</v>
      </c>
      <c r="E55" s="1" t="s">
        <v>128</v>
      </c>
      <c r="F55" s="1"/>
      <c r="G55" s="45"/>
      <c r="H55" s="45"/>
      <c r="I55" s="45"/>
      <c r="J55" s="45"/>
      <c r="K55" s="45"/>
      <c r="L55" s="45"/>
      <c r="M55" s="45"/>
      <c r="N55" s="45"/>
      <c r="O55" s="45"/>
      <c r="P55" s="45"/>
      <c r="T55" s="45"/>
      <c r="U55" s="45"/>
      <c r="V55" s="45"/>
      <c r="W55" s="45"/>
      <c r="X55" s="45"/>
    </row>
    <row r="56" spans="3:24" ht="12.75">
      <c r="C56" s="1" t="s">
        <v>80</v>
      </c>
      <c r="D56" s="1" t="s">
        <v>131</v>
      </c>
      <c r="E56" s="1" t="s">
        <v>129</v>
      </c>
      <c r="F56" s="1"/>
      <c r="G56" s="45"/>
      <c r="H56" s="45"/>
      <c r="I56" s="45"/>
      <c r="J56" s="45"/>
      <c r="K56" s="45"/>
      <c r="L56" s="45"/>
      <c r="M56" s="45"/>
      <c r="N56" s="45"/>
      <c r="O56" s="45"/>
      <c r="P56" s="45"/>
      <c r="T56" s="45"/>
      <c r="U56" s="45"/>
      <c r="V56" s="45"/>
      <c r="W56" s="45"/>
      <c r="X56" s="45"/>
    </row>
    <row r="57" spans="3:24" ht="12.75">
      <c r="C57" s="1" t="s">
        <v>81</v>
      </c>
      <c r="D57" s="1" t="s">
        <v>132</v>
      </c>
      <c r="E57" s="1" t="s">
        <v>130</v>
      </c>
      <c r="F57" s="1"/>
      <c r="G57" s="45"/>
      <c r="H57" s="45"/>
      <c r="I57" s="45"/>
      <c r="J57" s="45"/>
      <c r="K57" s="45"/>
      <c r="L57" s="45"/>
      <c r="M57" s="45"/>
      <c r="N57" s="45"/>
      <c r="O57" s="45"/>
      <c r="P57" s="45"/>
      <c r="T57" s="45"/>
      <c r="U57" s="45"/>
      <c r="V57" s="45"/>
      <c r="W57" s="45"/>
      <c r="X57" s="45"/>
    </row>
    <row r="58" spans="3:24" ht="12.75">
      <c r="C58" s="19"/>
      <c r="D58" s="19"/>
      <c r="E58" s="19"/>
      <c r="F58" s="19"/>
      <c r="G58" s="45"/>
      <c r="H58" s="45"/>
      <c r="I58" s="45"/>
      <c r="J58" s="45"/>
      <c r="K58" s="45"/>
      <c r="L58" s="45"/>
      <c r="M58" s="45"/>
      <c r="N58" s="45"/>
      <c r="O58" s="45"/>
      <c r="P58" s="45"/>
      <c r="T58" s="45"/>
      <c r="U58" s="45"/>
      <c r="V58" s="45"/>
      <c r="W58" s="45"/>
      <c r="X58" s="45"/>
    </row>
    <row r="59" spans="3:24" ht="12.75">
      <c r="C59" s="29" t="s">
        <v>46</v>
      </c>
      <c r="D59" s="29" t="s">
        <v>408</v>
      </c>
      <c r="F59" s="29" t="s">
        <v>409</v>
      </c>
      <c r="G59" s="45"/>
      <c r="H59" s="45"/>
      <c r="I59" s="45"/>
      <c r="J59" s="45"/>
      <c r="K59" s="45"/>
      <c r="L59" s="45"/>
      <c r="M59" s="45"/>
      <c r="N59" s="45"/>
      <c r="O59" s="45"/>
      <c r="P59" s="45"/>
      <c r="T59" s="45"/>
      <c r="U59" s="45"/>
      <c r="V59" s="45"/>
      <c r="W59" s="45"/>
      <c r="X59" s="45"/>
    </row>
    <row r="60" spans="3:24" ht="12.75">
      <c r="C60" s="19" t="s">
        <v>17</v>
      </c>
      <c r="D60" s="19" t="str">
        <f>"-Zsyno"</f>
        <v>-Zsyno</v>
      </c>
      <c r="F60" s="19" t="s">
        <v>128</v>
      </c>
      <c r="G60" s="45"/>
      <c r="H60" s="45"/>
      <c r="I60" s="45"/>
      <c r="J60" s="45"/>
      <c r="K60" s="45"/>
      <c r="L60" s="45"/>
      <c r="M60" s="45"/>
      <c r="N60" s="45"/>
      <c r="O60" s="45"/>
      <c r="P60" s="45"/>
      <c r="T60" s="45"/>
      <c r="U60" s="45"/>
      <c r="V60" s="45"/>
      <c r="W60" s="45"/>
      <c r="X60" s="45"/>
    </row>
    <row r="61" spans="3:24" ht="12.75">
      <c r="C61" s="19" t="s">
        <v>80</v>
      </c>
      <c r="D61" s="19" t="s">
        <v>131</v>
      </c>
      <c r="F61" s="19" t="s">
        <v>129</v>
      </c>
      <c r="G61" s="45"/>
      <c r="H61" s="45"/>
      <c r="I61" s="45"/>
      <c r="J61" s="45"/>
      <c r="K61" s="45"/>
      <c r="L61" s="45"/>
      <c r="M61" s="45"/>
      <c r="N61" s="45"/>
      <c r="O61" s="45"/>
      <c r="P61" s="45"/>
      <c r="T61" s="45"/>
      <c r="U61" s="45"/>
      <c r="V61" s="45"/>
      <c r="W61" s="45"/>
      <c r="X61" s="45"/>
    </row>
    <row r="62" spans="3:24" ht="12.75">
      <c r="C62" s="19" t="s">
        <v>81</v>
      </c>
      <c r="D62" s="19" t="s">
        <v>132</v>
      </c>
      <c r="F62" s="19" t="s">
        <v>130</v>
      </c>
      <c r="G62" s="45"/>
      <c r="H62" s="45"/>
      <c r="I62" s="45"/>
      <c r="J62" s="45"/>
      <c r="K62" s="45"/>
      <c r="L62" s="45"/>
      <c r="M62" s="45"/>
      <c r="N62" s="45"/>
      <c r="O62" s="45"/>
      <c r="P62" s="45"/>
      <c r="T62" s="45"/>
      <c r="U62" s="45"/>
      <c r="V62" s="45"/>
      <c r="W62" s="45"/>
      <c r="X62" s="45"/>
    </row>
    <row r="63" spans="3:24" ht="12.75">
      <c r="C63" s="19"/>
      <c r="D63" s="19"/>
      <c r="F63" s="19"/>
      <c r="G63" s="45"/>
      <c r="H63" s="45"/>
      <c r="I63" s="45"/>
      <c r="J63" s="45"/>
      <c r="K63" s="45"/>
      <c r="L63" s="45"/>
      <c r="M63" s="45"/>
      <c r="N63" s="45"/>
      <c r="O63" s="45"/>
      <c r="P63" s="45"/>
      <c r="T63" s="45"/>
      <c r="U63" s="45"/>
      <c r="V63" s="45"/>
      <c r="W63" s="45"/>
      <c r="X63" s="45"/>
    </row>
    <row r="64" spans="3:24" ht="12.75">
      <c r="C64" s="19" t="s">
        <v>399</v>
      </c>
      <c r="D64" s="19">
        <v>-1</v>
      </c>
      <c r="F64" s="19"/>
      <c r="G64" s="45"/>
      <c r="H64" s="45"/>
      <c r="I64" s="45"/>
      <c r="J64" s="45"/>
      <c r="K64" s="45"/>
      <c r="L64" s="45"/>
      <c r="M64" s="45"/>
      <c r="N64" s="45"/>
      <c r="O64" s="45"/>
      <c r="P64" s="45"/>
      <c r="T64" s="45"/>
      <c r="U64" s="45"/>
      <c r="V64" s="45"/>
      <c r="W64" s="45"/>
      <c r="X64" s="45"/>
    </row>
    <row r="65" spans="3:24" ht="12.75">
      <c r="C65" s="19" t="s">
        <v>400</v>
      </c>
      <c r="D65" s="19">
        <v>-1</v>
      </c>
      <c r="F65" s="19"/>
      <c r="G65" s="45"/>
      <c r="H65" s="45"/>
      <c r="I65" s="45"/>
      <c r="J65" s="45"/>
      <c r="K65" s="45"/>
      <c r="L65" s="45"/>
      <c r="M65" s="45"/>
      <c r="N65" s="45"/>
      <c r="O65" s="45"/>
      <c r="P65" s="45"/>
      <c r="T65" s="45"/>
      <c r="U65" s="45"/>
      <c r="V65" s="45"/>
      <c r="W65" s="45"/>
      <c r="X65" s="45"/>
    </row>
    <row r="66" spans="3:24" ht="12.75">
      <c r="C66" s="19"/>
      <c r="D66" s="19"/>
      <c r="F66" s="19"/>
      <c r="G66" s="45"/>
      <c r="H66" s="45"/>
      <c r="I66" s="45"/>
      <c r="J66" s="45"/>
      <c r="K66" s="45"/>
      <c r="L66" s="45"/>
      <c r="M66" s="45"/>
      <c r="N66" s="45"/>
      <c r="O66" s="45"/>
      <c r="P66" s="45"/>
      <c r="T66" s="45"/>
      <c r="U66" s="45"/>
      <c r="V66" s="45"/>
      <c r="W66" s="45"/>
      <c r="X66" s="45"/>
    </row>
  </sheetData>
  <printOptions/>
  <pageMargins left="0.41" right="0.52" top="0.984251968503937" bottom="0.984251968503937" header="0.5118110236220472" footer="0.5118110236220472"/>
  <pageSetup fitToHeight="1" fitToWidth="1" horizontalDpi="600" verticalDpi="600" orientation="landscape" paperSize="9" scale="53" r:id="rId1"/>
  <headerFooter alignWithMargins="0">
    <oddHeader>&amp;L&amp;F, &amp;A&amp;R&amp;T, &amp;D</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26"/>
  <sheetViews>
    <sheetView zoomScale="60" zoomScaleNormal="60" workbookViewId="0" topLeftCell="C1">
      <selection activeCell="W3" sqref="W3"/>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1.33203125" style="35" customWidth="1"/>
    <col min="25" max="25" width="12.5" style="1" customWidth="1"/>
    <col min="26" max="16384" width="12" style="1" customWidth="1"/>
  </cols>
  <sheetData>
    <row r="1" spans="3:28" s="5" customFormat="1" ht="12.75">
      <c r="C1" s="5" t="s">
        <v>127</v>
      </c>
      <c r="D1" s="5" t="s">
        <v>2</v>
      </c>
      <c r="E1" s="5" t="s">
        <v>156</v>
      </c>
      <c r="F1" s="7" t="str">
        <f>"X"&amp;Ray</f>
        <v>XM3Cent</v>
      </c>
      <c r="G1" s="7" t="str">
        <f>"Y"&amp;Ray</f>
        <v>YM3Cent</v>
      </c>
      <c r="H1" s="7" t="str">
        <f>"Z"&amp;Ray</f>
        <v>ZM3Cent</v>
      </c>
      <c r="I1" s="6" t="s">
        <v>136</v>
      </c>
      <c r="J1" s="6" t="s">
        <v>137</v>
      </c>
      <c r="K1" s="6" t="s">
        <v>138</v>
      </c>
      <c r="L1" s="6" t="s">
        <v>139</v>
      </c>
      <c r="M1" s="6" t="s">
        <v>140</v>
      </c>
      <c r="N1" s="6" t="s">
        <v>141</v>
      </c>
      <c r="O1" s="6" t="s">
        <v>142</v>
      </c>
      <c r="P1" s="6" t="s">
        <v>143</v>
      </c>
      <c r="Q1" s="6" t="s">
        <v>144</v>
      </c>
      <c r="R1" s="6" t="s">
        <v>145</v>
      </c>
      <c r="S1" s="6" t="s">
        <v>146</v>
      </c>
      <c r="T1" s="6" t="s">
        <v>14</v>
      </c>
      <c r="U1" s="6" t="s">
        <v>15</v>
      </c>
      <c r="V1" s="6" t="s">
        <v>16</v>
      </c>
      <c r="W1" s="32" t="s">
        <v>393</v>
      </c>
      <c r="X1" s="33" t="s">
        <v>395</v>
      </c>
      <c r="Y1" s="7" t="s">
        <v>21</v>
      </c>
      <c r="Z1" s="7" t="s">
        <v>22</v>
      </c>
      <c r="AA1" s="6" t="s">
        <v>23</v>
      </c>
      <c r="AB1" s="5" t="s">
        <v>396</v>
      </c>
    </row>
    <row r="2" spans="1:28" ht="13.5" thickBot="1">
      <c r="A2" s="1" t="s">
        <v>44</v>
      </c>
      <c r="B2" s="1" t="str">
        <f>'M3CentRay'!J4</f>
        <v>(BOLPHT154C)</v>
      </c>
      <c r="D2" s="1" t="s">
        <v>91</v>
      </c>
      <c r="E2" s="1" t="s">
        <v>126</v>
      </c>
      <c r="F2" s="9">
        <f ca="1">INDIRECT("RayImpacts!"&amp;F$1)</f>
        <v>3252.162</v>
      </c>
      <c r="G2" s="9">
        <f ca="1" t="shared" si="0" ref="G2:H17">INDIRECT("RayImpacts!"&amp;G$1)</f>
        <v>12.75945</v>
      </c>
      <c r="H2" s="9">
        <f ca="1" t="shared" si="0"/>
        <v>62.305383</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120</v>
      </c>
      <c r="D3" s="11" t="s">
        <v>92</v>
      </c>
      <c r="E3" s="11"/>
      <c r="F3" s="13">
        <f ca="1" t="shared" si="8" ref="F3:H22">INDIRECT("RayImpacts!"&amp;F$1)</f>
        <v>1252.625517</v>
      </c>
      <c r="G3" s="13">
        <f ca="1" t="shared" si="0"/>
        <v>11.427923</v>
      </c>
      <c r="H3" s="13">
        <f ca="1" t="shared" si="0"/>
        <v>55.803431</v>
      </c>
      <c r="I3" s="13">
        <f aca="true" t="shared" si="9" ref="I3:I22">IF(Flag="Ignore","",F3-F2)</f>
        <v>-1999.5364829999999</v>
      </c>
      <c r="J3" s="13">
        <f aca="true" t="shared" si="10" ref="J3:J22">IF(Flag="Ignore","",G3-G2)</f>
        <v>-1.3315269999999995</v>
      </c>
      <c r="K3" s="13">
        <f aca="true" t="shared" si="11" ref="K3:K22">IF(Flag="Ignore","",H3-H2)</f>
        <v>-6.501951999999996</v>
      </c>
      <c r="L3" s="12">
        <f t="shared" si="1"/>
        <v>1999.5474976083892</v>
      </c>
      <c r="M3" s="12">
        <f t="shared" si="2"/>
        <v>-0.9999944914494892</v>
      </c>
      <c r="N3" s="12">
        <f t="shared" si="3"/>
        <v>-0.0006659141638758804</v>
      </c>
      <c r="O3" s="12">
        <f t="shared" si="4"/>
        <v>-0.0032517117036613657</v>
      </c>
      <c r="P3" s="12">
        <f aca="true" t="shared" si="12" ref="P3:P22">IF(OR(Flag="Ignore",Flag="Hole",Flag="Det"),"",M4-Xray)</f>
        <v>1.9993513828495733</v>
      </c>
      <c r="Q3" s="12">
        <f aca="true" t="shared" si="13" ref="Q3:Q22">IF(OR(Flag="Ignore",Flag="Hole",Flag="Det"),"",N4-Yray)</f>
        <v>-0.006528123101971799</v>
      </c>
      <c r="R3" s="12">
        <f aca="true" t="shared" si="14" ref="R3:R22">IF(OR(Flag="Ignore",Flag="Hole",Flag="Det"),"",O4-Zray)</f>
        <v>-0.031877328120649646</v>
      </c>
      <c r="S3" s="12">
        <f aca="true" t="shared" si="15" ref="S3:S22">IF(OR(Flag="Ignore",Flag="Hole",Flag="Det"),"",SQRT(dXray^2+dYray^2+dZray^2))</f>
        <v>1.9996161462995459</v>
      </c>
      <c r="T3" s="12">
        <f t="shared" si="5"/>
        <v>0.9998675928625288</v>
      </c>
      <c r="U3" s="12">
        <f t="shared" si="6"/>
        <v>-0.003264688132296105</v>
      </c>
      <c r="V3" s="12">
        <f t="shared" si="7"/>
        <v>-0.01594172370514274</v>
      </c>
      <c r="W3" s="48" t="e">
        <f>IF(OR(Flag="Ignore",Flag="Hole",Flag="Det"),"",ACOS((Xnorm*VertexCalc!Xnorm+Ynorm*VertexCalc!Ynorm)/(SQRT(Xnorm^2+Ynorm^2)*SQRT(VertexCalc!Xnorm^2+VertexCalc!Ynorm^2)))*180/PI()*SIGN(Xnorm*Ynorm))</f>
        <v>#VALUE!</v>
      </c>
      <c r="X3" s="64">
        <f>IF(OR(Flag="Ignore",Flag="Hole",Flag="Det"),"",(1-(Xnorm*GutCalc!Xnorm+Ynorm*GutCalc!Ynorm)/(SQRT(Xnorm^2+Ynorm^2)*SQRT(GutCalc!Xnorm^2+GutCalc!Ynorm^2))))</f>
        <v>5.330463180075462E-06</v>
      </c>
      <c r="Y3" s="48" t="e">
        <f>IF(OR(Flag="Ignore",Flag="Hole",Flag="Det"),"",VertexCalc!Xsag*COS(Theta*PI()/180)-VertexCalc!Ysag*SIN(Theta*PI()/180))</f>
        <v>#VALUE!</v>
      </c>
      <c r="Z3" s="48" t="e">
        <f>IF(OR(Flag="Ignore",Flag="Hole",Flag="Det"),"",VertexCalc!Xsag*SIN(Theta*PI()/180)+VertexCalc!Ysag*COS(Theta*PI()/180))</f>
        <v>#VALUE!</v>
      </c>
      <c r="AA3" s="48">
        <f>IF(OR(Flag="Ignore",Flag="Hole",Flag="Det"),"",VertexCalc!Zsag)</f>
      </c>
      <c r="AB3" s="49" t="e">
        <f aca="true" t="shared" si="16" ref="AB3:AB22">IF(OR(Flag="Ignore",Flag="Hole",Flag="Det"),"",ACOS(Xsag*Xnorm+Ysag*Ynorm+zSag*Znorm)*180/PI())</f>
        <v>#VALUE!</v>
      </c>
    </row>
    <row r="4" spans="3:28" ht="13.5" thickBot="1">
      <c r="C4" s="14"/>
      <c r="D4" s="15" t="s">
        <v>93</v>
      </c>
      <c r="E4" s="15"/>
      <c r="F4" s="17">
        <f ca="1" t="shared" si="8"/>
        <v>2840.131</v>
      </c>
      <c r="G4" s="17">
        <f ca="1" t="shared" si="0"/>
        <v>3.55E-15</v>
      </c>
      <c r="H4" s="17">
        <f ca="1" t="shared" si="0"/>
        <v>1.42E-14</v>
      </c>
      <c r="I4" s="17">
        <f t="shared" si="9"/>
        <v>1587.505483</v>
      </c>
      <c r="J4" s="17">
        <f t="shared" si="10"/>
        <v>-11.427922999999996</v>
      </c>
      <c r="K4" s="17">
        <f t="shared" si="11"/>
        <v>-55.80343099999999</v>
      </c>
      <c r="L4" s="16">
        <f t="shared" si="1"/>
        <v>1588.5270784253344</v>
      </c>
      <c r="M4" s="16">
        <f t="shared" si="2"/>
        <v>0.9993568914000842</v>
      </c>
      <c r="N4" s="16">
        <f t="shared" si="3"/>
        <v>-0.00719403726584768</v>
      </c>
      <c r="O4" s="16">
        <f t="shared" si="4"/>
        <v>-0.03512903982431101</v>
      </c>
      <c r="P4" s="16">
        <f t="shared" si="12"/>
        <v>-1.9987137828074946</v>
      </c>
      <c r="Q4" s="16">
        <f t="shared" si="13"/>
        <v>2.1741908794170595E-10</v>
      </c>
      <c r="R4" s="16">
        <f t="shared" si="14"/>
        <v>1.6389338497457828E-10</v>
      </c>
      <c r="S4" s="16">
        <f t="shared" si="15"/>
        <v>1.9987137828074946</v>
      </c>
      <c r="T4" s="16">
        <f t="shared" si="5"/>
        <v>-1</v>
      </c>
      <c r="U4" s="16">
        <f t="shared" si="6"/>
        <v>1.0877950100304412E-10</v>
      </c>
      <c r="V4" s="16">
        <f t="shared" si="7"/>
        <v>8.199942702369588E-11</v>
      </c>
      <c r="W4" s="51" t="e">
        <f>IF(OR(Flag="Ignore",Flag="Hole",Flag="Det"),"",ACOS((Xnorm*VertexCalc!Xnorm+Ynorm*VertexCalc!Ynorm)/(SQRT(Xnorm^2+Ynorm^2)*SQRT(VertexCalc!Xnorm^2+VertexCalc!Ynorm^2)))*180/PI()*SIGN(Xnorm*Ynorm))</f>
        <v>#VALUE!</v>
      </c>
      <c r="X4" s="65">
        <f>IF(OR(Flag="Ignore",Flag="Hole",Flag="Det"),"",(1-(Xnorm*GutCalc!Xnorm+Ynorm*GutCalc!Ynorm)/(SQRT(Xnorm^2+Ynorm^2)*SQRT(GutCalc!Xnorm^2+GutCalc!Ynorm^2))))</f>
        <v>0</v>
      </c>
      <c r="Y4" s="51" t="e">
        <f>IF(OR(Flag="Ignore",Flag="Hole",Flag="Det"),"",VertexCalc!Xsag*COS(Theta*PI()/180)-VertexCalc!Ysag*SIN(Theta*PI()/180))</f>
        <v>#VALUE!</v>
      </c>
      <c r="Z4" s="51" t="e">
        <f>IF(OR(Flag="Ignore",Flag="Hole",Flag="Det"),"",VertexCalc!Xsag*SIN(Theta*PI()/180)+VertexCalc!Ysag*COS(Theta*PI()/180))</f>
        <v>#VALUE!</v>
      </c>
      <c r="AA4" s="51">
        <f>IF(OR(Flag="Ignore",Flag="Hole",Flag="Det"),"",VertexCalc!Zsag)</f>
      </c>
      <c r="AB4" s="52" t="e">
        <f t="shared" si="16"/>
        <v>#VALUE!</v>
      </c>
    </row>
    <row r="5" spans="1:28" ht="13.5" thickBot="1">
      <c r="A5" s="1" t="s">
        <v>3</v>
      </c>
      <c r="B5" s="24" t="s">
        <v>159</v>
      </c>
      <c r="C5" s="10" t="s">
        <v>121</v>
      </c>
      <c r="D5" s="11" t="s">
        <v>94</v>
      </c>
      <c r="E5" s="11" t="s">
        <v>157</v>
      </c>
      <c r="F5" s="13">
        <f ca="1" t="shared" si="8"/>
        <v>230.68079</v>
      </c>
      <c r="G5" s="13">
        <f ca="1" t="shared" si="0"/>
        <v>-18.784562</v>
      </c>
      <c r="H5" s="13">
        <f ca="1" t="shared" si="0"/>
        <v>-91.72647</v>
      </c>
      <c r="I5" s="13">
        <f t="shared" si="9"/>
        <v>-2609.45021</v>
      </c>
      <c r="J5" s="13">
        <f t="shared" si="10"/>
        <v>-18.784562000000005</v>
      </c>
      <c r="K5" s="13">
        <f t="shared" si="11"/>
        <v>-91.72647000000002</v>
      </c>
      <c r="L5" s="12">
        <f t="shared" si="1"/>
        <v>2611.129449785521</v>
      </c>
      <c r="M5" s="12">
        <f t="shared" si="2"/>
        <v>-0.9993568914074104</v>
      </c>
      <c r="N5" s="12">
        <f t="shared" si="3"/>
        <v>-0.007194037048428592</v>
      </c>
      <c r="O5" s="12">
        <f t="shared" si="4"/>
        <v>-0.035129039660417624</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4">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s="5" customFormat="1" ht="12.75">
      <c r="C6" s="36"/>
      <c r="D6" s="25" t="s">
        <v>95</v>
      </c>
      <c r="E6" s="25"/>
      <c r="F6" s="27">
        <f ca="1" t="shared" si="8"/>
        <v>131.229806</v>
      </c>
      <c r="G6" s="27">
        <f ca="1" t="shared" si="0"/>
        <v>-19.500476</v>
      </c>
      <c r="H6" s="27">
        <f ca="1" t="shared" si="0"/>
        <v>-95.222336</v>
      </c>
      <c r="I6" s="27">
        <f t="shared" si="9"/>
        <v>-99.450984</v>
      </c>
      <c r="J6" s="27">
        <f t="shared" si="10"/>
        <v>-0.7159139999999979</v>
      </c>
      <c r="K6" s="27">
        <f t="shared" si="11"/>
        <v>-3.4958659999999924</v>
      </c>
      <c r="L6" s="26">
        <f t="shared" si="1"/>
        <v>99.51498294484911</v>
      </c>
      <c r="M6" s="26">
        <f t="shared" si="2"/>
        <v>-0.9993568913649458</v>
      </c>
      <c r="N6" s="26">
        <f t="shared" si="3"/>
        <v>-0.007194032283528152</v>
      </c>
      <c r="O6" s="26">
        <f t="shared" si="4"/>
        <v>-0.03512904184425566</v>
      </c>
      <c r="P6" s="26">
        <f t="shared" si="12"/>
        <v>1.865488011099519</v>
      </c>
      <c r="Q6" s="26">
        <f t="shared" si="13"/>
        <v>0.09853450119552655</v>
      </c>
      <c r="R6" s="26">
        <f t="shared" si="14"/>
        <v>-0.45627079755973815</v>
      </c>
      <c r="S6" s="26">
        <f t="shared" si="15"/>
        <v>1.9230022382170255</v>
      </c>
      <c r="T6" s="26">
        <f t="shared" si="5"/>
        <v>0.9700914403662718</v>
      </c>
      <c r="U6" s="26">
        <f t="shared" si="6"/>
        <v>0.05123993058213288</v>
      </c>
      <c r="V6" s="26">
        <f t="shared" si="7"/>
        <v>-0.23727002938009295</v>
      </c>
      <c r="W6" s="54">
        <f>IF(OR(Flag="Ignore",Flag="Hole",Flag="Det"),"",ACOS((Xnorm*VertexCalc!Xnorm+Ynorm*VertexCalc!Ynorm)/(SQRT(Xnorm^2+Ynorm^2)*SQRT(VertexCalc!Xnorm^2+VertexCalc!Ynorm^2)))*180/PI()*SIGN(Xnorm*Ynorm))</f>
        <v>3.0235356781819513</v>
      </c>
      <c r="X6" s="66">
        <f>IF(OR(Flag="Ignore",Flag="Hole",Flag="Det"),"",(1-(Xnorm*GutCalc!Xnorm+Ynorm*GutCalc!Ynorm)/(SQRT(Xnorm^2+Ynorm^2)*SQRT(GutCalc!Xnorm^2+GutCalc!Ynorm^2))))</f>
        <v>0.0013920478036796302</v>
      </c>
      <c r="Y6" s="54">
        <f>IF(OR(Flag="Ignore",Flag="Hole",Flag="Det"),"",VertexCalc!Xsag*COS(Theta*PI()/180)-VertexCalc!Ysag*SIN(Theta*PI()/180))</f>
        <v>-0.05274616393892295</v>
      </c>
      <c r="Z6" s="54">
        <f>IF(OR(Flag="Ignore",Flag="Hole",Flag="Det"),"",VertexCalc!Xsag*SIN(Theta*PI()/180)+VertexCalc!Ysag*COS(Theta*PI()/180))</f>
        <v>0.9986079521963203</v>
      </c>
      <c r="AA6" s="54">
        <f>IF(OR(Flag="Ignore",Flag="Hole",Flag="Det"),"",VertexCalc!Zsag)</f>
        <v>0</v>
      </c>
      <c r="AB6" s="80">
        <f t="shared" si="16"/>
        <v>90</v>
      </c>
      <c r="AD6" s="32"/>
      <c r="AE6" s="32"/>
    </row>
    <row r="7" spans="3:28" ht="12.75">
      <c r="C7" s="18"/>
      <c r="D7" s="19" t="s">
        <v>97</v>
      </c>
      <c r="E7" s="19"/>
      <c r="F7" s="21">
        <f ca="1" t="shared" si="8"/>
        <v>316.117194</v>
      </c>
      <c r="G7" s="21">
        <f ca="1" t="shared" si="0"/>
        <v>-0.002619</v>
      </c>
      <c r="H7" s="21">
        <f ca="1" t="shared" si="0"/>
        <v>-200.11827</v>
      </c>
      <c r="I7" s="21">
        <f t="shared" si="9"/>
        <v>184.887388</v>
      </c>
      <c r="J7" s="21">
        <f t="shared" si="10"/>
        <v>19.497857</v>
      </c>
      <c r="K7" s="21">
        <f t="shared" si="11"/>
        <v>-104.895934</v>
      </c>
      <c r="L7" s="20">
        <f t="shared" si="1"/>
        <v>213.46350891613147</v>
      </c>
      <c r="M7" s="20">
        <f t="shared" si="2"/>
        <v>0.8661311197345731</v>
      </c>
      <c r="N7" s="20">
        <f t="shared" si="3"/>
        <v>0.0913404689119984</v>
      </c>
      <c r="O7" s="20">
        <f t="shared" si="4"/>
        <v>-0.4913998394039938</v>
      </c>
      <c r="P7" s="20">
        <f t="shared" si="12"/>
        <v>-1.855901950093028</v>
      </c>
      <c r="Q7" s="20">
        <f t="shared" si="13"/>
        <v>6.11796668881226E-10</v>
      </c>
      <c r="R7" s="20">
        <f t="shared" si="14"/>
        <v>0.6009928227501324</v>
      </c>
      <c r="S7" s="20">
        <f t="shared" si="15"/>
        <v>1.9507855908213687</v>
      </c>
      <c r="T7" s="20">
        <f t="shared" si="5"/>
        <v>-0.9513613176277408</v>
      </c>
      <c r="U7" s="20">
        <f t="shared" si="6"/>
        <v>3.136155360998089E-10</v>
      </c>
      <c r="V7" s="20">
        <f t="shared" si="7"/>
        <v>0.3080773333460431</v>
      </c>
      <c r="W7" s="45">
        <f>IF(OR(Flag="Ignore",Flag="Hole",Flag="Det"),"",ACOS((Xnorm*VertexCalc!Xnorm+Ynorm*VertexCalc!Ynorm)/(SQRT(Xnorm^2+Ynorm^2)*SQRT(VertexCalc!Xnorm^2+VertexCalc!Ynorm^2)))*180/PI()*SIGN(Xnorm*Ynorm))</f>
        <v>0</v>
      </c>
      <c r="X7" s="67">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89.99999998203116</v>
      </c>
    </row>
    <row r="8" spans="3:28" ht="13.5" thickBot="1">
      <c r="C8" s="14"/>
      <c r="D8" s="15" t="s">
        <v>98</v>
      </c>
      <c r="E8" s="15"/>
      <c r="F8" s="17">
        <f ca="1" t="shared" si="8"/>
        <v>120.717899</v>
      </c>
      <c r="G8" s="17">
        <f ca="1" t="shared" si="0"/>
        <v>18.0297</v>
      </c>
      <c r="H8" s="17">
        <f ca="1" t="shared" si="0"/>
        <v>-178.482563</v>
      </c>
      <c r="I8" s="17">
        <f t="shared" si="9"/>
        <v>-195.399295</v>
      </c>
      <c r="J8" s="17">
        <f t="shared" si="10"/>
        <v>18.032318999999998</v>
      </c>
      <c r="K8" s="17">
        <f t="shared" si="11"/>
        <v>21.635706999999996</v>
      </c>
      <c r="L8" s="16">
        <f t="shared" si="1"/>
        <v>197.4187246246025</v>
      </c>
      <c r="M8" s="16">
        <f t="shared" si="2"/>
        <v>-0.989770830358455</v>
      </c>
      <c r="N8" s="16">
        <f t="shared" si="3"/>
        <v>0.09134046952379507</v>
      </c>
      <c r="O8" s="16">
        <f t="shared" si="4"/>
        <v>0.10959298334613866</v>
      </c>
      <c r="P8" s="16">
        <f t="shared" si="12"/>
        <v>1.899207903316571</v>
      </c>
      <c r="Q8" s="16">
        <f t="shared" si="13"/>
        <v>-0.12784904994035776</v>
      </c>
      <c r="R8" s="16">
        <f t="shared" si="14"/>
        <v>-0.5238288266592709</v>
      </c>
      <c r="S8" s="16">
        <f t="shared" si="15"/>
        <v>1.9742676311052678</v>
      </c>
      <c r="T8" s="16">
        <f t="shared" si="5"/>
        <v>0.9619809763346646</v>
      </c>
      <c r="U8" s="16">
        <f t="shared" si="6"/>
        <v>-0.06475770960636332</v>
      </c>
      <c r="V8" s="16">
        <f t="shared" si="7"/>
        <v>-0.26532817456264135</v>
      </c>
      <c r="W8" s="51">
        <f>IF(OR(Flag="Ignore",Flag="Hole",Flag="Det"),"",ACOS((Xnorm*VertexCalc!Xnorm+Ynorm*VertexCalc!Ynorm)/(SQRT(Xnorm^2+Ynorm^2)*SQRT(VertexCalc!Xnorm^2+VertexCalc!Ynorm^2)))*180/PI()*SIGN(Xnorm*Ynorm))</f>
        <v>-3.851171857661354</v>
      </c>
      <c r="X8" s="65">
        <f>IF(OR(Flag="Ignore",Flag="Hole",Flag="Det"),"",(1-(Xnorm*GutCalc!Xnorm+Ynorm*GutCalc!Ynorm)/(SQRT(Xnorm^2+Ynorm^2)*SQRT(GutCalc!Xnorm^2+GutCalc!Ynorm^2))))</f>
        <v>0.0022581200262108414</v>
      </c>
      <c r="Y8" s="51">
        <f>IF(OR(Flag="Ignore",Flag="Hole",Flag="Det"),"",VertexCalc!Xsag*COS(Theta*PI()/180)-VertexCalc!Ysag*SIN(Theta*PI()/180))</f>
        <v>0.06716502770318128</v>
      </c>
      <c r="Z8" s="51">
        <f>IF(OR(Flag="Ignore",Flag="Hole",Flag="Det"),"",VertexCalc!Xsag*SIN(Theta*PI()/180)+VertexCalc!Ysag*COS(Theta*PI()/180))</f>
        <v>0.997741879973789</v>
      </c>
      <c r="AA8" s="51">
        <f>IF(OR(Flag="Ignore",Flag="Hole",Flag="Det"),"",VertexCalc!Zsag)</f>
        <v>0</v>
      </c>
      <c r="AB8" s="52">
        <f t="shared" si="16"/>
        <v>89.99999999999991</v>
      </c>
    </row>
    <row r="9" spans="3:28" ht="12.75">
      <c r="C9" s="10" t="s">
        <v>122</v>
      </c>
      <c r="D9" s="11" t="s">
        <v>101</v>
      </c>
      <c r="E9" s="11"/>
      <c r="F9" s="13">
        <f ca="1" t="shared" si="8"/>
        <v>296.485541</v>
      </c>
      <c r="G9" s="13">
        <f ca="1" t="shared" si="0"/>
        <v>10.973657</v>
      </c>
      <c r="H9" s="13">
        <f ca="1" t="shared" si="0"/>
        <v>-258.542261</v>
      </c>
      <c r="I9" s="13">
        <f t="shared" si="9"/>
        <v>175.76764200000002</v>
      </c>
      <c r="J9" s="13">
        <f t="shared" si="10"/>
        <v>-7.056042999999999</v>
      </c>
      <c r="K9" s="13">
        <f t="shared" si="11"/>
        <v>-80.059698</v>
      </c>
      <c r="L9" s="12">
        <f t="shared" si="1"/>
        <v>193.27081249094294</v>
      </c>
      <c r="M9" s="12">
        <f t="shared" si="2"/>
        <v>0.9094370729581159</v>
      </c>
      <c r="N9" s="12">
        <f t="shared" si="3"/>
        <v>-0.036508580416562686</v>
      </c>
      <c r="O9" s="12">
        <f t="shared" si="4"/>
        <v>-0.41423584331313223</v>
      </c>
      <c r="P9" s="12">
        <f t="shared" si="12"/>
        <v>-1.9047756806395706</v>
      </c>
      <c r="Q9" s="12">
        <f t="shared" si="13"/>
        <v>0.059000516695390914</v>
      </c>
      <c r="R9" s="12">
        <f t="shared" si="14"/>
        <v>0.32045328170825516</v>
      </c>
      <c r="S9" s="12">
        <f t="shared" si="15"/>
        <v>1.932444503804405</v>
      </c>
      <c r="T9" s="12">
        <f t="shared" si="5"/>
        <v>-0.9856819571737441</v>
      </c>
      <c r="U9" s="12">
        <f t="shared" si="6"/>
        <v>0.030531545190165387</v>
      </c>
      <c r="V9" s="12">
        <f t="shared" si="7"/>
        <v>0.16582793507258736</v>
      </c>
      <c r="W9" s="48">
        <f>IF(OR(Flag="Ignore",Flag="Hole",Flag="Det"),"",ACOS((Xnorm*VertexCalc!Xnorm+Ynorm*VertexCalc!Ynorm)/(SQRT(Xnorm^2+Ynorm^2)*SQRT(VertexCalc!Xnorm^2+VertexCalc!Ynorm^2)))*180/PI()*SIGN(Xnorm*Ynorm))</f>
        <v>-1.774172210408984</v>
      </c>
      <c r="X9" s="64">
        <f>IF(OR(Flag="Ignore",Flag="Hole",Flag="Det"),"",(1-(Xnorm*GutCalc!Xnorm+Ynorm*GutCalc!Ynorm)/(SQRT(Xnorm^2+Ynorm^2)*SQRT(GutCalc!Xnorm^2+GutCalc!Ynorm^2))))</f>
        <v>0.00047938184496465475</v>
      </c>
      <c r="Y9" s="48">
        <f>IF(OR(Flag="Ignore",Flag="Hole",Flag="Det"),"",VertexCalc!Xsag*COS(Theta*PI()/180)-VertexCalc!Ysag*SIN(Theta*PI()/180))</f>
        <v>0.030960198367840246</v>
      </c>
      <c r="Z9" s="48">
        <f>IF(OR(Flag="Ignore",Flag="Hole",Flag="Det"),"",VertexCalc!Xsag*SIN(Theta*PI()/180)+VertexCalc!Ysag*COS(Theta*PI()/180))</f>
        <v>0.9995206181550353</v>
      </c>
      <c r="AA9" s="48">
        <f>IF(OR(Flag="Ignore",Flag="Hole",Flag="Det"),"",VertexCalc!Zsag)</f>
        <v>0</v>
      </c>
      <c r="AB9" s="49">
        <f t="shared" si="16"/>
        <v>89.99999999999986</v>
      </c>
    </row>
    <row r="10" spans="3:28" ht="12.75">
      <c r="C10" s="18"/>
      <c r="D10" s="19" t="s">
        <v>104</v>
      </c>
      <c r="E10" s="19"/>
      <c r="F10" s="21">
        <f ca="1" t="shared" si="8"/>
        <v>95.212653</v>
      </c>
      <c r="G10" s="21">
        <f ca="1" t="shared" si="0"/>
        <v>15.521875</v>
      </c>
      <c r="H10" s="21">
        <f ca="1" t="shared" si="0"/>
        <v>-277.506548</v>
      </c>
      <c r="I10" s="21">
        <f t="shared" si="9"/>
        <v>-201.27288800000002</v>
      </c>
      <c r="J10" s="21">
        <f t="shared" si="10"/>
        <v>4.548218</v>
      </c>
      <c r="K10" s="21">
        <f t="shared" si="11"/>
        <v>-18.964287000000013</v>
      </c>
      <c r="L10" s="20">
        <f t="shared" si="1"/>
        <v>202.21549374925365</v>
      </c>
      <c r="M10" s="20">
        <f t="shared" si="2"/>
        <v>-0.9953386076814547</v>
      </c>
      <c r="N10" s="20">
        <f t="shared" si="3"/>
        <v>0.022491936278828225</v>
      </c>
      <c r="O10" s="20">
        <f t="shared" si="4"/>
        <v>-0.09378256160487707</v>
      </c>
      <c r="P10" s="20">
        <f t="shared" si="12"/>
        <v>1.765649781823539</v>
      </c>
      <c r="Q10" s="20">
        <f t="shared" si="13"/>
        <v>-0.08676686012427744</v>
      </c>
      <c r="R10" s="20">
        <f t="shared" si="14"/>
        <v>-0.5406379843711379</v>
      </c>
      <c r="S10" s="20">
        <f t="shared" si="15"/>
        <v>1.8486040869299796</v>
      </c>
      <c r="T10" s="20">
        <f t="shared" si="5"/>
        <v>0.9551259754898602</v>
      </c>
      <c r="U10" s="20">
        <f t="shared" si="6"/>
        <v>-0.04693642123683347</v>
      </c>
      <c r="V10" s="20">
        <f t="shared" si="7"/>
        <v>-0.29245742135569336</v>
      </c>
      <c r="W10" s="45">
        <f>IF(OR(Flag="Ignore",Flag="Hole",Flag="Det"),"",ACOS((Xnorm*VertexCalc!Xnorm+Ynorm*VertexCalc!Ynorm)/(SQRT(Xnorm^2+Ynorm^2)*SQRT(VertexCalc!Xnorm^2+VertexCalc!Ynorm^2)))*180/PI()*SIGN(Xnorm*Ynorm))</f>
        <v>-2.813343246164872</v>
      </c>
      <c r="X10" s="67">
        <f>IF(OR(Flag="Ignore",Flag="Hole",Flag="Det"),"",(1-(Xnorm*GutCalc!Xnorm+Ynorm*GutCalc!Ynorm)/(SQRT(Xnorm^2+Ynorm^2)*SQRT(GutCalc!Xnorm^2+GutCalc!Ynorm^2))))</f>
        <v>0.001205266052667242</v>
      </c>
      <c r="Y10" s="45">
        <f>IF(OR(Flag="Ignore",Flag="Hole",Flag="Det"),"",VertexCalc!Xsag*COS(Theta*PI()/180)-VertexCalc!Ysag*SIN(Theta*PI()/180))</f>
        <v>0.049082374016305906</v>
      </c>
      <c r="Z10" s="45">
        <f>IF(OR(Flag="Ignore",Flag="Hole",Flag="Det"),"",VertexCalc!Xsag*SIN(Theta*PI()/180)+VertexCalc!Ysag*COS(Theta*PI()/180))</f>
        <v>0.9987947339473329</v>
      </c>
      <c r="AA10" s="45">
        <f>IF(OR(Flag="Ignore",Flag="Hole",Flag="Det"),"",VertexCalc!Zsag)</f>
        <v>0</v>
      </c>
      <c r="AB10" s="46">
        <f t="shared" si="16"/>
        <v>90.00000000000004</v>
      </c>
    </row>
    <row r="11" spans="3:28" ht="12.75">
      <c r="C11" s="18"/>
      <c r="D11" s="19" t="s">
        <v>107</v>
      </c>
      <c r="E11" s="19"/>
      <c r="F11" s="21">
        <f ca="1" t="shared" si="8"/>
        <v>240.450296</v>
      </c>
      <c r="G11" s="21">
        <f ca="1" t="shared" si="0"/>
        <v>3.403216</v>
      </c>
      <c r="H11" s="21">
        <f ca="1" t="shared" si="0"/>
        <v>-397.122812</v>
      </c>
      <c r="I11" s="21">
        <f t="shared" si="9"/>
        <v>145.237643</v>
      </c>
      <c r="J11" s="21">
        <f t="shared" si="10"/>
        <v>-12.118659</v>
      </c>
      <c r="K11" s="21">
        <f t="shared" si="11"/>
        <v>-119.616264</v>
      </c>
      <c r="L11" s="20">
        <f t="shared" si="1"/>
        <v>188.544120707784</v>
      </c>
      <c r="M11" s="20">
        <f t="shared" si="2"/>
        <v>0.7703111741420844</v>
      </c>
      <c r="N11" s="20">
        <f t="shared" si="3"/>
        <v>-0.06427492384544921</v>
      </c>
      <c r="O11" s="20">
        <f t="shared" si="4"/>
        <v>-0.6344205459760149</v>
      </c>
      <c r="P11" s="20">
        <f t="shared" si="12"/>
        <v>-1.4459407318430586</v>
      </c>
      <c r="Q11" s="20">
        <f t="shared" si="13"/>
        <v>0.0172099789170403</v>
      </c>
      <c r="R11" s="20">
        <f t="shared" si="14"/>
        <v>-0.1013169015687404</v>
      </c>
      <c r="S11" s="20">
        <f t="shared" si="15"/>
        <v>1.449588182181634</v>
      </c>
      <c r="T11" s="20">
        <f t="shared" si="5"/>
        <v>-0.9974838023768337</v>
      </c>
      <c r="U11" s="20">
        <f t="shared" si="6"/>
        <v>0.011872322862855597</v>
      </c>
      <c r="V11" s="20">
        <f t="shared" si="7"/>
        <v>-0.06989357585425275</v>
      </c>
      <c r="W11" s="45">
        <f>IF(OR(Flag="Ignore",Flag="Hole",Flag="Det"),"",ACOS((Xnorm*VertexCalc!Xnorm+Ynorm*VertexCalc!Ynorm)/(SQRT(Xnorm^2+Ynorm^2)*SQRT(VertexCalc!Xnorm^2+VertexCalc!Ynorm^2)))*180/PI()*SIGN(Xnorm*Ynorm))</f>
        <v>-0.6819177139485171</v>
      </c>
      <c r="X11" s="67">
        <f>IF(OR(Flag="Ignore",Flag="Hole",Flag="Det"),"",(1-(Xnorm*GutCalc!Xnorm+Ynorm*GutCalc!Ynorm)/(SQRT(Xnorm^2+Ynorm^2)*SQRT(GutCalc!Xnorm^2+GutCalc!Ynorm^2))))</f>
        <v>7.08245065260682E-05</v>
      </c>
      <c r="Y11" s="45">
        <f>IF(OR(Flag="Ignore",Flag="Hole",Flag="Det"),"",VertexCalc!Xsag*COS(Theta*PI()/180)-VertexCalc!Ysag*SIN(Theta*PI()/180))</f>
        <v>0.011901428357184274</v>
      </c>
      <c r="Z11" s="45">
        <f>IF(OR(Flag="Ignore",Flag="Hole",Flag="Det"),"",VertexCalc!Xsag*SIN(Theta*PI()/180)+VertexCalc!Ysag*COS(Theta*PI()/180))</f>
        <v>0.999929175493474</v>
      </c>
      <c r="AA11" s="45">
        <f>IF(OR(Flag="Ignore",Flag="Hole",Flag="Det"),"",VertexCalc!Zsag)</f>
        <v>0</v>
      </c>
      <c r="AB11" s="46">
        <f t="shared" si="16"/>
        <v>89.99999999999955</v>
      </c>
    </row>
    <row r="12" spans="3:28" ht="12.75">
      <c r="C12" s="18"/>
      <c r="D12" s="19" t="s">
        <v>108</v>
      </c>
      <c r="E12" s="19" t="s">
        <v>157</v>
      </c>
      <c r="F12" s="21">
        <f ca="1" t="shared" si="8"/>
        <v>192.856362</v>
      </c>
      <c r="G12" s="21">
        <f ca="1" t="shared" si="0"/>
        <v>0.087781</v>
      </c>
      <c r="H12" s="21">
        <f ca="1" t="shared" si="0"/>
        <v>-448.950976</v>
      </c>
      <c r="I12" s="21">
        <f t="shared" si="9"/>
        <v>-47.59393400000002</v>
      </c>
      <c r="J12" s="21">
        <f t="shared" si="10"/>
        <v>-3.315435</v>
      </c>
      <c r="K12" s="21">
        <f t="shared" si="11"/>
        <v>-51.828164000000015</v>
      </c>
      <c r="L12" s="20">
        <f t="shared" si="1"/>
        <v>70.44383043564909</v>
      </c>
      <c r="M12" s="20">
        <f t="shared" si="2"/>
        <v>-0.6756295577009742</v>
      </c>
      <c r="N12" s="20">
        <f t="shared" si="3"/>
        <v>-0.04706494492840891</v>
      </c>
      <c r="O12" s="20">
        <f t="shared" si="4"/>
        <v>-0.7357374475447553</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7">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109</v>
      </c>
      <c r="E13" s="15"/>
      <c r="F13" s="17">
        <f ca="1" t="shared" si="8"/>
        <v>104.811354</v>
      </c>
      <c r="G13" s="17">
        <f ca="1" t="shared" si="0"/>
        <v>-6.04551</v>
      </c>
      <c r="H13" s="17">
        <f ca="1" t="shared" si="0"/>
        <v>-544.828974</v>
      </c>
      <c r="I13" s="17">
        <f t="shared" si="9"/>
        <v>-88.045008</v>
      </c>
      <c r="J13" s="17">
        <f t="shared" si="10"/>
        <v>-6.133291</v>
      </c>
      <c r="K13" s="17">
        <f t="shared" si="11"/>
        <v>-95.87799799999999</v>
      </c>
      <c r="L13" s="16">
        <f t="shared" si="1"/>
        <v>130.3155063401848</v>
      </c>
      <c r="M13" s="16">
        <f t="shared" si="2"/>
        <v>-0.6756295583900896</v>
      </c>
      <c r="N13" s="16">
        <f t="shared" si="3"/>
        <v>-0.047064936263142954</v>
      </c>
      <c r="O13" s="16">
        <f t="shared" si="4"/>
        <v>-0.7357374474662538</v>
      </c>
      <c r="P13" s="16">
        <f t="shared" si="12"/>
        <v>1.667834875605041</v>
      </c>
      <c r="Q13" s="16">
        <f t="shared" si="13"/>
        <v>0.032334725830780044</v>
      </c>
      <c r="R13" s="16">
        <f t="shared" si="14"/>
        <v>0.8594776163322944</v>
      </c>
      <c r="S13" s="16">
        <f t="shared" si="15"/>
        <v>1.8765448248723706</v>
      </c>
      <c r="T13" s="16">
        <f t="shared" si="5"/>
        <v>0.8887796622276131</v>
      </c>
      <c r="U13" s="16">
        <f t="shared" si="6"/>
        <v>0.01723099038307237</v>
      </c>
      <c r="V13" s="16">
        <f t="shared" si="7"/>
        <v>0.4580107040026342</v>
      </c>
      <c r="W13" s="51">
        <f>IF(OR(Flag="Ignore",Flag="Hole",Flag="Det"),"",ACOS((Xnorm*VertexCalc!Xnorm+Ynorm*VertexCalc!Ynorm)/(SQRT(Xnorm^2+Ynorm^2)*SQRT(VertexCalc!Xnorm^2+VertexCalc!Ynorm^2)))*180/PI()*SIGN(Xnorm*Ynorm))</f>
        <v>1.110668260058832</v>
      </c>
      <c r="X13" s="65">
        <f>IF(OR(Flag="Ignore",Flag="Hole",Flag="Det"),"",(1-(Xnorm*GutCalc!Xnorm+Ynorm*GutCalc!Ynorm)/(SQRT(Xnorm^2+Ynorm^2)*SQRT(GutCalc!Xnorm^2+GutCalc!Ynorm^2))))</f>
        <v>0.00018787970170808244</v>
      </c>
      <c r="Y13" s="51">
        <f>IF(OR(Flag="Ignore",Flag="Hole",Flag="Det"),"",VertexCalc!Xsag*COS(Theta*PI()/180)-VertexCalc!Ysag*SIN(Theta*PI()/180))</f>
        <v>-0.019383604015606726</v>
      </c>
      <c r="Z13" s="51">
        <f>IF(OR(Flag="Ignore",Flag="Hole",Flag="Det"),"",VertexCalc!Xsag*SIN(Theta*PI()/180)+VertexCalc!Ysag*COS(Theta*PI()/180))</f>
        <v>0.9998121202982919</v>
      </c>
      <c r="AA13" s="51">
        <f>IF(OR(Flag="Ignore",Flag="Hole",Flag="Det"),"",VertexCalc!Zsag)</f>
        <v>0</v>
      </c>
      <c r="AB13" s="52">
        <f t="shared" si="16"/>
        <v>90.00000000000033</v>
      </c>
    </row>
    <row r="14" spans="3:28" ht="12.75">
      <c r="C14" s="10" t="s">
        <v>123</v>
      </c>
      <c r="D14" s="11" t="s">
        <v>111</v>
      </c>
      <c r="E14" s="11"/>
      <c r="F14" s="13">
        <f ca="1" t="shared" si="8"/>
        <v>238.733246</v>
      </c>
      <c r="G14" s="13">
        <f ca="1" t="shared" si="0"/>
        <v>-8.033705</v>
      </c>
      <c r="H14" s="13">
        <f ca="1" t="shared" si="0"/>
        <v>-528.127272</v>
      </c>
      <c r="I14" s="13">
        <f t="shared" si="9"/>
        <v>133.921892</v>
      </c>
      <c r="J14" s="13">
        <f t="shared" si="10"/>
        <v>-1.9881949999999993</v>
      </c>
      <c r="K14" s="13">
        <f t="shared" si="11"/>
        <v>16.70170200000007</v>
      </c>
      <c r="L14" s="12">
        <f t="shared" si="1"/>
        <v>134.97397129044734</v>
      </c>
      <c r="M14" s="12">
        <f t="shared" si="2"/>
        <v>0.9922053172149512</v>
      </c>
      <c r="N14" s="12">
        <f t="shared" si="3"/>
        <v>-0.01473021043236291</v>
      </c>
      <c r="O14" s="12">
        <f t="shared" si="4"/>
        <v>0.1237401688660406</v>
      </c>
      <c r="P14" s="12">
        <f t="shared" si="12"/>
        <v>-1.7209942911092517</v>
      </c>
      <c r="Q14" s="12">
        <f t="shared" si="13"/>
        <v>-2.6543276257506854E-11</v>
      </c>
      <c r="R14" s="12">
        <f t="shared" si="14"/>
        <v>-0.8083200783214151</v>
      </c>
      <c r="S14" s="12">
        <f t="shared" si="15"/>
        <v>1.9013686383887198</v>
      </c>
      <c r="T14" s="12">
        <f t="shared" si="5"/>
        <v>-0.9051344680680528</v>
      </c>
      <c r="U14" s="12">
        <f t="shared" si="6"/>
        <v>-1.3960089443781121E-11</v>
      </c>
      <c r="V14" s="12">
        <f t="shared" si="7"/>
        <v>-0.4251253870508831</v>
      </c>
      <c r="W14" s="48">
        <f>IF(OR(Flag="Ignore",Flag="Hole",Flag="Det"),"",ACOS((Xnorm*VertexCalc!Xnorm+Ynorm*VertexCalc!Ynorm)/(SQRT(Xnorm^2+Ynorm^2)*SQRT(VertexCalc!Xnorm^2+VertexCalc!Ynorm^2)))*180/PI()*SIGN(Xnorm*Ynorm))</f>
        <v>0</v>
      </c>
      <c r="X14" s="64">
        <f>IF(OR(Flag="Ignore",Flag="Hole",Flag="Det"),"",(1-(Xnorm*GutCalc!Xnorm+Ynorm*GutCalc!Ynorm)/(SQRT(Xnorm^2+Ynorm^2)*SQRT(GutCalc!Xnorm^2+GutCalc!Ynorm^2))))</f>
        <v>0</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90.00000000079986</v>
      </c>
    </row>
    <row r="15" spans="3:28" ht="12.75">
      <c r="C15" s="18"/>
      <c r="D15" s="19" t="s">
        <v>113</v>
      </c>
      <c r="E15" s="19"/>
      <c r="F15" s="21">
        <f ca="1" t="shared" si="8"/>
        <v>133.090238</v>
      </c>
      <c r="G15" s="21">
        <f ca="1" t="shared" si="0"/>
        <v>-10.168951</v>
      </c>
      <c r="H15" s="21">
        <f ca="1" t="shared" si="0"/>
        <v>-627.36187</v>
      </c>
      <c r="I15" s="21">
        <f t="shared" si="9"/>
        <v>-105.64300800000001</v>
      </c>
      <c r="J15" s="21">
        <f t="shared" si="10"/>
        <v>-2.1352460000000004</v>
      </c>
      <c r="K15" s="21">
        <f t="shared" si="11"/>
        <v>-99.234598</v>
      </c>
      <c r="L15" s="20">
        <f t="shared" si="1"/>
        <v>144.95692413606943</v>
      </c>
      <c r="M15" s="20">
        <f t="shared" si="2"/>
        <v>-0.7287889738943005</v>
      </c>
      <c r="N15" s="20">
        <f t="shared" si="3"/>
        <v>-0.014730210458906186</v>
      </c>
      <c r="O15" s="20">
        <f t="shared" si="4"/>
        <v>-0.6845799094553745</v>
      </c>
      <c r="P15" s="20">
        <f t="shared" si="12"/>
        <v>0.7186385011480247</v>
      </c>
      <c r="Q15" s="20">
        <f t="shared" si="13"/>
        <v>-0.9851609163182187</v>
      </c>
      <c r="R15" s="20">
        <f t="shared" si="14"/>
        <v>0.6738699843669976</v>
      </c>
      <c r="S15" s="20">
        <f t="shared" si="15"/>
        <v>1.393227936198528</v>
      </c>
      <c r="T15" s="20">
        <f t="shared" si="5"/>
        <v>0.5158082769348248</v>
      </c>
      <c r="U15" s="20">
        <f t="shared" si="6"/>
        <v>-0.7071067775214623</v>
      </c>
      <c r="V15" s="20">
        <f t="shared" si="7"/>
        <v>0.4836753318381455</v>
      </c>
      <c r="W15" s="45">
        <f>IF(OR(Flag="Ignore",Flag="Hole",Flag="Det"),"",ACOS((Xnorm*VertexCalc!Xnorm+Ynorm*VertexCalc!Ynorm)/(SQRT(Xnorm^2+Ynorm^2)*SQRT(VertexCalc!Xnorm^2+VertexCalc!Ynorm^2)))*180/PI()*SIGN(Xnorm*Ynorm))</f>
        <v>0</v>
      </c>
      <c r="X15" s="67">
        <f>IF(OR(Flag="Ignore",Flag="Hole",Flag="Det"),"",(1-(Xnorm*GutCalc!Xnorm+Ynorm*GutCalc!Ynorm)/(SQRT(Xnorm^2+Ynorm^2)*SQRT(GutCalc!Xnorm^2+GutCalc!Ynorm^2))))</f>
        <v>0</v>
      </c>
      <c r="Y15" s="45">
        <f>IF(OR(Flag="Ignore",Flag="Hole",Flag="Det"),"",VertexCalc!Xsag*COS(Theta*PI()/180)-VertexCalc!Ysag*SIN(Theta*PI()/180))</f>
        <v>0.5158082818360726</v>
      </c>
      <c r="Z15" s="45">
        <f>IF(OR(Flag="Ignore",Flag="Hole",Flag="Det"),"",VertexCalc!Xsag*SIN(Theta*PI()/180)+VertexCalc!Ysag*COS(Theta*PI()/180))</f>
        <v>0.7071067811865476</v>
      </c>
      <c r="AA15" s="45">
        <f>IF(OR(Flag="Ignore",Flag="Hole",Flag="Det"),"",VertexCalc!Zsag)</f>
        <v>0.48367532125313006</v>
      </c>
      <c r="AB15" s="46">
        <f t="shared" si="16"/>
        <v>89.99999970302376</v>
      </c>
    </row>
    <row r="16" spans="3:28" ht="13.5" thickBot="1">
      <c r="C16" s="14"/>
      <c r="D16" s="15" t="s">
        <v>115</v>
      </c>
      <c r="E16" s="15" t="s">
        <v>158</v>
      </c>
      <c r="F16" s="17">
        <f ca="1" t="shared" si="8"/>
        <v>132.68589</v>
      </c>
      <c r="G16" s="17">
        <f ca="1" t="shared" si="0"/>
        <v>-50</v>
      </c>
      <c r="H16" s="17">
        <f ca="1" t="shared" si="0"/>
        <v>-627.788504</v>
      </c>
      <c r="I16" s="17">
        <f t="shared" si="9"/>
        <v>-0.4043479999999988</v>
      </c>
      <c r="J16" s="17">
        <f t="shared" si="10"/>
        <v>-39.831049</v>
      </c>
      <c r="K16" s="17">
        <f t="shared" si="11"/>
        <v>-0.4266340000000355</v>
      </c>
      <c r="L16" s="16">
        <f t="shared" si="1"/>
        <v>39.83538600685904</v>
      </c>
      <c r="M16" s="16">
        <f t="shared" si="2"/>
        <v>-0.010150472746275794</v>
      </c>
      <c r="N16" s="16">
        <f t="shared" si="3"/>
        <v>-0.9998911267771249</v>
      </c>
      <c r="O16" s="16">
        <f t="shared" si="4"/>
        <v>-0.010709925088376844</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5">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111</v>
      </c>
      <c r="E17" s="1" t="s">
        <v>126</v>
      </c>
      <c r="F17" s="9">
        <f ca="1" t="shared" si="8"/>
        <v>238.733246</v>
      </c>
      <c r="G17" s="9">
        <f ca="1" t="shared" si="0"/>
        <v>-8.033705</v>
      </c>
      <c r="H17" s="9">
        <f ca="1" t="shared" si="0"/>
        <v>-528.127272</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124</v>
      </c>
      <c r="D18" s="11" t="s">
        <v>116</v>
      </c>
      <c r="E18" s="11"/>
      <c r="F18" s="13">
        <f ca="1" t="shared" si="8"/>
        <v>342.166446</v>
      </c>
      <c r="G18" s="13">
        <f ca="1" t="shared" si="8"/>
        <v>-9.569267</v>
      </c>
      <c r="H18" s="13">
        <f ca="1" t="shared" si="8"/>
        <v>-515.227885</v>
      </c>
      <c r="I18" s="13">
        <f t="shared" si="9"/>
        <v>103.4332</v>
      </c>
      <c r="J18" s="13">
        <f t="shared" si="10"/>
        <v>-1.5355620000000005</v>
      </c>
      <c r="K18" s="13">
        <f t="shared" si="11"/>
        <v>12.899386999999933</v>
      </c>
      <c r="L18" s="12">
        <f t="shared" si="1"/>
        <v>104.24576249359784</v>
      </c>
      <c r="M18" s="12">
        <f t="shared" si="2"/>
        <v>0.9922053187183725</v>
      </c>
      <c r="N18" s="12">
        <f t="shared" si="3"/>
        <v>-0.014730210257652494</v>
      </c>
      <c r="O18" s="12">
        <f t="shared" si="4"/>
        <v>0.12374015683171906</v>
      </c>
      <c r="P18" s="12">
        <f t="shared" si="12"/>
        <v>-1.6186085835908846</v>
      </c>
      <c r="Q18" s="12">
        <f t="shared" si="13"/>
        <v>-0.7606992320321275</v>
      </c>
      <c r="R18" s="12">
        <f t="shared" si="14"/>
        <v>-0.20328969980475026</v>
      </c>
      <c r="S18" s="12">
        <f t="shared" si="15"/>
        <v>1.7999677137479615</v>
      </c>
      <c r="T18" s="12">
        <f t="shared" si="5"/>
        <v>-0.8992431204338416</v>
      </c>
      <c r="U18" s="12">
        <f t="shared" si="6"/>
        <v>-0.4226182648844131</v>
      </c>
      <c r="V18" s="12">
        <f t="shared" si="7"/>
        <v>-0.1129407479101126</v>
      </c>
      <c r="W18" s="48">
        <f>IF(OR(Flag="Ignore",Flag="Hole",Flag="Det"),"",ACOS((Xnorm*VertexCalc!Xnorm+Ynorm*VertexCalc!Ynorm)/(SQRT(Xnorm^2+Ynorm^2)*SQRT(VertexCalc!Xnorm^2+VertexCalc!Ynorm^2)))*180/PI()*SIGN(Xnorm*Ynorm))</f>
        <v>0</v>
      </c>
      <c r="X18" s="64">
        <f>IF(OR(Flag="Ignore",Flag="Hole",Flag="Det"),"",(1-(Xnorm*GutCalc!Xnorm+Ynorm*GutCalc!Ynorm)/(SQRT(Xnorm^2+Ynorm^2)*SQRT(GutCalc!Xnorm^2+GutCalc!Ynorm^2))))</f>
        <v>0</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90.00000019874211</v>
      </c>
    </row>
    <row r="19" spans="3:28" ht="13.5" thickBot="1">
      <c r="C19" s="14"/>
      <c r="D19" s="15" t="s">
        <v>117</v>
      </c>
      <c r="E19" s="15" t="s">
        <v>158</v>
      </c>
      <c r="F19" s="17">
        <f ca="1" t="shared" si="8"/>
        <v>291.711826</v>
      </c>
      <c r="G19" s="17">
        <f ca="1" t="shared" si="8"/>
        <v>-72.027431</v>
      </c>
      <c r="H19" s="17">
        <f ca="1" t="shared" si="8"/>
        <v>-521.635326</v>
      </c>
      <c r="I19" s="17">
        <f t="shared" si="9"/>
        <v>-50.454620000000034</v>
      </c>
      <c r="J19" s="17">
        <f t="shared" si="10"/>
        <v>-62.45816400000001</v>
      </c>
      <c r="K19" s="17">
        <f t="shared" si="11"/>
        <v>-6.407440999999949</v>
      </c>
      <c r="L19" s="16">
        <f t="shared" si="1"/>
        <v>80.54654697604225</v>
      </c>
      <c r="M19" s="16">
        <f t="shared" si="2"/>
        <v>-0.6264032648725121</v>
      </c>
      <c r="N19" s="16">
        <f t="shared" si="3"/>
        <v>-0.7754294422897801</v>
      </c>
      <c r="O19" s="16">
        <f t="shared" si="4"/>
        <v>-0.0795495429730312</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5">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116</v>
      </c>
      <c r="E20" s="1" t="s">
        <v>126</v>
      </c>
      <c r="F20" s="9">
        <f ca="1" t="shared" si="8"/>
        <v>342.166446</v>
      </c>
      <c r="G20" s="9">
        <f ca="1" t="shared" si="8"/>
        <v>-9.569267</v>
      </c>
      <c r="H20" s="9">
        <f ca="1" t="shared" si="8"/>
        <v>-515.227885</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125</v>
      </c>
      <c r="D21" s="11" t="s">
        <v>118</v>
      </c>
      <c r="E21" s="11"/>
      <c r="F21" s="13">
        <f ca="1" t="shared" si="8"/>
        <v>380.47202</v>
      </c>
      <c r="G21" s="13">
        <f ca="1" t="shared" si="8"/>
        <v>-10.137949</v>
      </c>
      <c r="H21" s="13">
        <f ca="1" t="shared" si="8"/>
        <v>-510.45071</v>
      </c>
      <c r="I21" s="13">
        <f t="shared" si="9"/>
        <v>38.30557399999998</v>
      </c>
      <c r="J21" s="13">
        <f t="shared" si="10"/>
        <v>-0.5686820000000008</v>
      </c>
      <c r="K21" s="13">
        <f t="shared" si="11"/>
        <v>4.777175</v>
      </c>
      <c r="L21" s="12">
        <f t="shared" si="1"/>
        <v>38.6064994485025</v>
      </c>
      <c r="M21" s="12">
        <f t="shared" si="2"/>
        <v>0.9922053163896943</v>
      </c>
      <c r="N21" s="12">
        <f t="shared" si="3"/>
        <v>-0.0147302140345195</v>
      </c>
      <c r="O21" s="12">
        <f t="shared" si="4"/>
        <v>0.12374017505452184</v>
      </c>
      <c r="P21" s="12">
        <f t="shared" si="12"/>
        <v>-0.9930502605969074</v>
      </c>
      <c r="Q21" s="12">
        <f t="shared" si="13"/>
        <v>-3.0266912257742584E-09</v>
      </c>
      <c r="R21" s="12">
        <f t="shared" si="14"/>
        <v>0.8761509724083488</v>
      </c>
      <c r="S21" s="12">
        <f t="shared" si="15"/>
        <v>1.3243071194113851</v>
      </c>
      <c r="T21" s="12">
        <f t="shared" si="5"/>
        <v>-0.7498640202419877</v>
      </c>
      <c r="U21" s="12">
        <f t="shared" si="6"/>
        <v>-2.285490413371433E-09</v>
      </c>
      <c r="V21" s="12">
        <f t="shared" si="7"/>
        <v>0.6615919823777522</v>
      </c>
      <c r="W21" s="48">
        <f>IF(OR(Flag="Ignore",Flag="Hole",Flag="Det"),"",ACOS((Xnorm*VertexCalc!Xnorm+Ynorm*VertexCalc!Ynorm)/(SQRT(Xnorm^2+Ynorm^2)*SQRT(VertexCalc!Xnorm^2+VertexCalc!Ynorm^2)))*180/PI()*SIGN(Xnorm*Ynorm))</f>
        <v>0</v>
      </c>
      <c r="X21" s="64">
        <f>IF(OR(Flag="Ignore",Flag="Hole",Flag="Det"),"",(1-(Xnorm*GutCalc!Xnorm+Ynorm*GutCalc!Ynorm)/(SQRT(Xnorm^2+Ynorm^2)*SQRT(GutCalc!Xnorm^2+GutCalc!Ynorm^2))))</f>
        <v>0</v>
      </c>
      <c r="Y21" s="48">
        <f>IF(OR(Flag="Ignore",Flag="Hole",Flag="Det"),"",VertexCalc!Xsag*COS(Theta*PI()/180)-VertexCalc!Ysag*SIN(Theta*PI()/180))</f>
        <v>0</v>
      </c>
      <c r="Z21" s="48">
        <f>IF(OR(Flag="Ignore",Flag="Hole",Flag="Det"),"",VertexCalc!Xsag*SIN(Theta*PI()/180)+VertexCalc!Ysag*COS(Theta*PI()/180))</f>
        <v>1</v>
      </c>
      <c r="AA21" s="48">
        <f>IF(OR(Flag="Ignore",Flag="Hole",Flag="Det"),"",VertexCalc!Zsag)</f>
        <v>0</v>
      </c>
      <c r="AB21" s="49">
        <f t="shared" si="16"/>
        <v>90.00000013094896</v>
      </c>
    </row>
    <row r="22" spans="3:28" ht="13.5" thickBot="1">
      <c r="C22" s="14"/>
      <c r="D22" s="15" t="s">
        <v>119</v>
      </c>
      <c r="E22" s="15" t="s">
        <v>158</v>
      </c>
      <c r="F22" s="17">
        <f ca="1" t="shared" si="8"/>
        <v>380.43658300000004</v>
      </c>
      <c r="G22" s="17">
        <f ca="1" t="shared" si="8"/>
        <v>-10.755735</v>
      </c>
      <c r="H22" s="17">
        <f ca="1" t="shared" si="8"/>
        <v>-468.515228</v>
      </c>
      <c r="I22" s="17">
        <f t="shared" si="9"/>
        <v>-0.035436999999944874</v>
      </c>
      <c r="J22" s="17">
        <f t="shared" si="10"/>
        <v>-0.6177859999999988</v>
      </c>
      <c r="K22" s="17">
        <f t="shared" si="11"/>
        <v>41.935482000000036</v>
      </c>
      <c r="L22" s="16">
        <f t="shared" si="1"/>
        <v>41.94004728055385</v>
      </c>
      <c r="M22" s="16">
        <f t="shared" si="2"/>
        <v>-0.0008449442072130373</v>
      </c>
      <c r="N22" s="16">
        <f t="shared" si="3"/>
        <v>-0.014730217061210726</v>
      </c>
      <c r="O22" s="16">
        <f t="shared" si="4"/>
        <v>0.9998911474628707</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5"/>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135</v>
      </c>
      <c r="I23" s="9"/>
      <c r="J23" s="9"/>
      <c r="K23" s="9"/>
      <c r="X23" s="34"/>
      <c r="Y23" s="9"/>
      <c r="Z23" s="9"/>
    </row>
    <row r="24" spans="1:26" ht="12.75">
      <c r="A24" s="1" t="s">
        <v>17</v>
      </c>
      <c r="B24" s="1" t="str">
        <f>"-Zsyno"</f>
        <v>-Zsyno</v>
      </c>
      <c r="C24" s="1" t="s">
        <v>128</v>
      </c>
      <c r="I24" s="9"/>
      <c r="J24" s="9"/>
      <c r="K24" s="9"/>
      <c r="X24" s="34"/>
      <c r="Y24" s="9"/>
      <c r="Z24" s="9"/>
    </row>
    <row r="25" spans="1:3" ht="12.75">
      <c r="A25" s="1" t="s">
        <v>80</v>
      </c>
      <c r="B25" s="1" t="s">
        <v>131</v>
      </c>
      <c r="C25" s="1" t="s">
        <v>129</v>
      </c>
    </row>
    <row r="26" spans="1:3" ht="12.75">
      <c r="A26" s="1" t="s">
        <v>81</v>
      </c>
      <c r="B26" s="1" t="s">
        <v>132</v>
      </c>
      <c r="C26" s="1" t="s">
        <v>130</v>
      </c>
    </row>
  </sheetData>
  <printOptions/>
  <pageMargins left="0.33" right="0.25" top="0.984251968503937" bottom="0.984251968503937" header="0.5118110236220472" footer="0.5118110236220472"/>
  <pageSetup fitToHeight="1" fitToWidth="1" horizontalDpi="600" verticalDpi="600" orientation="landscape" paperSize="9" scale="48"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Kjetil DOHLEN</cp:lastModifiedBy>
  <cp:lastPrinted>2001-07-20T08:31:56Z</cp:lastPrinted>
  <dcterms:created xsi:type="dcterms:W3CDTF">2001-01-11T13:17:14Z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