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9095" windowHeight="11280" tabRatio="907" firstSheet="1" activeTab="5"/>
  </bookViews>
  <sheets>
    <sheet name="Introduction" sheetId="1" r:id="rId1"/>
    <sheet name="History" sheetId="2" r:id="rId2"/>
    <sheet name="Theory" sheetId="3" r:id="rId3"/>
    <sheet name="Variables" sheetId="4" r:id="rId4"/>
    <sheet name="GutRayImpacts" sheetId="5" r:id="rId5"/>
    <sheet name="Interfaces" sheetId="6" r:id="rId6"/>
    <sheet name="SurfDef" sheetId="7" r:id="rId7"/>
    <sheet name="GutCalc" sheetId="8" r:id="rId8"/>
    <sheet name="M3CentCalc" sheetId="9" r:id="rId9"/>
    <sheet name="M5CentCalc" sheetId="10" r:id="rId10"/>
    <sheet name="VertexCalc" sheetId="11" r:id="rId11"/>
    <sheet name="VerticesSyno" sheetId="12" r:id="rId12"/>
    <sheet name="RayImpacts" sheetId="13" r:id="rId13"/>
    <sheet name="RayImpactsSyno" sheetId="14" r:id="rId14"/>
    <sheet name="SpecGlobUp" sheetId="15" r:id="rId15"/>
    <sheet name="SpecGlobLo" sheetId="16" r:id="rId16"/>
    <sheet name="GutRayUp" sheetId="17" r:id="rId17"/>
    <sheet name="GutRayLo" sheetId="18" r:id="rId18"/>
    <sheet name="M3CentRay" sheetId="19" r:id="rId19"/>
    <sheet name="M5CentRay" sheetId="20" r:id="rId20"/>
  </sheets>
  <definedNames>
    <definedName name="_1_cos_theta">'M5CentCalc'!$Y$2:$Y$65536</definedName>
    <definedName name="aCol">'VerticesSyno'!$B$12</definedName>
    <definedName name="aEuler" localSheetId="10">'VertexCalc'!#REF!</definedName>
    <definedName name="aEuler" localSheetId="11">'VerticesSyno'!$L$2:$L$65536</definedName>
    <definedName name="aEuler">'Variables'!$B$28</definedName>
    <definedName name="Arm" localSheetId="5">'Interfaces'!#REF!</definedName>
    <definedName name="Arm" localSheetId="9">'M5CentCalc'!$E$2:$E$65536</definedName>
    <definedName name="Arm" localSheetId="13">'RayImpactsSyno'!$E$2:$E$65536</definedName>
    <definedName name="Arm" localSheetId="11">'VerticesSyno'!$E$2:$E$65536</definedName>
    <definedName name="Arm">'Variables'!$B$85</definedName>
    <definedName name="bCol">'VerticesSyno'!$B$13</definedName>
    <definedName name="bEuler" localSheetId="10">'VertexCalc'!#REF!</definedName>
    <definedName name="bEuler" localSheetId="11">'VerticesSyno'!$M$2:$M$65536</definedName>
    <definedName name="bEuler">'Variables'!$B$29</definedName>
    <definedName name="cCol">'VerticesSyno'!$B$14</definedName>
    <definedName name="cEuler" localSheetId="10">'VertexCalc'!#REF!</definedName>
    <definedName name="cEuler" localSheetId="11">'VerticesSyno'!$N$2:$N$65536</definedName>
    <definedName name="cEuler">'Variables'!$B$30</definedName>
    <definedName name="CompName" localSheetId="7">'GutCalc'!$D$2:$D$65536</definedName>
    <definedName name="CompName" localSheetId="4">'GutRayImpacts'!$D$2:$D$65536</definedName>
    <definedName name="CompName" localSheetId="5">'Interfaces'!$D$2:$D$65536</definedName>
    <definedName name="CompName" localSheetId="8">'M3CentCalc'!$D$2:$D$65536</definedName>
    <definedName name="CompName" localSheetId="9">'M5CentCalc'!$D$2:$D$65536</definedName>
    <definedName name="CompName" localSheetId="12">'RayImpacts'!$D$2:$D$65536</definedName>
    <definedName name="CompName" localSheetId="13">'RayImpactsSyno'!$D$2:$D$65536</definedName>
    <definedName name="CompName" localSheetId="6">'SurfDef'!$D$2:$D$65536</definedName>
    <definedName name="CompName" localSheetId="11">'VerticesSyno'!$D$2:$D$65536</definedName>
    <definedName name="CompName">'Variables'!$B$6</definedName>
    <definedName name="Description">'Variables'!$B$5:$B$65536</definedName>
    <definedName name="DiffMod" localSheetId="8">'M3CentCalc'!$M$2:$M$65536</definedName>
    <definedName name="DiffMod" localSheetId="9">'M5CentCalc'!$M$2:$M$65536</definedName>
    <definedName name="DiffMod" localSheetId="3">'Variables'!$B$67</definedName>
    <definedName name="DiffMod">'GutCalc'!$M$2:$M$65536</definedName>
    <definedName name="DowlDir" localSheetId="5">'Interfaces'!$F$2:$F$65536</definedName>
    <definedName name="DowlDir">'Variables'!$B$18</definedName>
    <definedName name="DowlSep" localSheetId="5">'Interfaces'!$B$8</definedName>
    <definedName name="DowlSep" localSheetId="6">'SurfDef'!$B$8</definedName>
    <definedName name="DowlSep">'Variables'!$B$12</definedName>
    <definedName name="drayMod" localSheetId="8">'M3CentCalc'!$T$2:$T$65536</definedName>
    <definedName name="drayMod" localSheetId="9">'M5CentCalc'!$T$2:$T$65536</definedName>
    <definedName name="dRayMod" localSheetId="3">'Variables'!$B$74</definedName>
    <definedName name="drayMod">'GutCalc'!$T$2:$T$65536</definedName>
    <definedName name="dXray" localSheetId="8">'M3CentCalc'!$Q$2:$Q$65536</definedName>
    <definedName name="dXray" localSheetId="9">'M5CentCalc'!$Q$2:$Q$65536</definedName>
    <definedName name="dXray" localSheetId="3">'Variables'!$B$71</definedName>
    <definedName name="dXray">'GutCalc'!$Q$2:$Q$65536</definedName>
    <definedName name="dYray" localSheetId="8">'M3CentCalc'!$R$2:$R$65536</definedName>
    <definedName name="dYray" localSheetId="9">'M5CentCalc'!$R$2:$R$65536</definedName>
    <definedName name="dYray" localSheetId="3">'Variables'!$B$72</definedName>
    <definedName name="dYray">'GutCalc'!$R$2:$R$65536</definedName>
    <definedName name="dZray" localSheetId="8">'M3CentCalc'!$S$2:$S$65536</definedName>
    <definedName name="dZray" localSheetId="9">'M5CentCalc'!$S$2:$S$65536</definedName>
    <definedName name="dZray" localSheetId="3">'Variables'!$B$73</definedName>
    <definedName name="dZray">'GutCalc'!$S$2:$S$65536</definedName>
    <definedName name="Flag" localSheetId="7">'GutCalc'!$F$2:$F$65536</definedName>
    <definedName name="Flag" localSheetId="4">'GutRayImpacts'!$E$2:$E$65536</definedName>
    <definedName name="Flag" localSheetId="5">'Interfaces'!$G$2:$G$65536</definedName>
    <definedName name="Flag" localSheetId="8">'M3CentCalc'!$F$2:$F$65536</definedName>
    <definedName name="Flag" localSheetId="9">'M5CentCalc'!$F$2:$F$65536</definedName>
    <definedName name="Flag" localSheetId="12">'RayImpacts'!$F$2:$F$65536</definedName>
    <definedName name="Flag" localSheetId="6">'SurfDef'!$F$2:$F$65536</definedName>
    <definedName name="Flag" localSheetId="10">'VertexCalc'!$F$2:$F$65536</definedName>
    <definedName name="Flag" localSheetId="11">'VerticesSyno'!$F$2:$F$65536</definedName>
    <definedName name="Flag">'Variables'!$B$7</definedName>
    <definedName name="ID" localSheetId="8">'M3CentCalc'!$B$2</definedName>
    <definedName name="ID" localSheetId="9">'M5CentCalc'!$B$2</definedName>
    <definedName name="ID" localSheetId="3">'Variables'!$B$2</definedName>
    <definedName name="ID" localSheetId="10">'VertexCalc'!$B$2</definedName>
    <definedName name="ID">'GutCalc'!$C$2</definedName>
    <definedName name="IDlo" localSheetId="7">'GutCalc'!$B$3</definedName>
    <definedName name="IDlo" localSheetId="10">'VertexCalc'!$B$3</definedName>
    <definedName name="IDlo">'Variables'!$B$4</definedName>
    <definedName name="IDup" localSheetId="7">'GutCalc'!$B$2</definedName>
    <definedName name="IDup" localSheetId="10">'VertexCalc'!$B$2</definedName>
    <definedName name="IDup">'Variables'!$B$3</definedName>
    <definedName name="LeftHandCorr" localSheetId="10">'VertexCalc'!$D$46</definedName>
    <definedName name="LeftHandCorr">'Variables'!$B$15</definedName>
    <definedName name="Line" localSheetId="3">'Variables'!$B$9</definedName>
    <definedName name="Line" localSheetId="11">'VerticesSyno'!$H$2:$H$65536</definedName>
    <definedName name="Line">'RayImpactsSyno'!$H$2:$H$65536</definedName>
    <definedName name="Line0" localSheetId="3">'Variables'!$B$55</definedName>
    <definedName name="Line0" localSheetId="11">'VerticesSyno'!$B$6</definedName>
    <definedName name="Line0">'RayImpactsSyno'!$B$7</definedName>
    <definedName name="Line0Lo" localSheetId="11">'VerticesSyno'!$B$7</definedName>
    <definedName name="Line0Lo">'Variables'!$B$57</definedName>
    <definedName name="Line0Up" localSheetId="11">'VerticesSyno'!$B$6</definedName>
    <definedName name="Line0Up">'Variables'!$B$56</definedName>
    <definedName name="Name">'Variables'!$B$2:$B$65536</definedName>
    <definedName name="NormDir" localSheetId="10">'VertexCalc'!$M$2:$M$65536</definedName>
    <definedName name="NormDir">'Variables'!$B$17</definedName>
    <definedName name="NormDirCorr" localSheetId="10">'VertexCalc'!$D$47</definedName>
    <definedName name="NormDirCorr">'Variables'!$B$16</definedName>
    <definedName name="normDOTsag">'M5CentCalc'!$AC$2:$AC$65536</definedName>
    <definedName name="Ray" localSheetId="7">'GutCalc'!$B$5</definedName>
    <definedName name="Ray" localSheetId="8">'M3CentCalc'!$B$5</definedName>
    <definedName name="Ray" localSheetId="9">'M5CentCalc'!$B$5</definedName>
    <definedName name="Ray" localSheetId="13">'RayImpactsSyno'!$B$5</definedName>
    <definedName name="Ray">'Variables'!$B$10</definedName>
    <definedName name="SBS1">'Variables'!$B$75</definedName>
    <definedName name="SBS2">'Variables'!$B$81</definedName>
    <definedName name="SCCA1">'Variables'!$B$77</definedName>
    <definedName name="SCCA2">'Variables'!$B$78</definedName>
    <definedName name="SCCA3">'Variables'!$B$79</definedName>
    <definedName name="SM10A">'Variables'!$B$80</definedName>
    <definedName name="SM11A">'Variables'!$B$82</definedName>
    <definedName name="SM12A">'Variables'!$B$83</definedName>
    <definedName name="SM9A">'Variables'!$B$76</definedName>
    <definedName name="SpigLength" localSheetId="5">'Interfaces'!$B$7</definedName>
    <definedName name="SpigLength" localSheetId="6">'SurfDef'!$B$7</definedName>
    <definedName name="SpigLength">'Variables'!$B$11</definedName>
    <definedName name="SSW">'Variables'!$B$84</definedName>
    <definedName name="SurfNum" localSheetId="3">'Variables'!$B$8</definedName>
    <definedName name="SurfNum" localSheetId="11">'VerticesSyno'!$G$2:$G$65536</definedName>
    <definedName name="SurfNum">'RayImpactsSyno'!$G$2:$G$65536</definedName>
    <definedName name="System_Part">'RayImpactsSyno'!$C$2:$C$65536</definedName>
    <definedName name="SystemPart" localSheetId="7">'GutCalc'!$C$2:$C$65536</definedName>
    <definedName name="SystemPart" localSheetId="4">'GutRayImpacts'!$C$2:$C$65536</definedName>
    <definedName name="SystemPart" localSheetId="5">'Interfaces'!$C$2:$C$65536</definedName>
    <definedName name="SystemPart" localSheetId="8">'M3CentCalc'!$C$2:$C$65536</definedName>
    <definedName name="SystemPart" localSheetId="9">'M5CentCalc'!$C$2:$C$65536</definedName>
    <definedName name="SystemPart" localSheetId="12">'RayImpacts'!$C$2:$C$65536</definedName>
    <definedName name="SystemPart" localSheetId="6">'SurfDef'!$C$2:$C$65536</definedName>
    <definedName name="SystemPart" localSheetId="11">'VerticesSyno'!$C$2:$C$65536</definedName>
    <definedName name="SystemPart">'Variables'!$B$5</definedName>
    <definedName name="Theta" localSheetId="9">'M5CentCalc'!$X$2:$X$65536</definedName>
    <definedName name="Theta" localSheetId="3">'Variables'!$B$13</definedName>
    <definedName name="Theta">'M3CentCalc'!$X$2:$X$65536</definedName>
    <definedName name="UpFlag" localSheetId="7">'GutCalc'!$X$2:$X$65536</definedName>
    <definedName name="UpFlag">'Variables'!$B$14</definedName>
    <definedName name="X0" localSheetId="12">'RayImpacts'!$B$20</definedName>
    <definedName name="X0" localSheetId="10">'VertexCalc'!$B$11</definedName>
    <definedName name="X0">'Variables'!$B$61</definedName>
    <definedName name="Xax">'Variables'!$B$31</definedName>
    <definedName name="xAxis" localSheetId="10">'VertexCalc'!$J$2:$J$65536</definedName>
    <definedName name="Xaxis">'Variables'!$B$31</definedName>
    <definedName name="Xcol" localSheetId="13">'RayImpactsSyno'!$B$9</definedName>
    <definedName name="Xcol" localSheetId="11">'VerticesSyno'!$B$9</definedName>
    <definedName name="Xcol">'Variables'!$B$58</definedName>
    <definedName name="Xdiff" localSheetId="8">'M3CentCalc'!$J$2:$J$65536</definedName>
    <definedName name="Xdiff" localSheetId="9">'M5CentCalc'!$J$2:$J$65536</definedName>
    <definedName name="Xdiff" localSheetId="3">'Variables'!$B$64</definedName>
    <definedName name="Xdiff">'GutCalc'!$J$2:$J$65536</definedName>
    <definedName name="Xdowl" localSheetId="5">'Interfaces'!$T$2:$T$65536</definedName>
    <definedName name="Xdowl" localSheetId="6">'SurfDef'!$S$2:$S$65536</definedName>
    <definedName name="Xdowl">'Variables'!$B$52</definedName>
    <definedName name="Xfact">'Variables'!#REF!</definedName>
    <definedName name="Xgut" localSheetId="7">'GutCalc'!$G$2:$G$65536</definedName>
    <definedName name="Xgut" localSheetId="12">'RayImpacts'!$G$2:$G$65536</definedName>
    <definedName name="Xgut" localSheetId="13">'RayImpactsSyno'!$I$2:$I$65536</definedName>
    <definedName name="Xgut">'Variables'!$B$19</definedName>
    <definedName name="XM3Cent" localSheetId="8">'M3CentCalc'!$G$2:$G$65536</definedName>
    <definedName name="XM3Cent" localSheetId="9">'M5CentCalc'!$G$2:$G$65536</definedName>
    <definedName name="XM3cent" localSheetId="12">'RayImpacts'!$J$2:$J$65536</definedName>
    <definedName name="XM3cent" localSheetId="13">'RayImpactsSyno'!$L$2:$L$65536</definedName>
    <definedName name="XM3cent">'Variables'!$B$22</definedName>
    <definedName name="XM5Cent" localSheetId="9">'M5CentCalc'!$G$2:$G$65536</definedName>
    <definedName name="XM5cent" localSheetId="12">'RayImpacts'!$M$2:$M$65536</definedName>
    <definedName name="XM5cent" localSheetId="13">'RayImpactsSyno'!$O$2:$O$65536</definedName>
    <definedName name="XM5cent">'Variables'!$B$25</definedName>
    <definedName name="Xmirr" localSheetId="5">'Interfaces'!$H$2:$H$65536</definedName>
    <definedName name="Xmirr" localSheetId="6">'SurfDef'!$G$2:$G$65536</definedName>
    <definedName name="Xmirr" localSheetId="10">'VertexCalc'!$G$2:$G$65536</definedName>
    <definedName name="Xmirr">'Variables'!$B$40</definedName>
    <definedName name="Xnorm" localSheetId="7">'GutCalc'!$U$2:$U$65536</definedName>
    <definedName name="Xnorm" localSheetId="5">'Interfaces'!$K$2:$K$65536</definedName>
    <definedName name="Xnorm" localSheetId="8">'M3CentCalc'!$U$2:$U$65536</definedName>
    <definedName name="Xnorm" localSheetId="9">'M5CentCalc'!$U$2:$U$65536</definedName>
    <definedName name="Xnorm" localSheetId="6">'SurfDef'!$J$2:$J$65536</definedName>
    <definedName name="Xnorm" localSheetId="10">'VertexCalc'!$J$2:$J$65536</definedName>
    <definedName name="xNorm" localSheetId="11">'VerticesSyno'!$O$2:$O$65536</definedName>
    <definedName name="Xnorm">'Variables'!$B$43</definedName>
    <definedName name="Xray" localSheetId="8">'M3CentCalc'!$N$2:$N$65536</definedName>
    <definedName name="Xray" localSheetId="9">'M5CentCalc'!$N$2:$N$65536</definedName>
    <definedName name="Xray" localSheetId="3">'Variables'!$B$68</definedName>
    <definedName name="Xray">'GutCalc'!$N$2:$N$65536</definedName>
    <definedName name="Xsag" localSheetId="5">'Interfaces'!$Q$2:$Q$65536</definedName>
    <definedName name="Xsag" localSheetId="8">'M3CentCalc'!$Z$2:$Z$65536</definedName>
    <definedName name="Xsag" localSheetId="9">'M5CentCalc'!$Z$2:$Z$65536</definedName>
    <definedName name="Xsag" localSheetId="6">'SurfDef'!$P$2:$P$65536</definedName>
    <definedName name="Xsag" localSheetId="10">'VertexCalc'!$N$2:$N$65536</definedName>
    <definedName name="xSag" localSheetId="11">'VerticesSyno'!$U$2:$U$65536</definedName>
    <definedName name="Xsag">'Variables'!$B$37</definedName>
    <definedName name="XsagM">'Variables'!$B$49</definedName>
    <definedName name="Xspig" localSheetId="5">'Interfaces'!$N$2:$N$65536</definedName>
    <definedName name="Xspig" localSheetId="6">'SurfDef'!$M$2:$M$65536</definedName>
    <definedName name="Xspig">'Variables'!$B$46</definedName>
    <definedName name="Xspire">'GutCalc'!#REF!</definedName>
    <definedName name="Xsyn">'GutCalc'!$G$2:$G$65536</definedName>
    <definedName name="Xtang" localSheetId="10">'VertexCalc'!$Q$2:$Q$65536</definedName>
    <definedName name="xTang" localSheetId="11">'VerticesSyno'!$R$2:$R$65536</definedName>
    <definedName name="Xtang">'Variables'!$B$34</definedName>
    <definedName name="Xvert" localSheetId="11">'VerticesSyno'!$I$2:$I$65536</definedName>
    <definedName name="Xvert">'Variables'!#REF!</definedName>
    <definedName name="Xvertex" localSheetId="10">'VertexCalc'!$G$2:$G$65536</definedName>
    <definedName name="Xvertex">'Variables'!#REF!</definedName>
    <definedName name="Y0" localSheetId="12">'RayImpacts'!$B$21</definedName>
    <definedName name="Y0" localSheetId="10">'VertexCalc'!$B$12</definedName>
    <definedName name="Y0">'Variables'!$B$62</definedName>
    <definedName name="Yax">'Variables'!$B$32</definedName>
    <definedName name="yAxis" localSheetId="10">'VertexCalc'!$K$2:$K$65536</definedName>
    <definedName name="Yaxis">'Variables'!$B$32</definedName>
    <definedName name="Ycol" localSheetId="13">'RayImpactsSyno'!$B$10</definedName>
    <definedName name="Ycol" localSheetId="11">'VerticesSyno'!$B$10</definedName>
    <definedName name="Ycol">'Variables'!$B$59</definedName>
    <definedName name="Ydiff" localSheetId="8">'M3CentCalc'!$K$2:$K$65536</definedName>
    <definedName name="Ydiff" localSheetId="9">'M5CentCalc'!$K$2:$K$65536</definedName>
    <definedName name="Ydiff" localSheetId="3">'Variables'!$B$65</definedName>
    <definedName name="Ydiff">'GutCalc'!$K$2:$K$65536</definedName>
    <definedName name="Ydowl" localSheetId="5">'Interfaces'!$U$2:$U$65536</definedName>
    <definedName name="Ydowl" localSheetId="6">'SurfDef'!$T$2:$T$65536</definedName>
    <definedName name="Ydowl">'Variables'!$B$53</definedName>
    <definedName name="Yfact">'Variables'!#REF!</definedName>
    <definedName name="Ygut" localSheetId="7">'GutCalc'!$H$2:$H$65536</definedName>
    <definedName name="Ygut" localSheetId="12">'RayImpacts'!$H$2:$H$65536</definedName>
    <definedName name="Ygut" localSheetId="13">'RayImpactsSyno'!$J$2:$J$65536</definedName>
    <definedName name="Ygut">'Variables'!$B$20</definedName>
    <definedName name="YM3Cent" localSheetId="8">'M3CentCalc'!$H$2:$H$65536</definedName>
    <definedName name="YM3Cent" localSheetId="9">'M5CentCalc'!$H$2:$H$65536</definedName>
    <definedName name="YM3cent" localSheetId="12">'RayImpacts'!$K$2:$K$65536</definedName>
    <definedName name="YM3cent" localSheetId="13">'RayImpactsSyno'!$M$2:$M$65536</definedName>
    <definedName name="YM3cent">'Variables'!$B$23</definedName>
    <definedName name="YM5Cent" localSheetId="9">'M5CentCalc'!$H$2:$H$65536</definedName>
    <definedName name="YM5cent" localSheetId="12">'RayImpacts'!$N$2:$N$65536</definedName>
    <definedName name="YM5cent" localSheetId="13">'RayImpactsSyno'!$P$2:$P$65536</definedName>
    <definedName name="YM5cent">'Variables'!$B$26</definedName>
    <definedName name="Ymirr" localSheetId="5">'Interfaces'!$I$2:$I$65536</definedName>
    <definedName name="Ymirr" localSheetId="6">'SurfDef'!$H$2:$H$65536</definedName>
    <definedName name="Ymirr" localSheetId="10">'VertexCalc'!$H$2:$H$65536</definedName>
    <definedName name="Ymirr">'Variables'!$B$41</definedName>
    <definedName name="Ynorm" localSheetId="7">'GutCalc'!$V$2:$V$65536</definedName>
    <definedName name="Ynorm" localSheetId="5">'Interfaces'!$L$2:$L$65536</definedName>
    <definedName name="Ynorm" localSheetId="8">'M3CentCalc'!$V$2:$V$65536</definedName>
    <definedName name="Ynorm" localSheetId="9">'M5CentCalc'!$V$2:$V$65536</definedName>
    <definedName name="Ynorm" localSheetId="6">'SurfDef'!$K$2:$K$65536</definedName>
    <definedName name="Ynorm" localSheetId="10">'VertexCalc'!$K$2:$K$65536</definedName>
    <definedName name="yNorm" localSheetId="11">'VerticesSyno'!$P$2:$P$65536</definedName>
    <definedName name="Ynorm">'Variables'!$B$44</definedName>
    <definedName name="Yray" localSheetId="8">'M3CentCalc'!$O$2:$O$65536</definedName>
    <definedName name="Yray" localSheetId="9">'M5CentCalc'!$O$2:$O$65536</definedName>
    <definedName name="Yray" localSheetId="3">'Variables'!$B$69</definedName>
    <definedName name="Yray">'GutCalc'!$O$2:$O$65536</definedName>
    <definedName name="Ysag" localSheetId="5">'Interfaces'!$R$2:$R$65536</definedName>
    <definedName name="Ysag" localSheetId="8">'M3CentCalc'!$AA$2:$AA$65536</definedName>
    <definedName name="Ysag" localSheetId="9">'M5CentCalc'!$AA$2:$AA$65536</definedName>
    <definedName name="Ysag" localSheetId="6">'SurfDef'!$Q$2:$Q$65536</definedName>
    <definedName name="Ysag" localSheetId="10">'VertexCalc'!$O$2:$O$65536</definedName>
    <definedName name="ySag" localSheetId="11">'VerticesSyno'!$V$2:$V$65536</definedName>
    <definedName name="Ysag">'Variables'!$B$38</definedName>
    <definedName name="YsagM">'Variables'!$B$50</definedName>
    <definedName name="Yspig" localSheetId="5">'Interfaces'!$O$2:$O$65536</definedName>
    <definedName name="Yspig" localSheetId="6">'SurfDef'!$N$2:$N$65536</definedName>
    <definedName name="Yspig">'Variables'!$B$47</definedName>
    <definedName name="Yspire">'GutCalc'!#REF!</definedName>
    <definedName name="Ysyn">'GutCalc'!$H$2:$H$65536</definedName>
    <definedName name="Ytang" localSheetId="10">'VertexCalc'!$R$2:$R$65536</definedName>
    <definedName name="yTang" localSheetId="11">'VerticesSyno'!$S$2:$S$65536</definedName>
    <definedName name="Ytang">'Variables'!$B$35</definedName>
    <definedName name="Yvert" localSheetId="11">'VerticesSyno'!$J$2:$J$65536</definedName>
    <definedName name="Yvert">'Variables'!#REF!</definedName>
    <definedName name="Yvertex" localSheetId="10">'VertexCalc'!$H$2:$H$65536</definedName>
    <definedName name="Yvertex">'Variables'!#REF!</definedName>
    <definedName name="Z0" localSheetId="12">'RayImpacts'!$B$22</definedName>
    <definedName name="Z0" localSheetId="10">'VertexCalc'!$B$13</definedName>
    <definedName name="Z0">'Variables'!$B$63</definedName>
    <definedName name="Zax">'Variables'!$B$33</definedName>
    <definedName name="zAxis" localSheetId="10">'VertexCalc'!$L$2:$L$65536</definedName>
    <definedName name="Zaxis">'Variables'!$B$33</definedName>
    <definedName name="Zcol" localSheetId="13">'RayImpactsSyno'!$B$11</definedName>
    <definedName name="Zcol" localSheetId="11">'VerticesSyno'!$B$11</definedName>
    <definedName name="Zcol">'Variables'!$B$60</definedName>
    <definedName name="Zdiff" localSheetId="8">'M3CentCalc'!$L$2:$L$65536</definedName>
    <definedName name="Zdiff" localSheetId="9">'M5CentCalc'!$L$2:$L$65536</definedName>
    <definedName name="Zdiff" localSheetId="3">'Variables'!$B$66</definedName>
    <definedName name="Zdiff">'GutCalc'!$L$2:$L$65536</definedName>
    <definedName name="Zdowl" localSheetId="5">'Interfaces'!$V$2:$V$65536</definedName>
    <definedName name="Zdowl" localSheetId="6">'SurfDef'!$U$2:$U$65536</definedName>
    <definedName name="Zdowl">'Variables'!$B$54</definedName>
    <definedName name="Zfact">'Variables'!#REF!</definedName>
    <definedName name="Zgut" localSheetId="7">'GutCalc'!$I$2:$I$65536</definedName>
    <definedName name="Zgut" localSheetId="12">'RayImpacts'!$I$2:$I$65536</definedName>
    <definedName name="Zgut" localSheetId="13">'RayImpactsSyno'!$K$2:$K$65536</definedName>
    <definedName name="Zgut">'Variables'!$B$21</definedName>
    <definedName name="ZM3Cent" localSheetId="8">'M3CentCalc'!$I$2:$I$65536</definedName>
    <definedName name="ZM3Cent" localSheetId="9">'M5CentCalc'!$I$2:$I$65536</definedName>
    <definedName name="ZM3cent" localSheetId="12">'RayImpacts'!$L$2:$L$65536</definedName>
    <definedName name="ZM3cent" localSheetId="13">'RayImpactsSyno'!$N$2:$N$65536</definedName>
    <definedName name="ZM3cent">'Variables'!$B$24</definedName>
    <definedName name="ZM5Cent" localSheetId="9">'M5CentCalc'!$I$2:$I$65536</definedName>
    <definedName name="ZM5cent" localSheetId="12">'RayImpacts'!$O$2:$O$65536</definedName>
    <definedName name="ZM5cent" localSheetId="13">'RayImpactsSyno'!$Q$2:$Q$65536</definedName>
    <definedName name="ZM5cent">'Variables'!$B$27</definedName>
    <definedName name="Zmirr" localSheetId="5">'Interfaces'!$J$2:$J$65536</definedName>
    <definedName name="Zmirr" localSheetId="6">'SurfDef'!$I$2:$I$65536</definedName>
    <definedName name="Zmirr" localSheetId="10">'VertexCalc'!$I$2:$I$65536</definedName>
    <definedName name="Zmirr">'Variables'!$B$42</definedName>
    <definedName name="Znorm" localSheetId="7">'GutCalc'!$W$2:$W$65536</definedName>
    <definedName name="Znorm" localSheetId="5">'Interfaces'!$M$2:$M$65536</definedName>
    <definedName name="Znorm" localSheetId="8">'M3CentCalc'!$W$2:$W$65536</definedName>
    <definedName name="Znorm" localSheetId="9">'M5CentCalc'!$W$2:$W$65536</definedName>
    <definedName name="Znorm" localSheetId="6">'SurfDef'!$L$2:$L$65536</definedName>
    <definedName name="Znorm" localSheetId="10">'VertexCalc'!$L$2:$L$65536</definedName>
    <definedName name="zNorm" localSheetId="11">'VerticesSyno'!$Q$2:$Q$65536</definedName>
    <definedName name="Znorm">'Variables'!$B$45</definedName>
    <definedName name="Zray" localSheetId="8">'M3CentCalc'!$P$2:$P$65536</definedName>
    <definedName name="Zray" localSheetId="9">'M5CentCalc'!$P$2:$P$65536</definedName>
    <definedName name="Zray" localSheetId="3">'Variables'!$B$70</definedName>
    <definedName name="Zray">'GutCalc'!$P$2:$P$65536</definedName>
    <definedName name="Zsag" localSheetId="5">'Interfaces'!$S$2:$S$65536</definedName>
    <definedName name="zSag" localSheetId="8">'M3CentCalc'!$AB$2:$AB$65536</definedName>
    <definedName name="Zsag" localSheetId="9">'M5CentCalc'!$AB$2:$AB$65536</definedName>
    <definedName name="Zsag" localSheetId="6">'SurfDef'!$R$2:$R$65536</definedName>
    <definedName name="Zsag" localSheetId="10">'VertexCalc'!$P$2:$P$65536</definedName>
    <definedName name="zSag" localSheetId="11">'VerticesSyno'!$W$2:$W$65536</definedName>
    <definedName name="Zsag">'Variables'!$B$39</definedName>
    <definedName name="ZsagM">'Variables'!$B$51</definedName>
    <definedName name="Zspig" localSheetId="5">'Interfaces'!$P$2:$P$65536</definedName>
    <definedName name="Zspig" localSheetId="6">'SurfDef'!$O$2:$O$65536</definedName>
    <definedName name="Zspig">'Variables'!$B$48</definedName>
    <definedName name="Zspire">'GutCalc'!#REF!</definedName>
    <definedName name="Zsyn">'GutCalc'!$I$2:$I$65536</definedName>
    <definedName name="Ztang" localSheetId="10">'VertexCalc'!$S$2:$S$65536</definedName>
    <definedName name="zTang" localSheetId="11">'VerticesSyno'!$T$2:$T$65536</definedName>
    <definedName name="Ztang">'Variables'!$B$36</definedName>
    <definedName name="Zvert" localSheetId="11">'VerticesSyno'!$K$2:$K$65536</definedName>
    <definedName name="Zvert">'Variables'!#REF!</definedName>
    <definedName name="Zvertex" localSheetId="10">'VertexCalc'!$I$2:$I$65536</definedName>
    <definedName name="Zvertex">'Variables'!#REF!</definedName>
  </definedNames>
  <calcPr fullCalcOnLoad="1"/>
</workbook>
</file>

<file path=xl/sharedStrings.xml><?xml version="1.0" encoding="utf-8"?>
<sst xmlns="http://schemas.openxmlformats.org/spreadsheetml/2006/main" count="2975" uniqueCount="503">
  <si>
    <t>Name</t>
  </si>
  <si>
    <t>Description</t>
  </si>
  <si>
    <t>CompName</t>
  </si>
  <si>
    <t>Ray</t>
  </si>
  <si>
    <t>Xgut</t>
  </si>
  <si>
    <t>Ygut</t>
  </si>
  <si>
    <t>Zgut</t>
  </si>
  <si>
    <t>Xvert</t>
  </si>
  <si>
    <t>Yvert</t>
  </si>
  <si>
    <t>Zvert</t>
  </si>
  <si>
    <t>Gut ray impact coordinates</t>
  </si>
  <si>
    <t>Xspig</t>
  </si>
  <si>
    <t>Yspig</t>
  </si>
  <si>
    <t>Zspig</t>
  </si>
  <si>
    <t>Xnorm</t>
  </si>
  <si>
    <t>Ynorm</t>
  </si>
  <si>
    <t>Znorm</t>
  </si>
  <si>
    <t>X</t>
  </si>
  <si>
    <t>Xmirr</t>
  </si>
  <si>
    <t>Ymirr</t>
  </si>
  <si>
    <t>Zmirr</t>
  </si>
  <si>
    <t>Xsag</t>
  </si>
  <si>
    <t>Ysag</t>
  </si>
  <si>
    <t>Zsag</t>
  </si>
  <si>
    <t>Xdowl</t>
  </si>
  <si>
    <t>Ydowl</t>
  </si>
  <si>
    <t>Zdowl</t>
  </si>
  <si>
    <t>Mirror normal vector (spigot vector)</t>
  </si>
  <si>
    <t>Point along spigot vector</t>
  </si>
  <si>
    <t>Mirror sagittal vector (pointing towards dowl)</t>
  </si>
  <si>
    <t>Point in direction of dowl</t>
  </si>
  <si>
    <t>XM3cent</t>
  </si>
  <si>
    <t>YM3cent</t>
  </si>
  <si>
    <t>ZM3cent</t>
  </si>
  <si>
    <t>XM5cent</t>
  </si>
  <si>
    <t>YM5cent</t>
  </si>
  <si>
    <t>ZM5cent</t>
  </si>
  <si>
    <t>Ray centred on M3, impact coordinates</t>
  </si>
  <si>
    <t>Ray centred on M5, impact coordinates</t>
  </si>
  <si>
    <t>---</t>
  </si>
  <si>
    <t>ID?</t>
  </si>
  <si>
    <t>The</t>
  </si>
  <si>
    <t>current</t>
  </si>
  <si>
    <t>lens</t>
  </si>
  <si>
    <t>ID</t>
  </si>
  <si>
    <t>is:</t>
  </si>
  <si>
    <t>SPIRE</t>
  </si>
  <si>
    <t>PHOT</t>
  </si>
  <si>
    <t>TIME</t>
  </si>
  <si>
    <t>GRAY</t>
  </si>
  <si>
    <t>SURF</t>
  </si>
  <si>
    <t>Z1</t>
  </si>
  <si>
    <t>GLOBAL</t>
  </si>
  <si>
    <t>RAYTRACE</t>
  </si>
  <si>
    <t>ANALYSIS</t>
  </si>
  <si>
    <t>RAY</t>
  </si>
  <si>
    <t>DATA</t>
  </si>
  <si>
    <t>IN</t>
  </si>
  <si>
    <t>COORDINATE</t>
  </si>
  <si>
    <t>SYSTEM</t>
  </si>
  <si>
    <t>OF</t>
  </si>
  <si>
    <t>SURFACE</t>
  </si>
  <si>
    <t>NO.</t>
  </si>
  <si>
    <t>FRACT.</t>
  </si>
  <si>
    <t>OBJECT</t>
  </si>
  <si>
    <t>HEIGHT</t>
  </si>
  <si>
    <t>HBAR</t>
  </si>
  <si>
    <t>GBAR</t>
  </si>
  <si>
    <t>ENTRANCE</t>
  </si>
  <si>
    <t>PUPIL</t>
  </si>
  <si>
    <t>COORD.</t>
  </si>
  <si>
    <t>YEN</t>
  </si>
  <si>
    <t>XEN</t>
  </si>
  <si>
    <t>COLOR</t>
  </si>
  <si>
    <t>NUMBER</t>
  </si>
  <si>
    <t>VECTORS</t>
  </si>
  <si>
    <t>(X</t>
  </si>
  <si>
    <t>DIR</t>
  </si>
  <si>
    <t>TAN)</t>
  </si>
  <si>
    <t>(Y</t>
  </si>
  <si>
    <t>Y</t>
  </si>
  <si>
    <t>Z</t>
  </si>
  <si>
    <t>ZZ</t>
  </si>
  <si>
    <t>HH</t>
  </si>
  <si>
    <t>__________________________________________________________________________</t>
  </si>
  <si>
    <t>POF</t>
  </si>
  <si>
    <t>C</t>
  </si>
  <si>
    <t>Z2</t>
  </si>
  <si>
    <t>Z3</t>
  </si>
  <si>
    <t>SurfNum</t>
  </si>
  <si>
    <t>Line</t>
  </si>
  <si>
    <t>Dummy</t>
  </si>
  <si>
    <t>M1</t>
  </si>
  <si>
    <t>M2</t>
  </si>
  <si>
    <t>CFP</t>
  </si>
  <si>
    <t>CM3</t>
  </si>
  <si>
    <t>Line0</t>
  </si>
  <si>
    <t>CM4</t>
  </si>
  <si>
    <t>CM5</t>
  </si>
  <si>
    <t>Xcol</t>
  </si>
  <si>
    <t>c</t>
  </si>
  <si>
    <t>Ycol</t>
  </si>
  <si>
    <t>d</t>
  </si>
  <si>
    <t>Zcol</t>
  </si>
  <si>
    <t>e</t>
  </si>
  <si>
    <t>X0</t>
  </si>
  <si>
    <t>Y0</t>
  </si>
  <si>
    <t>Z0</t>
  </si>
  <si>
    <t>Telescope</t>
  </si>
  <si>
    <t>Common optics</t>
  </si>
  <si>
    <t>Ignore</t>
  </si>
  <si>
    <t>SystemPart</t>
  </si>
  <si>
    <t>Tow. tel</t>
  </si>
  <si>
    <t>Tow. Spectro</t>
  </si>
  <si>
    <t>Tow. PAX</t>
  </si>
  <si>
    <t>X=X0-Zsyno</t>
  </si>
  <si>
    <t>Z=Z0+Ysyno</t>
  </si>
  <si>
    <t>Y=Y0+Xsyno</t>
  </si>
  <si>
    <t>Xsyno</t>
  </si>
  <si>
    <t>Ysyno</t>
  </si>
  <si>
    <t>SPIRE coordinates</t>
  </si>
  <si>
    <t>where:</t>
  </si>
  <si>
    <t>Axis directions:</t>
  </si>
  <si>
    <t>Xdiff</t>
  </si>
  <si>
    <t>Ydiff</t>
  </si>
  <si>
    <t>Zdiff</t>
  </si>
  <si>
    <t>DiffMod</t>
  </si>
  <si>
    <t>Xray</t>
  </si>
  <si>
    <t>Yray</t>
  </si>
  <si>
    <t>Zray</t>
  </si>
  <si>
    <t>dXray</t>
  </si>
  <si>
    <t>dYray</t>
  </si>
  <si>
    <t>dZray</t>
  </si>
  <si>
    <t>drayMod</t>
  </si>
  <si>
    <t>gut</t>
  </si>
  <si>
    <t>dRayMod</t>
  </si>
  <si>
    <t>Line of first surface in listing</t>
  </si>
  <si>
    <t>Column of each coordinate in listing</t>
  </si>
  <si>
    <t>Offset of SPIRE origin with respect to Synopsys origin</t>
  </si>
  <si>
    <t>Difference between ray impact coordinates</t>
  </si>
  <si>
    <t>Modulo of difference vector</t>
  </si>
  <si>
    <t>Unit ray vector</t>
  </si>
  <si>
    <t>Difference between unit ray vectors</t>
  </si>
  <si>
    <t>Flag</t>
  </si>
  <si>
    <t>Hole</t>
  </si>
  <si>
    <t>Det</t>
  </si>
  <si>
    <t>M3Cent</t>
  </si>
  <si>
    <t>M5Cent</t>
  </si>
  <si>
    <t>!GRAY</t>
  </si>
  <si>
    <t>SPEC</t>
  </si>
  <si>
    <t>GLOB</t>
  </si>
  <si>
    <t>LENS</t>
  </si>
  <si>
    <t>SPECIFICATIONS:</t>
  </si>
  <si>
    <t>SPECIFICATIONS</t>
  </si>
  <si>
    <t>______________________________________________________________________________</t>
  </si>
  <si>
    <t>DISTANCE</t>
  </si>
  <si>
    <t>(TH0)</t>
  </si>
  <si>
    <t>INFINITE</t>
  </si>
  <si>
    <t>FOCAL</t>
  </si>
  <si>
    <t>LENGTH</t>
  </si>
  <si>
    <t>(FOCL)</t>
  </si>
  <si>
    <t>(YPP0)</t>
  </si>
  <si>
    <t>BACK</t>
  </si>
  <si>
    <t>MARG</t>
  </si>
  <si>
    <t>(YMP1)</t>
  </si>
  <si>
    <t>IMAGE</t>
  </si>
  <si>
    <t>(BACK)</t>
  </si>
  <si>
    <t>ANGLE</t>
  </si>
  <si>
    <t>(UMP0)</t>
  </si>
  <si>
    <t>CELL</t>
  </si>
  <si>
    <t>(TOTL)</t>
  </si>
  <si>
    <t>CHIEF</t>
  </si>
  <si>
    <t>(YPP1)</t>
  </si>
  <si>
    <t>F/NUMBER</t>
  </si>
  <si>
    <t>(FNUM)</t>
  </si>
  <si>
    <t>(UPP0)</t>
  </si>
  <si>
    <t>GAUSSIAN</t>
  </si>
  <si>
    <t>HT(GIHT)</t>
  </si>
  <si>
    <t>ENTR</t>
  </si>
  <si>
    <t>SEMI-APERTURE</t>
  </si>
  <si>
    <t>EXIT</t>
  </si>
  <si>
    <t>LOCATION</t>
  </si>
  <si>
    <t>X-OBJECT</t>
  </si>
  <si>
    <t>(XPP0)</t>
  </si>
  <si>
    <t>X-MARG</t>
  </si>
  <si>
    <t>(XMP1)</t>
  </si>
  <si>
    <t>X-CHIEF</t>
  </si>
  <si>
    <t>HT</t>
  </si>
  <si>
    <t>(XPP1)</t>
  </si>
  <si>
    <t>(VMP0)</t>
  </si>
  <si>
    <t>ANGLE(VPP0)</t>
  </si>
  <si>
    <t>WAVL</t>
  </si>
  <si>
    <t>(uM)</t>
  </si>
  <si>
    <t>WEIGHTS</t>
  </si>
  <si>
    <t>ORDER</t>
  </si>
  <si>
    <t>UNITS</t>
  </si>
  <si>
    <t>MM</t>
  </si>
  <si>
    <t>APERTURE</t>
  </si>
  <si>
    <t>STOP</t>
  </si>
  <si>
    <t>(APS)</t>
  </si>
  <si>
    <t>REAL</t>
  </si>
  <si>
    <t>OPTION</t>
  </si>
  <si>
    <t>ON</t>
  </si>
  <si>
    <t>MODE</t>
  </si>
  <si>
    <t>MAGNIFICATION</t>
  </si>
  <si>
    <t>VIGNETTING</t>
  </si>
  <si>
    <t>(VIG)</t>
  </si>
  <si>
    <t>OFF</t>
  </si>
  <si>
    <t>POLARIZATION</t>
  </si>
  <si>
    <t>AND</t>
  </si>
  <si>
    <t>COATINGS</t>
  </si>
  <si>
    <t>ARE</t>
  </si>
  <si>
    <t>IGNORED.</t>
  </si>
  <si>
    <t>RADIUS</t>
  </si>
  <si>
    <t>THICKNESS</t>
  </si>
  <si>
    <t>MEDIUM</t>
  </si>
  <si>
    <t>INDEX</t>
  </si>
  <si>
    <t>V-NUMBER</t>
  </si>
  <si>
    <t>AIR</t>
  </si>
  <si>
    <t>2A</t>
  </si>
  <si>
    <t>2000.00000P</t>
  </si>
  <si>
    <t>O</t>
  </si>
  <si>
    <t>APS</t>
  </si>
  <si>
    <t>1587.96900P</t>
  </si>
  <si>
    <t>10A</t>
  </si>
  <si>
    <t>11A</t>
  </si>
  <si>
    <t>12A</t>
  </si>
  <si>
    <t>13A</t>
  </si>
  <si>
    <t>0.00000P</t>
  </si>
  <si>
    <t>16A</t>
  </si>
  <si>
    <t>17A</t>
  </si>
  <si>
    <t>18A</t>
  </si>
  <si>
    <t>19A</t>
  </si>
  <si>
    <t>20A</t>
  </si>
  <si>
    <t>21A</t>
  </si>
  <si>
    <t>24A</t>
  </si>
  <si>
    <t>28A</t>
  </si>
  <si>
    <t>32A</t>
  </si>
  <si>
    <t>33A</t>
  </si>
  <si>
    <t>35A</t>
  </si>
  <si>
    <t>36A</t>
  </si>
  <si>
    <t>39A</t>
  </si>
  <si>
    <t>40A</t>
  </si>
  <si>
    <t>43A</t>
  </si>
  <si>
    <t>44A</t>
  </si>
  <si>
    <t>46A</t>
  </si>
  <si>
    <t>47A</t>
  </si>
  <si>
    <t>50A</t>
  </si>
  <si>
    <t>53A</t>
  </si>
  <si>
    <t>56A</t>
  </si>
  <si>
    <t>57A</t>
  </si>
  <si>
    <t>60A</t>
  </si>
  <si>
    <t>61A</t>
  </si>
  <si>
    <t>IMG</t>
  </si>
  <si>
    <t>KEY</t>
  </si>
  <si>
    <t>TO</t>
  </si>
  <si>
    <t>SYMBOLS</t>
  </si>
  <si>
    <t>______________</t>
  </si>
  <si>
    <t>A</t>
  </si>
  <si>
    <t>HAS</t>
  </si>
  <si>
    <t>TILTS</t>
  </si>
  <si>
    <t>DECENTERS</t>
  </si>
  <si>
    <t>B</t>
  </si>
  <si>
    <t>TAG</t>
  </si>
  <si>
    <t>G</t>
  </si>
  <si>
    <t>IS</t>
  </si>
  <si>
    <t>COORDINATES</t>
  </si>
  <si>
    <t>L</t>
  </si>
  <si>
    <t>LOCAL</t>
  </si>
  <si>
    <t>SPECIAL</t>
  </si>
  <si>
    <t>TYPE</t>
  </si>
  <si>
    <t>P</t>
  </si>
  <si>
    <t>ITEM</t>
  </si>
  <si>
    <t>SUBJECT</t>
  </si>
  <si>
    <t>PICKUP</t>
  </si>
  <si>
    <t>S</t>
  </si>
  <si>
    <t>SOLVE</t>
  </si>
  <si>
    <t>--</t>
  </si>
  <si>
    <t>CONIC</t>
  </si>
  <si>
    <t>CONSTANT</t>
  </si>
  <si>
    <t>(CC)</t>
  </si>
  <si>
    <t>SEMI-MAJOR</t>
  </si>
  <si>
    <t>AXIS</t>
  </si>
  <si>
    <t>(b)</t>
  </si>
  <si>
    <t>SEMI-MINOR</t>
  </si>
  <si>
    <t>(a)</t>
  </si>
  <si>
    <t>_______________</t>
  </si>
  <si>
    <t>TORIC</t>
  </si>
  <si>
    <t>RX</t>
  </si>
  <si>
    <t>TILT</t>
  </si>
  <si>
    <t>DECENTER</t>
  </si>
  <si>
    <t>LEFT-HANDED</t>
  </si>
  <si>
    <t>_______________________________________________________________________________</t>
  </si>
  <si>
    <t>ALPHA</t>
  </si>
  <si>
    <t>BETA</t>
  </si>
  <si>
    <t>GAMMA</t>
  </si>
  <si>
    <t>REL</t>
  </si>
  <si>
    <t>TYPES</t>
  </si>
  <si>
    <t>____________________</t>
  </si>
  <si>
    <t>GLB</t>
  </si>
  <si>
    <t>LOC</t>
  </si>
  <si>
    <t>RELATIVE</t>
  </si>
  <si>
    <t>REM</t>
  </si>
  <si>
    <t>REMOTE</t>
  </si>
  <si>
    <t>MESSAGES</t>
  </si>
  <si>
    <t>UNDO</t>
  </si>
  <si>
    <t>TILTS/DECENTERS</t>
  </si>
  <si>
    <t>FROM</t>
  </si>
  <si>
    <t>NOTES</t>
  </si>
  <si>
    <t>Unless</t>
  </si>
  <si>
    <t>noted,</t>
  </si>
  <si>
    <t>Euler</t>
  </si>
  <si>
    <t>angles</t>
  </si>
  <si>
    <t>are</t>
  </si>
  <si>
    <t>taken</t>
  </si>
  <si>
    <t>in</t>
  </si>
  <si>
    <t>the</t>
  </si>
  <si>
    <t>order</t>
  </si>
  <si>
    <t>alpha,</t>
  </si>
  <si>
    <t>beta,</t>
  </si>
  <si>
    <t>gamma</t>
  </si>
  <si>
    <t>xTang</t>
  </si>
  <si>
    <t>Ytang</t>
  </si>
  <si>
    <t>Xtang</t>
  </si>
  <si>
    <t>Ztang</t>
  </si>
  <si>
    <t>XsagM</t>
  </si>
  <si>
    <t>YsagM</t>
  </si>
  <si>
    <t>ZsagM</t>
  </si>
  <si>
    <t>Surface vertex axis direction vector</t>
  </si>
  <si>
    <t>Surface vertex tangential vector</t>
  </si>
  <si>
    <t>Surface vertex sagittal vector</t>
  </si>
  <si>
    <t>aEuler</t>
  </si>
  <si>
    <t>bEuler</t>
  </si>
  <si>
    <t>cEuler</t>
  </si>
  <si>
    <t>Surface orientation Euler angles</t>
  </si>
  <si>
    <t>aCol</t>
  </si>
  <si>
    <t>bCol</t>
  </si>
  <si>
    <t>cCol</t>
  </si>
  <si>
    <t>f</t>
  </si>
  <si>
    <t>g</t>
  </si>
  <si>
    <t>h</t>
  </si>
  <si>
    <t>xNorm</t>
  </si>
  <si>
    <t>yNorm</t>
  </si>
  <si>
    <t>zNorm</t>
  </si>
  <si>
    <t>yTang</t>
  </si>
  <si>
    <t>zTang</t>
  </si>
  <si>
    <t>xSag</t>
  </si>
  <si>
    <t>ySag</t>
  </si>
  <si>
    <t>zSag</t>
  </si>
  <si>
    <t>TangDotNorm</t>
  </si>
  <si>
    <t>SagDotNorm</t>
  </si>
  <si>
    <t>SagDotTan</t>
  </si>
  <si>
    <t>Vertex</t>
  </si>
  <si>
    <t>Xaxis</t>
  </si>
  <si>
    <t>Yaxis</t>
  </si>
  <si>
    <t>Zaxis</t>
  </si>
  <si>
    <t>SpigLength</t>
  </si>
  <si>
    <t>DowlSep</t>
  </si>
  <si>
    <t>Distance to spigot point</t>
  </si>
  <si>
    <t>Distance to dowl point</t>
  </si>
  <si>
    <t>Theta</t>
  </si>
  <si>
    <t>Angle between surface vertex normal and spigot axis</t>
  </si>
  <si>
    <t>1-cos(theta)</t>
  </si>
  <si>
    <t>normDOTsag</t>
  </si>
  <si>
    <t>UpFlag</t>
  </si>
  <si>
    <t>Direction of exiting ray, 1 for +X</t>
  </si>
  <si>
    <t>LeftHandCorr</t>
  </si>
  <si>
    <t>NormDirCorr</t>
  </si>
  <si>
    <t>Factor applied to Zspire to transform LHS to RHS</t>
  </si>
  <si>
    <t>Factor applied to VertexNormal to point it up (+X)</t>
  </si>
  <si>
    <t>Check</t>
  </si>
  <si>
    <t>Mirror surface coordinate</t>
  </si>
  <si>
    <t>Norm</t>
  </si>
  <si>
    <t>Sag</t>
  </si>
  <si>
    <t>Tang</t>
  </si>
  <si>
    <t>SYNO</t>
  </si>
  <si>
    <t>Directions</t>
  </si>
  <si>
    <t>(BOLPHT154C)</t>
  </si>
  <si>
    <t>System identification number</t>
  </si>
  <si>
    <t>Calculations based on identification numbers:</t>
  </si>
  <si>
    <t>Filename</t>
  </si>
  <si>
    <t>Date</t>
  </si>
  <si>
    <t>Comments</t>
  </si>
  <si>
    <t>SPIREconfig01</t>
  </si>
  <si>
    <t>SPIREconfig02</t>
  </si>
  <si>
    <t>Corrected error in jumping from detector back to dichroic. Added dummy for normal on primary. Corrected sign of normals (norm = ray out - ray in).</t>
  </si>
  <si>
    <t>SPIREconfig03</t>
  </si>
  <si>
    <t>Reviewed 'comments' sheet.</t>
  </si>
  <si>
    <t>SPIREconfigPhot03</t>
  </si>
  <si>
    <t>Separate file for Phot and Spec</t>
  </si>
  <si>
    <t>SPIREconfigPhot10</t>
  </si>
  <si>
    <t>Spigot axes calculated. Transformation to IID-B ("MSSL") coordinates.</t>
  </si>
  <si>
    <t>SPIREconfigPhot11</t>
  </si>
  <si>
    <t>SPIREconfigPhot12</t>
  </si>
  <si>
    <t>Corrected Euler calculations, dowls added</t>
  </si>
  <si>
    <t>SPIREconfigPhot13</t>
  </si>
  <si>
    <t>SPIREconfigPhot20</t>
  </si>
  <si>
    <t>Entirely renovated. Error in dowl calculation eliminated.</t>
  </si>
  <si>
    <t>VertexCalc!Zsag</t>
  </si>
  <si>
    <t>VertexCalc!Xsag*COS(Theta)-VertexCalc!Ysag*SIN(Theta)</t>
  </si>
  <si>
    <t>VertexCalc!Xsag*SIN(Theta)+VertexCalc!Ysag*COS(Theta)</t>
  </si>
  <si>
    <t xml:space="preserve">Xsag = </t>
  </si>
  <si>
    <t xml:space="preserve">Ysag = </t>
  </si>
  <si>
    <t xml:space="preserve">Zsag = </t>
  </si>
  <si>
    <t xml:space="preserve">Theta = </t>
  </si>
  <si>
    <t>ACOS((Xnorm*VertexCalc!Xnorm+Ynorm*VertexCalc!Ynorm)</t>
  </si>
  <si>
    <t>/(RACINE(Xnorm^2+Ynorm^2)*RACINE(VertexCalc!Xnorm^2+VertexCalc!Ynorm^2)))</t>
  </si>
  <si>
    <t>*SIGNE(Xnorm*Ynorm))</t>
  </si>
  <si>
    <t xml:space="preserve">Xmirr = </t>
  </si>
  <si>
    <t xml:space="preserve">Ymirr = </t>
  </si>
  <si>
    <t xml:space="preserve">Zmirr = </t>
  </si>
  <si>
    <t xml:space="preserve">Ynorm = </t>
  </si>
  <si>
    <t xml:space="preserve">Znorm = </t>
  </si>
  <si>
    <t xml:space="preserve">Xnorm = </t>
  </si>
  <si>
    <t>VertexCalc!Xnorm*(Interfaces!Xmirr-VertexCalc!Xmirr)</t>
  </si>
  <si>
    <t>VertexCalc!Xsag*(Interfaces!Xmirr-VertexCalc!Xmirr)</t>
  </si>
  <si>
    <t>VertexCalc!Xtang*(Interfaces!Xmirr-VertexCalc!Xmirr)</t>
  </si>
  <si>
    <t>VertexCalc!Xnorm*Interfaces!Xnorm+VertexCalc!Ynorm*Interfaces!Ynorm</t>
  </si>
  <si>
    <t>VertexCalc!Xsag*Interfaces!Xnorm+VertexCalc!Ysag*Interfaces!Ynorm</t>
  </si>
  <si>
    <t>VertexCalc!Xtang*Interfaces!Xnorm+VertexCalc!Ytang*Interfaces!Ynorm</t>
  </si>
  <si>
    <t>SPIREconfigSpec20</t>
  </si>
  <si>
    <t>Spectrometer data</t>
  </si>
  <si>
    <t>SPECTRO</t>
  </si>
  <si>
    <t>(BOLSP501E)</t>
  </si>
  <si>
    <t>NONSEQUENTIAL</t>
  </si>
  <si>
    <t>3A</t>
  </si>
  <si>
    <t>34A</t>
  </si>
  <si>
    <t>38A</t>
  </si>
  <si>
    <t>-25.00000P</t>
  </si>
  <si>
    <t>51A</t>
  </si>
  <si>
    <t>54A</t>
  </si>
  <si>
    <t>150.00000P</t>
  </si>
  <si>
    <t>-133.20000P</t>
  </si>
  <si>
    <t>-40.00000P</t>
  </si>
  <si>
    <t>INFINITEP</t>
  </si>
  <si>
    <t>62A</t>
  </si>
  <si>
    <t>63A</t>
  </si>
  <si>
    <t>65A</t>
  </si>
  <si>
    <t>67A</t>
  </si>
  <si>
    <t>68A</t>
  </si>
  <si>
    <t>ABG</t>
  </si>
  <si>
    <t>COINCIDENT</t>
  </si>
  <si>
    <t>WITH</t>
  </si>
  <si>
    <t>Spectrometer optics</t>
  </si>
  <si>
    <t>SM6</t>
  </si>
  <si>
    <t>SCS</t>
  </si>
  <si>
    <t>SM7</t>
  </si>
  <si>
    <t>SM8A</t>
  </si>
  <si>
    <t>SBS1</t>
  </si>
  <si>
    <t>Upper arm</t>
  </si>
  <si>
    <t>SM9A</t>
  </si>
  <si>
    <t>SCCA1</t>
  </si>
  <si>
    <t>SCCA2</t>
  </si>
  <si>
    <t>SCCA3</t>
  </si>
  <si>
    <t>SBS2</t>
  </si>
  <si>
    <t>SM10A</t>
  </si>
  <si>
    <t>SM11A</t>
  </si>
  <si>
    <t>SM12A</t>
  </si>
  <si>
    <t>SSW</t>
  </si>
  <si>
    <t>Lower arm</t>
  </si>
  <si>
    <t>SM9B</t>
  </si>
  <si>
    <t>SCCB1</t>
  </si>
  <si>
    <t>SCCB2</t>
  </si>
  <si>
    <t>SCCB3</t>
  </si>
  <si>
    <t>SM10B</t>
  </si>
  <si>
    <t>SM11B</t>
  </si>
  <si>
    <t>SM12B</t>
  </si>
  <si>
    <t>SLW</t>
  </si>
  <si>
    <t>Components in upper arm</t>
  </si>
  <si>
    <t>Arm</t>
  </si>
  <si>
    <t>Up</t>
  </si>
  <si>
    <t>Lo</t>
  </si>
  <si>
    <t>Designates upper or lower spectrometer arm raytrace data</t>
  </si>
  <si>
    <t>(BOLSP501F_LO)</t>
  </si>
  <si>
    <t>25.00000P</t>
  </si>
  <si>
    <t>-150.00000P</t>
  </si>
  <si>
    <t>133.20000P</t>
  </si>
  <si>
    <t>40.00000P</t>
  </si>
  <si>
    <t>Line0Up</t>
  </si>
  <si>
    <t>Line0Lo</t>
  </si>
  <si>
    <t>SPIREconfigSpec21</t>
  </si>
  <si>
    <t>CM5 interface erroneously calculated. Calculated in photometer file so not needed in spectrometer file. Increased accuracy in interface output.</t>
  </si>
  <si>
    <t>IDlo</t>
  </si>
  <si>
    <t>IDup</t>
  </si>
  <si>
    <t>GutCalc!IDup</t>
  </si>
  <si>
    <t>GutCalc!IDlo</t>
  </si>
  <si>
    <t>VertexCalc!IDup</t>
  </si>
  <si>
    <t>VertexCalc!IDlo</t>
  </si>
  <si>
    <t>SPIREconfigSpec22</t>
  </si>
  <si>
    <t>SM6 and SM7 rotated 90 degrees</t>
  </si>
  <si>
    <t>(BOLSP501G)</t>
  </si>
  <si>
    <t>SM8B</t>
  </si>
  <si>
    <t>SPIREconfigSpec23</t>
  </si>
  <si>
    <t>SM8B added by simple reflection through Y-Z plane containing SBS 1 and 2</t>
  </si>
  <si>
    <t>Ref Arm</t>
  </si>
  <si>
    <t>SPIREconfigSpec24</t>
  </si>
  <si>
    <t>Correct spigot direction (modify automatic sign calculation) and dowl direction (add flag).</t>
  </si>
  <si>
    <t>NormDir</t>
  </si>
  <si>
    <t>Automatically determined normal direction factor</t>
  </si>
  <si>
    <t>DowlDir</t>
  </si>
  <si>
    <t>Manually entered factor (+/-1) to determine dowl direction (gen tow bench)</t>
  </si>
  <si>
    <t>SPIREconfigSpec25</t>
  </si>
  <si>
    <t>Corrected computation of SM8B interfaces</t>
  </si>
</sst>
</file>

<file path=xl/styles.xml><?xml version="1.0" encoding="utf-8"?>
<styleSheet xmlns="http://schemas.openxmlformats.org/spreadsheetml/2006/main">
  <numFmts count="2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0"/>
    <numFmt numFmtId="165" formatCode="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E+00"/>
    <numFmt numFmtId="176" formatCode="0.0E+00"/>
  </numFmts>
  <fonts count="6">
    <font>
      <sz val="10"/>
      <name val="Times New Roman"/>
      <family val="0"/>
    </font>
    <font>
      <b/>
      <sz val="10"/>
      <name val="Times New Roman"/>
      <family val="0"/>
    </font>
    <font>
      <i/>
      <sz val="10"/>
      <name val="Times New Roman"/>
      <family val="0"/>
    </font>
    <font>
      <b/>
      <i/>
      <sz val="10"/>
      <name val="Times New Roman"/>
      <family val="0"/>
    </font>
    <font>
      <sz val="10"/>
      <name val="Times"/>
      <family val="0"/>
    </font>
    <font>
      <sz val="14"/>
      <name val="Times New Roman"/>
      <family val="1"/>
    </font>
  </fonts>
  <fills count="2">
    <fill>
      <patternFill/>
    </fill>
    <fill>
      <patternFill patternType="gray125"/>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17">
    <xf numFmtId="0" fontId="0" fillId="0" borderId="0" xfId="0" applyAlignment="1">
      <alignment/>
    </xf>
    <xf numFmtId="0" fontId="0" fillId="0" borderId="0" xfId="19" applyFont="1">
      <alignment/>
      <protection/>
    </xf>
    <xf numFmtId="15" fontId="0" fillId="0" borderId="0" xfId="19" applyNumberFormat="1" applyFont="1">
      <alignment/>
      <protection/>
    </xf>
    <xf numFmtId="21" fontId="0" fillId="0" borderId="0" xfId="19" applyNumberFormat="1" applyFont="1">
      <alignment/>
      <protection/>
    </xf>
    <xf numFmtId="11" fontId="0" fillId="0" borderId="0" xfId="19" applyNumberFormat="1" applyFont="1">
      <alignment/>
      <protection/>
    </xf>
    <xf numFmtId="0" fontId="1" fillId="0" borderId="0" xfId="19" applyFont="1">
      <alignment/>
      <protection/>
    </xf>
    <xf numFmtId="0" fontId="1" fillId="0" borderId="0" xfId="19" applyFont="1" applyAlignment="1">
      <alignment horizontal="center"/>
      <protection/>
    </xf>
    <xf numFmtId="164" fontId="1" fillId="0" borderId="0" xfId="19" applyNumberFormat="1" applyFont="1" applyAlignment="1">
      <alignment horizontal="center"/>
      <protection/>
    </xf>
    <xf numFmtId="0" fontId="0" fillId="0" borderId="0" xfId="19" applyFont="1" applyAlignment="1">
      <alignment horizontal="center"/>
      <protection/>
    </xf>
    <xf numFmtId="164" fontId="0" fillId="0" borderId="0" xfId="19" applyNumberFormat="1" applyFont="1" applyAlignment="1">
      <alignment horizontal="center"/>
      <protection/>
    </xf>
    <xf numFmtId="0" fontId="0" fillId="0" borderId="1" xfId="19" applyFont="1" applyBorder="1">
      <alignment/>
      <protection/>
    </xf>
    <xf numFmtId="0" fontId="0" fillId="0" borderId="2" xfId="19" applyFont="1" applyBorder="1">
      <alignment/>
      <protection/>
    </xf>
    <xf numFmtId="0" fontId="0" fillId="0" borderId="2" xfId="19" applyFont="1" applyBorder="1" applyAlignment="1">
      <alignment horizontal="center"/>
      <protection/>
    </xf>
    <xf numFmtId="164" fontId="0" fillId="0" borderId="2" xfId="19" applyNumberFormat="1" applyFont="1" applyBorder="1" applyAlignment="1">
      <alignment horizontal="center"/>
      <protection/>
    </xf>
    <xf numFmtId="0" fontId="0" fillId="0" borderId="3" xfId="19" applyFont="1" applyBorder="1">
      <alignment/>
      <protection/>
    </xf>
    <xf numFmtId="0" fontId="0" fillId="0" borderId="4" xfId="19" applyFont="1" applyBorder="1">
      <alignment/>
      <protection/>
    </xf>
    <xf numFmtId="0" fontId="0" fillId="0" borderId="4" xfId="19" applyFont="1" applyBorder="1" applyAlignment="1">
      <alignment horizontal="center"/>
      <protection/>
    </xf>
    <xf numFmtId="164" fontId="0" fillId="0" borderId="4" xfId="19" applyNumberFormat="1" applyFont="1" applyBorder="1" applyAlignment="1">
      <alignment horizontal="center"/>
      <protection/>
    </xf>
    <xf numFmtId="0" fontId="0" fillId="0" borderId="5" xfId="19" applyFont="1" applyBorder="1">
      <alignment/>
      <protection/>
    </xf>
    <xf numFmtId="0" fontId="0" fillId="0" borderId="0" xfId="19" applyFont="1" applyBorder="1">
      <alignment/>
      <protection/>
    </xf>
    <xf numFmtId="0" fontId="0" fillId="0" borderId="0" xfId="19" applyFont="1" applyBorder="1" applyAlignment="1">
      <alignment horizontal="center"/>
      <protection/>
    </xf>
    <xf numFmtId="164" fontId="0" fillId="0" borderId="0" xfId="19" applyNumberFormat="1" applyFont="1" applyBorder="1" applyAlignment="1">
      <alignment horizontal="center"/>
      <protection/>
    </xf>
    <xf numFmtId="164" fontId="0" fillId="0" borderId="6" xfId="19" applyNumberFormat="1" applyFont="1" applyBorder="1" applyAlignment="1">
      <alignment horizontal="center"/>
      <protection/>
    </xf>
    <xf numFmtId="0" fontId="0" fillId="0" borderId="0" xfId="19" applyFont="1" applyAlignment="1">
      <alignment horizontal="left"/>
      <protection/>
    </xf>
    <xf numFmtId="0" fontId="2" fillId="0" borderId="0" xfId="19" applyFont="1">
      <alignment/>
      <protection/>
    </xf>
    <xf numFmtId="0" fontId="0" fillId="0" borderId="7" xfId="19" applyFont="1" applyBorder="1">
      <alignment/>
      <protection/>
    </xf>
    <xf numFmtId="0" fontId="0" fillId="0" borderId="6" xfId="19" applyFont="1" applyBorder="1" applyAlignment="1">
      <alignment horizontal="center"/>
      <protection/>
    </xf>
    <xf numFmtId="0" fontId="1" fillId="0" borderId="0" xfId="19" applyFont="1" applyBorder="1">
      <alignment/>
      <protection/>
    </xf>
    <xf numFmtId="0" fontId="1" fillId="0" borderId="0" xfId="19" applyFont="1" applyBorder="1" applyAlignment="1">
      <alignment horizontal="center"/>
      <protection/>
    </xf>
    <xf numFmtId="164" fontId="1" fillId="0" borderId="0" xfId="19" applyNumberFormat="1" applyFont="1" applyBorder="1" applyAlignment="1">
      <alignment horizontal="center"/>
      <protection/>
    </xf>
    <xf numFmtId="0" fontId="0" fillId="0" borderId="0" xfId="19" applyFont="1" applyBorder="1" applyAlignment="1">
      <alignment horizontal="left"/>
      <protection/>
    </xf>
    <xf numFmtId="0" fontId="2" fillId="0" borderId="0" xfId="19" applyFont="1" applyBorder="1">
      <alignment/>
      <protection/>
    </xf>
    <xf numFmtId="165" fontId="0" fillId="0" borderId="0" xfId="19" applyNumberFormat="1" applyFont="1" applyAlignment="1">
      <alignment horizontal="center"/>
      <protection/>
    </xf>
    <xf numFmtId="165" fontId="2" fillId="0" borderId="0" xfId="19" applyNumberFormat="1" applyFont="1" applyAlignment="1">
      <alignment horizontal="center"/>
      <protection/>
    </xf>
    <xf numFmtId="165" fontId="1" fillId="0" borderId="0" xfId="19" applyNumberFormat="1" applyFont="1" applyAlignment="1">
      <alignment horizontal="center"/>
      <protection/>
    </xf>
    <xf numFmtId="176" fontId="1" fillId="0" borderId="0" xfId="19" applyNumberFormat="1" applyFont="1" applyAlignment="1">
      <alignment horizontal="center"/>
      <protection/>
    </xf>
    <xf numFmtId="176" fontId="0" fillId="0" borderId="0" xfId="19" applyNumberFormat="1" applyFont="1" applyAlignment="1">
      <alignment horizontal="center"/>
      <protection/>
    </xf>
    <xf numFmtId="176" fontId="0" fillId="0" borderId="0" xfId="19" applyNumberFormat="1" applyFont="1">
      <alignment/>
      <protection/>
    </xf>
    <xf numFmtId="165" fontId="1" fillId="0" borderId="1" xfId="19" applyNumberFormat="1" applyFont="1" applyBorder="1" applyAlignment="1">
      <alignment horizontal="center"/>
      <protection/>
    </xf>
    <xf numFmtId="165" fontId="1" fillId="0" borderId="2" xfId="19" applyNumberFormat="1" applyFont="1" applyBorder="1" applyAlignment="1">
      <alignment horizontal="center"/>
      <protection/>
    </xf>
    <xf numFmtId="165" fontId="1" fillId="0" borderId="8" xfId="19" applyNumberFormat="1" applyFont="1" applyBorder="1" applyAlignment="1">
      <alignment horizontal="center"/>
      <protection/>
    </xf>
    <xf numFmtId="165" fontId="0" fillId="0" borderId="5" xfId="19" applyNumberFormat="1" applyFont="1" applyBorder="1" applyAlignment="1">
      <alignment horizontal="center"/>
      <protection/>
    </xf>
    <xf numFmtId="165" fontId="0" fillId="0" borderId="0" xfId="19" applyNumberFormat="1" applyFont="1" applyBorder="1" applyAlignment="1">
      <alignment horizontal="center"/>
      <protection/>
    </xf>
    <xf numFmtId="165" fontId="0" fillId="0" borderId="6" xfId="19" applyNumberFormat="1" applyFont="1" applyBorder="1" applyAlignment="1">
      <alignment horizontal="center"/>
      <protection/>
    </xf>
    <xf numFmtId="165" fontId="0" fillId="0" borderId="1" xfId="19" applyNumberFormat="1" applyFont="1" applyBorder="1" applyAlignment="1">
      <alignment horizontal="center"/>
      <protection/>
    </xf>
    <xf numFmtId="165" fontId="0" fillId="0" borderId="2" xfId="19" applyNumberFormat="1" applyFont="1" applyBorder="1" applyAlignment="1">
      <alignment horizontal="center"/>
      <protection/>
    </xf>
    <xf numFmtId="165" fontId="0" fillId="0" borderId="8" xfId="19" applyNumberFormat="1" applyFont="1" applyBorder="1" applyAlignment="1">
      <alignment horizontal="center"/>
      <protection/>
    </xf>
    <xf numFmtId="165" fontId="0" fillId="0" borderId="3" xfId="19" applyNumberFormat="1" applyFont="1" applyBorder="1" applyAlignment="1">
      <alignment horizontal="center"/>
      <protection/>
    </xf>
    <xf numFmtId="165" fontId="0" fillId="0" borderId="4" xfId="19" applyNumberFormat="1" applyFont="1" applyBorder="1" applyAlignment="1">
      <alignment horizontal="center"/>
      <protection/>
    </xf>
    <xf numFmtId="165" fontId="0" fillId="0" borderId="9" xfId="19" applyNumberFormat="1" applyFont="1" applyBorder="1" applyAlignment="1">
      <alignment horizontal="center"/>
      <protection/>
    </xf>
    <xf numFmtId="165" fontId="1" fillId="0" borderId="0" xfId="19" applyNumberFormat="1" applyFont="1">
      <alignment/>
      <protection/>
    </xf>
    <xf numFmtId="165" fontId="1" fillId="0" borderId="0" xfId="19" applyNumberFormat="1" applyFont="1" applyBorder="1" applyAlignment="1">
      <alignment horizontal="center"/>
      <protection/>
    </xf>
    <xf numFmtId="165" fontId="0" fillId="0" borderId="0" xfId="19" applyNumberFormat="1" applyFont="1">
      <alignment/>
      <protection/>
    </xf>
    <xf numFmtId="165" fontId="0" fillId="0" borderId="7" xfId="19" applyNumberFormat="1" applyFont="1" applyBorder="1">
      <alignment/>
      <protection/>
    </xf>
    <xf numFmtId="165" fontId="0" fillId="0" borderId="0" xfId="19" applyNumberFormat="1" applyFont="1" applyBorder="1">
      <alignment/>
      <protection/>
    </xf>
    <xf numFmtId="165" fontId="2" fillId="0" borderId="0" xfId="19" applyNumberFormat="1" applyFont="1">
      <alignment/>
      <protection/>
    </xf>
    <xf numFmtId="176" fontId="0" fillId="0" borderId="2" xfId="19" applyNumberFormat="1" applyFont="1" applyBorder="1" applyAlignment="1">
      <alignment horizontal="center"/>
      <protection/>
    </xf>
    <xf numFmtId="176" fontId="0" fillId="0" borderId="4" xfId="19" applyNumberFormat="1" applyFont="1" applyBorder="1" applyAlignment="1">
      <alignment horizontal="center"/>
      <protection/>
    </xf>
    <xf numFmtId="176" fontId="1" fillId="0" borderId="0" xfId="19" applyNumberFormat="1" applyFont="1" applyBorder="1" applyAlignment="1">
      <alignment horizontal="center"/>
      <protection/>
    </xf>
    <xf numFmtId="176" fontId="0" fillId="0" borderId="0" xfId="19" applyNumberFormat="1" applyFont="1" applyBorder="1" applyAlignment="1">
      <alignment horizontal="center"/>
      <protection/>
    </xf>
    <xf numFmtId="165" fontId="2" fillId="0" borderId="0" xfId="19" applyNumberFormat="1" applyFont="1" applyBorder="1" applyAlignment="1">
      <alignment horizontal="center"/>
      <protection/>
    </xf>
    <xf numFmtId="0" fontId="1" fillId="0" borderId="0" xfId="19" applyFont="1" applyAlignment="1">
      <alignment vertical="top"/>
      <protection/>
    </xf>
    <xf numFmtId="0" fontId="1" fillId="0" borderId="0" xfId="19" applyFont="1" applyAlignment="1">
      <alignment horizontal="left" vertical="top"/>
      <protection/>
    </xf>
    <xf numFmtId="49" fontId="1" fillId="0" borderId="0" xfId="19" applyNumberFormat="1" applyFont="1" applyAlignment="1">
      <alignment wrapText="1"/>
      <protection/>
    </xf>
    <xf numFmtId="0" fontId="0" fillId="0" borderId="0" xfId="19" applyFont="1" applyAlignment="1">
      <alignment vertical="top"/>
      <protection/>
    </xf>
    <xf numFmtId="0" fontId="0" fillId="0" borderId="0" xfId="19" applyFont="1" applyAlignment="1">
      <alignment horizontal="left" vertical="top"/>
      <protection/>
    </xf>
    <xf numFmtId="49" fontId="0" fillId="0" borderId="0" xfId="19" applyNumberFormat="1" applyFont="1" applyAlignment="1">
      <alignment wrapText="1"/>
      <protection/>
    </xf>
    <xf numFmtId="0" fontId="0" fillId="0" borderId="0" xfId="0" applyAlignment="1">
      <alignment horizontal="right"/>
    </xf>
    <xf numFmtId="165" fontId="0" fillId="0" borderId="0" xfId="19" applyNumberFormat="1" applyFont="1" applyBorder="1" applyAlignment="1">
      <alignment horizontal="left"/>
      <protection/>
    </xf>
    <xf numFmtId="165" fontId="1" fillId="0" borderId="6" xfId="19" applyNumberFormat="1" applyFont="1" applyBorder="1" applyAlignment="1">
      <alignment horizontal="center"/>
      <protection/>
    </xf>
    <xf numFmtId="0" fontId="0" fillId="0" borderId="0" xfId="0" applyBorder="1" applyAlignment="1">
      <alignment/>
    </xf>
    <xf numFmtId="165" fontId="1" fillId="0" borderId="10" xfId="19" applyNumberFormat="1" applyFont="1" applyBorder="1" applyAlignment="1">
      <alignment horizontal="center"/>
      <protection/>
    </xf>
    <xf numFmtId="165" fontId="0" fillId="0" borderId="11" xfId="19" applyNumberFormat="1" applyFont="1" applyBorder="1" applyAlignment="1">
      <alignment horizontal="center"/>
      <protection/>
    </xf>
    <xf numFmtId="165" fontId="0" fillId="0" borderId="12" xfId="19" applyNumberFormat="1" applyFont="1" applyBorder="1" applyAlignment="1">
      <alignment horizontal="center"/>
      <protection/>
    </xf>
    <xf numFmtId="165" fontId="0" fillId="0" borderId="10" xfId="19" applyNumberFormat="1" applyFont="1" applyBorder="1" applyAlignment="1">
      <alignment horizontal="center"/>
      <protection/>
    </xf>
    <xf numFmtId="0" fontId="0" fillId="0" borderId="13" xfId="19" applyFont="1" applyBorder="1">
      <alignment/>
      <protection/>
    </xf>
    <xf numFmtId="0" fontId="0" fillId="0" borderId="14" xfId="19" applyFont="1" applyBorder="1">
      <alignment/>
      <protection/>
    </xf>
    <xf numFmtId="164" fontId="1" fillId="0" borderId="14" xfId="19" applyNumberFormat="1" applyFont="1" applyBorder="1" applyAlignment="1">
      <alignment horizontal="center"/>
      <protection/>
    </xf>
    <xf numFmtId="0" fontId="1" fillId="0" borderId="14" xfId="19" applyFont="1" applyBorder="1" applyAlignment="1">
      <alignment horizontal="center"/>
      <protection/>
    </xf>
    <xf numFmtId="165" fontId="1" fillId="0" borderId="14" xfId="19" applyNumberFormat="1" applyFont="1" applyBorder="1" applyAlignment="1">
      <alignment horizontal="center"/>
      <protection/>
    </xf>
    <xf numFmtId="164" fontId="1" fillId="0" borderId="1" xfId="19" applyNumberFormat="1" applyFont="1" applyBorder="1" applyAlignment="1">
      <alignment horizontal="center"/>
      <protection/>
    </xf>
    <xf numFmtId="164" fontId="1" fillId="0" borderId="2" xfId="19" applyNumberFormat="1" applyFont="1" applyBorder="1" applyAlignment="1">
      <alignment horizontal="center"/>
      <protection/>
    </xf>
    <xf numFmtId="164" fontId="1" fillId="0" borderId="8" xfId="19" applyNumberFormat="1" applyFont="1" applyBorder="1" applyAlignment="1">
      <alignment horizontal="center"/>
      <protection/>
    </xf>
    <xf numFmtId="164" fontId="0" fillId="0" borderId="5" xfId="19" applyNumberFormat="1" applyFont="1" applyBorder="1" applyAlignment="1">
      <alignment horizontal="center"/>
      <protection/>
    </xf>
    <xf numFmtId="164" fontId="1" fillId="0" borderId="13" xfId="19" applyNumberFormat="1" applyFont="1" applyBorder="1" applyAlignment="1">
      <alignment horizontal="center"/>
      <protection/>
    </xf>
    <xf numFmtId="164" fontId="1" fillId="0" borderId="15" xfId="19" applyNumberFormat="1" applyFont="1" applyBorder="1" applyAlignment="1">
      <alignment horizontal="center"/>
      <protection/>
    </xf>
    <xf numFmtId="0" fontId="1" fillId="0" borderId="10" xfId="19" applyFont="1" applyBorder="1" applyAlignment="1">
      <alignment horizontal="center"/>
      <protection/>
    </xf>
    <xf numFmtId="0" fontId="0" fillId="0" borderId="11" xfId="19" applyFont="1" applyBorder="1" applyAlignment="1">
      <alignment horizontal="center"/>
      <protection/>
    </xf>
    <xf numFmtId="0" fontId="1" fillId="0" borderId="7" xfId="19" applyFont="1" applyBorder="1" applyAlignment="1">
      <alignment horizontal="center"/>
      <protection/>
    </xf>
    <xf numFmtId="0" fontId="1" fillId="0" borderId="1" xfId="19" applyFont="1" applyBorder="1" applyAlignment="1">
      <alignment horizontal="center"/>
      <protection/>
    </xf>
    <xf numFmtId="0" fontId="1" fillId="0" borderId="2" xfId="19" applyFont="1" applyBorder="1" applyAlignment="1">
      <alignment horizontal="center"/>
      <protection/>
    </xf>
    <xf numFmtId="0" fontId="1" fillId="0" borderId="8" xfId="19" applyFont="1" applyBorder="1" applyAlignment="1">
      <alignment horizontal="center"/>
      <protection/>
    </xf>
    <xf numFmtId="0" fontId="0" fillId="0" borderId="5" xfId="19" applyFont="1" applyBorder="1" applyAlignment="1">
      <alignment horizontal="center"/>
      <protection/>
    </xf>
    <xf numFmtId="0" fontId="1" fillId="0" borderId="13" xfId="19" applyFont="1" applyBorder="1" applyAlignment="1">
      <alignment horizontal="center"/>
      <protection/>
    </xf>
    <xf numFmtId="0" fontId="1" fillId="0" borderId="15" xfId="19" applyFont="1" applyBorder="1" applyAlignment="1">
      <alignment horizontal="center"/>
      <protection/>
    </xf>
    <xf numFmtId="176" fontId="1" fillId="0" borderId="7" xfId="19" applyNumberFormat="1" applyFont="1" applyBorder="1" applyAlignment="1">
      <alignment horizontal="center"/>
      <protection/>
    </xf>
    <xf numFmtId="176" fontId="0" fillId="0" borderId="11" xfId="19" applyNumberFormat="1" applyFont="1" applyBorder="1" applyAlignment="1">
      <alignment horizontal="center"/>
      <protection/>
    </xf>
    <xf numFmtId="176" fontId="0" fillId="0" borderId="11" xfId="19" applyNumberFormat="1" applyFont="1" applyBorder="1">
      <alignment/>
      <protection/>
    </xf>
    <xf numFmtId="0" fontId="1" fillId="0" borderId="10" xfId="19" applyFont="1" applyBorder="1">
      <alignment/>
      <protection/>
    </xf>
    <xf numFmtId="165" fontId="1" fillId="0" borderId="7" xfId="19" applyNumberFormat="1" applyFont="1" applyBorder="1" applyAlignment="1">
      <alignment horizontal="center"/>
      <protection/>
    </xf>
    <xf numFmtId="0" fontId="0" fillId="0" borderId="11" xfId="19" applyFont="1" applyBorder="1">
      <alignment/>
      <protection/>
    </xf>
    <xf numFmtId="167" fontId="1" fillId="0" borderId="1" xfId="19" applyNumberFormat="1" applyFont="1" applyBorder="1" applyAlignment="1">
      <alignment horizontal="center"/>
      <protection/>
    </xf>
    <xf numFmtId="167" fontId="1" fillId="0" borderId="2" xfId="19" applyNumberFormat="1" applyFont="1" applyBorder="1" applyAlignment="1">
      <alignment horizontal="center"/>
      <protection/>
    </xf>
    <xf numFmtId="167" fontId="1" fillId="0" borderId="8" xfId="19" applyNumberFormat="1" applyFont="1" applyBorder="1" applyAlignment="1">
      <alignment horizontal="center"/>
      <protection/>
    </xf>
    <xf numFmtId="167" fontId="1" fillId="0" borderId="0" xfId="19" applyNumberFormat="1" applyFont="1" applyBorder="1" applyAlignment="1">
      <alignment horizontal="center"/>
      <protection/>
    </xf>
    <xf numFmtId="167" fontId="0" fillId="0" borderId="5" xfId="19" applyNumberFormat="1" applyFont="1" applyBorder="1" applyAlignment="1">
      <alignment horizontal="center"/>
      <protection/>
    </xf>
    <xf numFmtId="167" fontId="0" fillId="0" borderId="0" xfId="19" applyNumberFormat="1" applyFont="1" applyBorder="1" applyAlignment="1">
      <alignment horizontal="center"/>
      <protection/>
    </xf>
    <xf numFmtId="167" fontId="0" fillId="0" borderId="6" xfId="19" applyNumberFormat="1" applyFont="1" applyBorder="1" applyAlignment="1">
      <alignment horizontal="center"/>
      <protection/>
    </xf>
    <xf numFmtId="167" fontId="0" fillId="0" borderId="1" xfId="19" applyNumberFormat="1" applyFont="1" applyBorder="1" applyAlignment="1">
      <alignment horizontal="center"/>
      <protection/>
    </xf>
    <xf numFmtId="167" fontId="0" fillId="0" borderId="2" xfId="19" applyNumberFormat="1" applyFont="1" applyBorder="1" applyAlignment="1">
      <alignment horizontal="center"/>
      <protection/>
    </xf>
    <xf numFmtId="167" fontId="0" fillId="0" borderId="8" xfId="19" applyNumberFormat="1" applyFont="1" applyBorder="1" applyAlignment="1">
      <alignment horizontal="center"/>
      <protection/>
    </xf>
    <xf numFmtId="167" fontId="0" fillId="0" borderId="3" xfId="19" applyNumberFormat="1" applyFont="1" applyBorder="1" applyAlignment="1">
      <alignment horizontal="center"/>
      <protection/>
    </xf>
    <xf numFmtId="167" fontId="0" fillId="0" borderId="4" xfId="19" applyNumberFormat="1" applyFont="1" applyBorder="1" applyAlignment="1">
      <alignment horizontal="center"/>
      <protection/>
    </xf>
    <xf numFmtId="167" fontId="0" fillId="0" borderId="9" xfId="19" applyNumberFormat="1" applyFont="1" applyBorder="1" applyAlignment="1">
      <alignment horizontal="center"/>
      <protection/>
    </xf>
    <xf numFmtId="167" fontId="0" fillId="0" borderId="14" xfId="19" applyNumberFormat="1" applyFont="1" applyBorder="1" applyAlignment="1">
      <alignment horizontal="center"/>
      <protection/>
    </xf>
    <xf numFmtId="0" fontId="0" fillId="0" borderId="14" xfId="19" applyFont="1" applyBorder="1" applyAlignment="1">
      <alignment horizontal="center"/>
      <protection/>
    </xf>
    <xf numFmtId="0" fontId="2" fillId="0" borderId="0" xfId="19" applyFont="1" applyBorder="1" applyAlignment="1">
      <alignment horizontal="center"/>
      <protection/>
    </xf>
  </cellXfs>
  <cellStyles count="7">
    <cellStyle name="Normal" xfId="0"/>
    <cellStyle name="Comma" xfId="15"/>
    <cellStyle name="Comma [0]" xfId="16"/>
    <cellStyle name="Currency" xfId="17"/>
    <cellStyle name="Currency [0]" xfId="18"/>
    <cellStyle name="Normal_Feuil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95250</xdr:rowOff>
    </xdr:from>
    <xdr:to>
      <xdr:col>9</xdr:col>
      <xdr:colOff>219075</xdr:colOff>
      <xdr:row>61</xdr:row>
      <xdr:rowOff>104775</xdr:rowOff>
    </xdr:to>
    <xdr:sp>
      <xdr:nvSpPr>
        <xdr:cNvPr id="1" name="TextBox 1"/>
        <xdr:cNvSpPr txBox="1">
          <a:spLocks noChangeArrowheads="1"/>
        </xdr:cNvSpPr>
      </xdr:nvSpPr>
      <xdr:spPr>
        <a:xfrm>
          <a:off x="57150" y="5438775"/>
          <a:ext cx="6572250" cy="454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Contents:
</a:t>
          </a:r>
          <a:r>
            <a:rPr lang="en-US" cap="none" sz="1000" b="0" i="0" u="none" baseline="0">
              <a:latin typeface="Times New Roman"/>
              <a:ea typeface="Times New Roman"/>
              <a:cs typeface="Times New Roman"/>
            </a:rPr>
            <a:t>
The file contains the following spreadsheets:
</a:t>
          </a:r>
          <a:r>
            <a:rPr lang="en-US" cap="none" sz="1000" b="1" i="0" u="none" baseline="0">
              <a:latin typeface="Times New Roman"/>
              <a:ea typeface="Times New Roman"/>
              <a:cs typeface="Times New Roman"/>
            </a:rPr>
            <a:t>Introduction:</a:t>
          </a:r>
          <a:r>
            <a:rPr lang="en-US" cap="none" sz="1000" b="0" i="0" u="none" baseline="0">
              <a:latin typeface="Times New Roman"/>
              <a:ea typeface="Times New Roman"/>
              <a:cs typeface="Times New Roman"/>
            </a:rPr>
            <a:t> This sheet.
</a:t>
          </a:r>
          <a:r>
            <a:rPr lang="en-US" cap="none" sz="1000" b="1" i="0" u="none" baseline="0">
              <a:latin typeface="Times New Roman"/>
              <a:ea typeface="Times New Roman"/>
              <a:cs typeface="Times New Roman"/>
            </a:rPr>
            <a:t>History: </a:t>
          </a:r>
          <a:r>
            <a:rPr lang="en-US" cap="none" sz="1000" b="0" i="0" u="none" baseline="0">
              <a:latin typeface="Times New Roman"/>
              <a:ea typeface="Times New Roman"/>
              <a:cs typeface="Times New Roman"/>
            </a:rPr>
            <a:t>Evolution history of the file
</a:t>
          </a: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Variables:</a:t>
          </a:r>
          <a:r>
            <a:rPr lang="en-US" cap="none" sz="1000" b="0" i="0" u="none" baseline="0">
              <a:latin typeface="Times New Roman"/>
              <a:ea typeface="Times New Roman"/>
              <a:cs typeface="Times New Roman"/>
            </a:rPr>
            <a:t> List of variables
</a:t>
          </a:r>
          <a:r>
            <a:rPr lang="en-US" cap="none" sz="1000" b="0" i="1" u="none" baseline="0">
              <a:latin typeface="Times New Roman"/>
              <a:ea typeface="Times New Roman"/>
              <a:cs typeface="Times New Roman"/>
            </a:rPr>
            <a:t>Final results:</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GutRayImpacts: </a:t>
          </a:r>
          <a:r>
            <a:rPr lang="en-US" cap="none" sz="1000" b="0" i="0" u="none" baseline="0">
              <a:latin typeface="Times New Roman"/>
              <a:ea typeface="Times New Roman"/>
              <a:cs typeface="Times New Roman"/>
            </a:rPr>
            <a:t>Coordinates of gut ray impacts on each surface
</a:t>
          </a:r>
          <a:r>
            <a:rPr lang="en-US" cap="none" sz="1000" b="1" i="0" u="none" baseline="0">
              <a:latin typeface="Times New Roman"/>
              <a:ea typeface="Times New Roman"/>
              <a:cs typeface="Times New Roman"/>
            </a:rPr>
            <a:t>Interfaces:</a:t>
          </a:r>
          <a:r>
            <a:rPr lang="en-US" cap="none" sz="1000" b="0" i="0" u="none" baseline="0">
              <a:latin typeface="Times New Roman"/>
              <a:ea typeface="Times New Roman"/>
              <a:cs typeface="Times New Roman"/>
            </a:rPr>
            <a:t> Coordinztes defining mirror interfaces in global coordinates</a:t>
          </a:r>
          <a:r>
            <a:rPr lang="en-US" cap="none" sz="1000" b="1" i="0" u="none" baseline="0">
              <a:latin typeface="Times New Roman"/>
              <a:ea typeface="Times New Roman"/>
              <a:cs typeface="Times New Roman"/>
            </a:rPr>
            <a:t>
SurfDef:</a:t>
          </a:r>
          <a:r>
            <a:rPr lang="en-US" cap="none" sz="1000" b="0" i="0" u="none" baseline="0">
              <a:latin typeface="Times New Roman"/>
              <a:ea typeface="Times New Roman"/>
              <a:cs typeface="Times New Roman"/>
            </a:rPr>
            <a:t> Coordinztes defining mirror interfaces in local coordinates
</a:t>
          </a:r>
          <a:r>
            <a:rPr lang="en-US" cap="none" sz="1000" b="0" i="1" u="none" baseline="0">
              <a:latin typeface="Times New Roman"/>
              <a:ea typeface="Times New Roman"/>
              <a:cs typeface="Times New Roman"/>
            </a:rPr>
            <a:t>Intermediate calculations:</a:t>
          </a:r>
          <a:r>
            <a:rPr lang="en-US" cap="none" sz="1000" b="1" i="0" u="none" baseline="0">
              <a:latin typeface="Times New Roman"/>
              <a:ea typeface="Times New Roman"/>
              <a:cs typeface="Times New Roman"/>
            </a:rPr>
            <a:t>
GutCalc:</a:t>
          </a:r>
          <a:r>
            <a:rPr lang="en-US" cap="none" sz="1000" b="0" i="0" u="none" baseline="0">
              <a:latin typeface="Times New Roman"/>
              <a:ea typeface="Times New Roman"/>
              <a:cs typeface="Times New Roman"/>
            </a:rPr>
            <a:t> Calculating surface normal vectors at gut ray impacts</a:t>
          </a:r>
          <a:r>
            <a:rPr lang="en-US" cap="none" sz="1000" b="1" i="0" u="none" baseline="0">
              <a:latin typeface="Times New Roman"/>
              <a:ea typeface="Times New Roman"/>
              <a:cs typeface="Times New Roman"/>
            </a:rPr>
            <a:t>
M3CentCalc: </a:t>
          </a:r>
          <a:r>
            <a:rPr lang="en-US" cap="none" sz="1000" b="0" i="0" u="none" baseline="0">
              <a:latin typeface="Times New Roman"/>
              <a:ea typeface="Times New Roman"/>
              <a:cs typeface="Times New Roman"/>
            </a:rPr>
            <a:t>Calculating surface normal vectors at centre of M3</a:t>
          </a:r>
          <a:r>
            <a:rPr lang="en-US" cap="none" sz="1000" b="1" i="0" u="none" baseline="0">
              <a:latin typeface="Times New Roman"/>
              <a:ea typeface="Times New Roman"/>
              <a:cs typeface="Times New Roman"/>
            </a:rPr>
            <a:t>
M5CentCalc: </a:t>
          </a:r>
          <a:r>
            <a:rPr lang="en-US" cap="none" sz="1000" b="0" i="0" u="none" baseline="0">
              <a:latin typeface="Times New Roman"/>
              <a:ea typeface="Times New Roman"/>
              <a:cs typeface="Times New Roman"/>
            </a:rPr>
            <a:t>Calculating surface normal vectors at centre of M5</a:t>
          </a:r>
          <a:r>
            <a:rPr lang="en-US" cap="none" sz="1000" b="1" i="0" u="none" baseline="0">
              <a:latin typeface="Times New Roman"/>
              <a:ea typeface="Times New Roman"/>
              <a:cs typeface="Times New Roman"/>
            </a:rPr>
            <a:t>
VertexCalc: </a:t>
          </a:r>
          <a:r>
            <a:rPr lang="en-US" cap="none" sz="1000" b="0" i="0" u="none" baseline="0">
              <a:latin typeface="Times New Roman"/>
              <a:ea typeface="Times New Roman"/>
              <a:cs typeface="Times New Roman"/>
            </a:rPr>
            <a:t>Transform vertex data into instrument coordinates</a:t>
          </a:r>
          <a:r>
            <a:rPr lang="en-US" cap="none" sz="1000" b="1" i="0" u="none" baseline="0">
              <a:latin typeface="Times New Roman"/>
              <a:ea typeface="Times New Roman"/>
              <a:cs typeface="Times New Roman"/>
            </a:rPr>
            <a:t>
VerticesSyno: </a:t>
          </a:r>
          <a:r>
            <a:rPr lang="en-US" cap="none" sz="1000" b="0" i="0" u="none" baseline="0">
              <a:latin typeface="Times New Roman"/>
              <a:ea typeface="Times New Roman"/>
              <a:cs typeface="Times New Roman"/>
            </a:rPr>
            <a:t>Read vertex data from SYNO output and calculate local axes</a:t>
          </a:r>
          <a:r>
            <a:rPr lang="en-US" cap="none" sz="1000" b="1" i="0" u="none" baseline="0">
              <a:latin typeface="Times New Roman"/>
              <a:ea typeface="Times New Roman"/>
              <a:cs typeface="Times New Roman"/>
            </a:rPr>
            <a:t>
RayImpacts: </a:t>
          </a:r>
          <a:r>
            <a:rPr lang="en-US" cap="none" sz="1000" b="0" i="0" u="none" baseline="0">
              <a:latin typeface="Times New Roman"/>
              <a:ea typeface="Times New Roman"/>
              <a:cs typeface="Times New Roman"/>
            </a:rPr>
            <a:t>Transform ray impact data into instrument coordinates</a:t>
          </a:r>
          <a:r>
            <a:rPr lang="en-US" cap="none" sz="1000" b="1" i="0" u="none" baseline="0">
              <a:latin typeface="Times New Roman"/>
              <a:ea typeface="Times New Roman"/>
              <a:cs typeface="Times New Roman"/>
            </a:rPr>
            <a:t>
RayImpactsSyno:</a:t>
          </a:r>
          <a:r>
            <a:rPr lang="en-US" cap="none" sz="1000" b="0" i="0" u="none" baseline="0">
              <a:latin typeface="Times New Roman"/>
              <a:ea typeface="Times New Roman"/>
              <a:cs typeface="Times New Roman"/>
            </a:rPr>
            <a:t> Read ray impact data from SYNO output
</a:t>
          </a:r>
          <a:r>
            <a:rPr lang="en-US" cap="none" sz="1000" b="0" i="1" u="none" baseline="0">
              <a:latin typeface="Times New Roman"/>
              <a:ea typeface="Times New Roman"/>
              <a:cs typeface="Times New Roman"/>
            </a:rPr>
            <a:t>SYNOPSYS outputs:</a:t>
          </a:r>
          <a:r>
            <a:rPr lang="en-US" cap="none" sz="1000" b="1" i="0" u="none" baseline="0">
              <a:latin typeface="Times New Roman"/>
              <a:ea typeface="Times New Roman"/>
              <a:cs typeface="Times New Roman"/>
            </a:rPr>
            <a:t>
SpecGlobUp: </a:t>
          </a:r>
          <a:r>
            <a:rPr lang="en-US" cap="none" sz="1000" b="0" i="0" u="none" baseline="0">
              <a:latin typeface="Times New Roman"/>
              <a:ea typeface="Times New Roman"/>
              <a:cs typeface="Times New Roman"/>
            </a:rPr>
            <a:t>System listing with surface data in global coordinates and Euler angles, upper arm (BOLSPECGLOB01.MAC)</a:t>
          </a:r>
          <a:r>
            <a:rPr lang="en-US" cap="none" sz="1000" b="1" i="0" u="none" baseline="0">
              <a:latin typeface="Times New Roman"/>
              <a:ea typeface="Times New Roman"/>
              <a:cs typeface="Times New Roman"/>
            </a:rPr>
            <a:t>
SpecGlobLo: </a:t>
          </a:r>
          <a:r>
            <a:rPr lang="en-US" cap="none" sz="1000" b="0" i="0" u="none" baseline="0">
              <a:latin typeface="Times New Roman"/>
              <a:ea typeface="Times New Roman"/>
              <a:cs typeface="Times New Roman"/>
            </a:rPr>
            <a:t>System listing with surface data in global coordinates and Euler angles, lower arm (BOLSPECGLOB01.MAC)</a:t>
          </a:r>
          <a:r>
            <a:rPr lang="en-US" cap="none" sz="1000" b="1" i="0" u="none" baseline="0">
              <a:latin typeface="Times New Roman"/>
              <a:ea typeface="Times New Roman"/>
              <a:cs typeface="Times New Roman"/>
            </a:rPr>
            <a:t>
GutRayUp: </a:t>
          </a:r>
          <a:r>
            <a:rPr lang="en-US" cap="none" sz="1000" b="0" i="0" u="none" baseline="0">
              <a:latin typeface="Times New Roman"/>
              <a:ea typeface="Times New Roman"/>
              <a:cs typeface="Times New Roman"/>
            </a:rPr>
            <a:t>Ray impacts for gut ray in global coordinates, upper arm (BOLGUTGLOB01.MAC)</a:t>
          </a:r>
          <a:r>
            <a:rPr lang="en-US" cap="none" sz="1000" b="1" i="0" u="none" baseline="0">
              <a:latin typeface="Times New Roman"/>
              <a:ea typeface="Times New Roman"/>
              <a:cs typeface="Times New Roman"/>
            </a:rPr>
            <a:t>
GutRayLo: </a:t>
          </a:r>
          <a:r>
            <a:rPr lang="en-US" cap="none" sz="1000" b="0" i="0" u="none" baseline="0">
              <a:latin typeface="Times New Roman"/>
              <a:ea typeface="Times New Roman"/>
              <a:cs typeface="Times New Roman"/>
            </a:rPr>
            <a:t>Ray impacts for gut ray in global coordinates, lower arm (BOLGUTGLOB01.MAC)</a:t>
          </a:r>
          <a:r>
            <a:rPr lang="en-US" cap="none" sz="1000" b="1" i="0" u="none" baseline="0">
              <a:latin typeface="Times New Roman"/>
              <a:ea typeface="Times New Roman"/>
              <a:cs typeface="Times New Roman"/>
            </a:rPr>
            <a:t>
M3CentRay:</a:t>
          </a:r>
          <a:r>
            <a:rPr lang="en-US" cap="none" sz="1000" b="0" i="0" u="none" baseline="0">
              <a:latin typeface="Times New Roman"/>
              <a:ea typeface="Times New Roman"/>
              <a:cs typeface="Times New Roman"/>
            </a:rPr>
            <a:t> Ray impacts for ray centred on M3 in global coordinates (BOLGUTGLOB02.MAC)</a:t>
          </a:r>
          <a:r>
            <a:rPr lang="en-US" cap="none" sz="1000" b="1" i="0" u="none" baseline="0">
              <a:latin typeface="Times New Roman"/>
              <a:ea typeface="Times New Roman"/>
              <a:cs typeface="Times New Roman"/>
            </a:rPr>
            <a:t>
M5CentRay:</a:t>
          </a:r>
          <a:r>
            <a:rPr lang="en-US" cap="none" sz="1000" b="0" i="0" u="none" baseline="0">
              <a:latin typeface="Times New Roman"/>
              <a:ea typeface="Times New Roman"/>
              <a:cs typeface="Times New Roman"/>
            </a:rPr>
            <a:t> Ray impacts for ray centred on M5 in global coordinates (BOLGUTGLOB02.MAC)</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0</xdr:row>
      <xdr:rowOff>104775</xdr:rowOff>
    </xdr:from>
    <xdr:to>
      <xdr:col>6</xdr:col>
      <xdr:colOff>38100</xdr:colOff>
      <xdr:row>5</xdr:row>
      <xdr:rowOff>47625</xdr:rowOff>
    </xdr:to>
    <xdr:sp>
      <xdr:nvSpPr>
        <xdr:cNvPr id="2" name="TextBox 2"/>
        <xdr:cNvSpPr txBox="1">
          <a:spLocks noChangeArrowheads="1"/>
        </xdr:cNvSpPr>
      </xdr:nvSpPr>
      <xdr:spPr>
        <a:xfrm>
          <a:off x="752475" y="104775"/>
          <a:ext cx="3638550"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Times New Roman"/>
              <a:ea typeface="Times New Roman"/>
              <a:cs typeface="Times New Roman"/>
            </a:rPr>
            <a:t>FIRST - SPIRE 
Optical design configuration control file
SPECTROMETER
</a:t>
          </a:r>
        </a:p>
      </xdr:txBody>
    </xdr:sp>
    <xdr:clientData/>
  </xdr:twoCellAnchor>
  <xdr:twoCellAnchor>
    <xdr:from>
      <xdr:col>1</xdr:col>
      <xdr:colOff>28575</xdr:colOff>
      <xdr:row>5</xdr:row>
      <xdr:rowOff>152400</xdr:rowOff>
    </xdr:from>
    <xdr:to>
      <xdr:col>6</xdr:col>
      <xdr:colOff>85725</xdr:colOff>
      <xdr:row>8</xdr:row>
      <xdr:rowOff>66675</xdr:rowOff>
    </xdr:to>
    <xdr:sp>
      <xdr:nvSpPr>
        <xdr:cNvPr id="3" name="TextBox 3"/>
        <xdr:cNvSpPr txBox="1">
          <a:spLocks noChangeArrowheads="1"/>
        </xdr:cNvSpPr>
      </xdr:nvSpPr>
      <xdr:spPr>
        <a:xfrm>
          <a:off x="714375" y="962025"/>
          <a:ext cx="37242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LAM.PJT.SPI.???.200100x Ind. 01
Date: 14 march 2001</a:t>
          </a:r>
        </a:p>
      </xdr:txBody>
    </xdr:sp>
    <xdr:clientData/>
  </xdr:twoCellAnchor>
  <xdr:twoCellAnchor>
    <xdr:from>
      <xdr:col>0</xdr:col>
      <xdr:colOff>476250</xdr:colOff>
      <xdr:row>16</xdr:row>
      <xdr:rowOff>152400</xdr:rowOff>
    </xdr:from>
    <xdr:to>
      <xdr:col>6</xdr:col>
      <xdr:colOff>304800</xdr:colOff>
      <xdr:row>27</xdr:row>
      <xdr:rowOff>104775</xdr:rowOff>
    </xdr:to>
    <xdr:sp>
      <xdr:nvSpPr>
        <xdr:cNvPr id="4" name="TextBox 4"/>
        <xdr:cNvSpPr txBox="1">
          <a:spLocks noChangeArrowheads="1"/>
        </xdr:cNvSpPr>
      </xdr:nvSpPr>
      <xdr:spPr>
        <a:xfrm>
          <a:off x="476250" y="2743200"/>
          <a:ext cx="4181475"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 configuration control file takes data generated by the SYNOPSYS raytracing program and calculates data concerning:
- Gut ray impacts on the optical surfaces
- Interface points for each mirror in the instrument coordinate system
- Interface points in the local surface coordinates
It also transforms the left handed system used by SYNOPSYS into a right handed one and transforms the labels of the axis to be compatible with the instrument standard: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48</xdr:row>
      <xdr:rowOff>114300</xdr:rowOff>
    </xdr:from>
    <xdr:to>
      <xdr:col>6</xdr:col>
      <xdr:colOff>609600</xdr:colOff>
      <xdr:row>53</xdr:row>
      <xdr:rowOff>114300</xdr:rowOff>
    </xdr:to>
    <xdr:sp>
      <xdr:nvSpPr>
        <xdr:cNvPr id="1" name="TextBox 1"/>
        <xdr:cNvSpPr txBox="1">
          <a:spLocks noChangeArrowheads="1"/>
        </xdr:cNvSpPr>
      </xdr:nvSpPr>
      <xdr:spPr>
        <a:xfrm>
          <a:off x="76200" y="7886700"/>
          <a:ext cx="4648200" cy="80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2. Surface normal vectors from ray impact data
---------------------------------------------------------------
</a:t>
          </a:r>
          <a:r>
            <a:rPr lang="en-US" cap="none" sz="1000" b="0" i="0" u="none" baseline="0">
              <a:latin typeface="Times New Roman"/>
              <a:ea typeface="Times New Roman"/>
              <a:cs typeface="Times New Roman"/>
            </a:rPr>
            <a:t>For each component (i) the direction cosines of the exiting ray vector is calculated by normalizing the difference between ray impact coordinates on surfaces i and i+1:
</a:t>
          </a:r>
        </a:p>
      </xdr:txBody>
    </xdr:sp>
    <xdr:clientData/>
  </xdr:twoCellAnchor>
  <xdr:twoCellAnchor>
    <xdr:from>
      <xdr:col>0</xdr:col>
      <xdr:colOff>161925</xdr:colOff>
      <xdr:row>27</xdr:row>
      <xdr:rowOff>28575</xdr:rowOff>
    </xdr:from>
    <xdr:to>
      <xdr:col>6</xdr:col>
      <xdr:colOff>581025</xdr:colOff>
      <xdr:row>35</xdr:row>
      <xdr:rowOff>104775</xdr:rowOff>
    </xdr:to>
    <xdr:sp>
      <xdr:nvSpPr>
        <xdr:cNvPr id="2" name="TextBox 3"/>
        <xdr:cNvSpPr txBox="1">
          <a:spLocks noChangeArrowheads="1"/>
        </xdr:cNvSpPr>
      </xdr:nvSpPr>
      <xdr:spPr>
        <a:xfrm>
          <a:off x="161925" y="4400550"/>
          <a:ext cx="45339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Euler angles aEuler, bEuler, cEuler represent consequtive rotations about the X, Y, and Z axes, respectively, in a counter-clockwise direction. The resulting coordinate system representing local surface coordinates are named Sag, Tang, and Norm, respectively. Norm is along the surface axis, Tan is in general in the plane of the system and Sag is in general pointing towards the optical bench. For centred surfaces, Norm defines the spigot axis and Sag defines the dowl location.
The local axes are produced by the following:
</a:t>
          </a:r>
        </a:p>
      </xdr:txBody>
    </xdr:sp>
    <xdr:clientData/>
  </xdr:twoCellAnchor>
  <xdr:twoCellAnchor>
    <xdr:from>
      <xdr:col>0</xdr:col>
      <xdr:colOff>161925</xdr:colOff>
      <xdr:row>65</xdr:row>
      <xdr:rowOff>19050</xdr:rowOff>
    </xdr:from>
    <xdr:to>
      <xdr:col>5</xdr:col>
      <xdr:colOff>657225</xdr:colOff>
      <xdr:row>91</xdr:row>
      <xdr:rowOff>76200</xdr:rowOff>
    </xdr:to>
    <xdr:sp>
      <xdr:nvSpPr>
        <xdr:cNvPr id="3" name="TextBox 7"/>
        <xdr:cNvSpPr txBox="1">
          <a:spLocks noChangeArrowheads="1"/>
        </xdr:cNvSpPr>
      </xdr:nvSpPr>
      <xdr:spPr>
        <a:xfrm>
          <a:off x="161925" y="10544175"/>
          <a:ext cx="3924300" cy="426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3. Surface sagittal vectors</a:t>
          </a:r>
          <a:r>
            <a:rPr lang="en-US" cap="none" sz="1000" b="0" i="0" u="none" baseline="0">
              <a:latin typeface="Times New Roman"/>
              <a:ea typeface="Times New Roman"/>
              <a:cs typeface="Times New Roman"/>
            </a:rPr>
            <a:t>
-----------------------------------
For centred surfaces, the spigot axis intercepts the optical surface at the surface vertec point, which is also coincident with the gut ray impact point. Two surfaces are not of this type:
</a:t>
          </a:r>
          <a:r>
            <a:rPr lang="en-US" cap="none" sz="1000" b="1" i="0" u="none" baseline="0">
              <a:latin typeface="Times New Roman"/>
              <a:ea typeface="Times New Roman"/>
              <a:cs typeface="Times New Roman"/>
            </a:rPr>
            <a:t>CM3: </a:t>
          </a:r>
          <a:r>
            <a:rPr lang="en-US" cap="none" sz="1000" b="0" i="0" u="none" baseline="0">
              <a:latin typeface="Times New Roman"/>
              <a:ea typeface="Times New Roman"/>
              <a:cs typeface="Times New Roman"/>
            </a:rPr>
            <a:t>This mirror is an off-axis asphere, ie its surface vertex does not coincide with the gut ray impact point. Also, since the mirror is common for photometer and spectrometer, its aperture is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CM5: </a:t>
          </a:r>
          <a:r>
            <a:rPr lang="en-US" cap="none" sz="1000" b="0" i="0" u="none" baseline="0">
              <a:latin typeface="Times New Roman"/>
              <a:ea typeface="Times New Roman"/>
              <a:cs typeface="Times New Roman"/>
            </a:rPr>
            <a:t>This mirror is common for photometer and spectrometer, its aperture is therefore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For each of these surfaces a separate ray is traced for which the sky coordinates are chosen so as to impact the mirror surface at the spigot axis interception point. Local normal vectors are calculated as above and used to define the spigot vectors for these mirrors.
The local Sag vector (required to define the dowl position) is calculated by rotating the Sag vector at the vertex through an angle Theta in the X-Y plane:
</a:t>
          </a:r>
        </a:p>
      </xdr:txBody>
    </xdr:sp>
    <xdr:clientData/>
  </xdr:twoCellAnchor>
  <xdr:twoCellAnchor>
    <xdr:from>
      <xdr:col>0</xdr:col>
      <xdr:colOff>95250</xdr:colOff>
      <xdr:row>57</xdr:row>
      <xdr:rowOff>133350</xdr:rowOff>
    </xdr:from>
    <xdr:to>
      <xdr:col>6</xdr:col>
      <xdr:colOff>638175</xdr:colOff>
      <xdr:row>60</xdr:row>
      <xdr:rowOff>28575</xdr:rowOff>
    </xdr:to>
    <xdr:sp>
      <xdr:nvSpPr>
        <xdr:cNvPr id="4" name="TextBox 8"/>
        <xdr:cNvSpPr txBox="1">
          <a:spLocks noChangeArrowheads="1"/>
        </xdr:cNvSpPr>
      </xdr:nvSpPr>
      <xdr:spPr>
        <a:xfrm>
          <a:off x="95250" y="9363075"/>
          <a:ext cx="46577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reflecting surfaces, the local normal is obtained as the normalized difference between incident and reflected rays:</a:t>
          </a:r>
        </a:p>
      </xdr:txBody>
    </xdr:sp>
    <xdr:clientData/>
  </xdr:twoCellAnchor>
  <xdr:twoCellAnchor>
    <xdr:from>
      <xdr:col>0</xdr:col>
      <xdr:colOff>161925</xdr:colOff>
      <xdr:row>95</xdr:row>
      <xdr:rowOff>47625</xdr:rowOff>
    </xdr:from>
    <xdr:to>
      <xdr:col>5</xdr:col>
      <xdr:colOff>647700</xdr:colOff>
      <xdr:row>97</xdr:row>
      <xdr:rowOff>85725</xdr:rowOff>
    </xdr:to>
    <xdr:sp>
      <xdr:nvSpPr>
        <xdr:cNvPr id="5" name="TextBox 10"/>
        <xdr:cNvSpPr txBox="1">
          <a:spLocks noChangeArrowheads="1"/>
        </xdr:cNvSpPr>
      </xdr:nvSpPr>
      <xdr:spPr>
        <a:xfrm>
          <a:off x="161925" y="15430500"/>
          <a:ext cx="39147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Theta is the angle between the projections onto the X-Y plane of the spigot vector and the vertex normal vector:</a:t>
          </a:r>
        </a:p>
      </xdr:txBody>
    </xdr:sp>
    <xdr:clientData/>
  </xdr:twoCellAnchor>
  <xdr:twoCellAnchor>
    <xdr:from>
      <xdr:col>0</xdr:col>
      <xdr:colOff>180975</xdr:colOff>
      <xdr:row>101</xdr:row>
      <xdr:rowOff>66675</xdr:rowOff>
    </xdr:from>
    <xdr:to>
      <xdr:col>5</xdr:col>
      <xdr:colOff>666750</xdr:colOff>
      <xdr:row>102</xdr:row>
      <xdr:rowOff>114300</xdr:rowOff>
    </xdr:to>
    <xdr:sp>
      <xdr:nvSpPr>
        <xdr:cNvPr id="6" name="TextBox 11"/>
        <xdr:cNvSpPr txBox="1">
          <a:spLocks noChangeArrowheads="1"/>
        </xdr:cNvSpPr>
      </xdr:nvSpPr>
      <xdr:spPr>
        <a:xfrm>
          <a:off x="180975" y="16421100"/>
          <a:ext cx="39147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where the SIGNE function provides the correct sign of Theta.</a:t>
          </a:r>
        </a:p>
      </xdr:txBody>
    </xdr:sp>
    <xdr:clientData/>
  </xdr:twoCellAnchor>
  <xdr:twoCellAnchor>
    <xdr:from>
      <xdr:col>0</xdr:col>
      <xdr:colOff>133350</xdr:colOff>
      <xdr:row>0</xdr:row>
      <xdr:rowOff>85725</xdr:rowOff>
    </xdr:from>
    <xdr:to>
      <xdr:col>6</xdr:col>
      <xdr:colOff>590550</xdr:colOff>
      <xdr:row>10</xdr:row>
      <xdr:rowOff>38100</xdr:rowOff>
    </xdr:to>
    <xdr:sp>
      <xdr:nvSpPr>
        <xdr:cNvPr id="7" name="TextBox 12"/>
        <xdr:cNvSpPr txBox="1">
          <a:spLocks noChangeArrowheads="1"/>
        </xdr:cNvSpPr>
      </xdr:nvSpPr>
      <xdr:spPr>
        <a:xfrm>
          <a:off x="133350" y="85725"/>
          <a:ext cx="457200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0" i="1" u="none" baseline="0">
              <a:latin typeface="Times New Roman"/>
              <a:ea typeface="Times New Roman"/>
              <a:cs typeface="Times New Roman"/>
            </a:rPr>
            <a:t>Contents</a:t>
          </a:r>
          <a:r>
            <a:rPr lang="en-US" cap="none" sz="1000" b="0" i="0" u="none" baseline="0">
              <a:latin typeface="Times New Roman"/>
              <a:ea typeface="Times New Roman"/>
              <a:cs typeface="Times New Roman"/>
            </a:rPr>
            <a:t>
------------
1. Surface orientation from Euler angles
2. Surface normal vectors from ray impact data
3. Surface sagittal vectors
4. Interface data in global coordinates
5. Interface data in local coordinates</a:t>
          </a:r>
        </a:p>
      </xdr:txBody>
    </xdr:sp>
    <xdr:clientData/>
  </xdr:twoCellAnchor>
  <xdr:twoCellAnchor>
    <xdr:from>
      <xdr:col>0</xdr:col>
      <xdr:colOff>190500</xdr:colOff>
      <xdr:row>104</xdr:row>
      <xdr:rowOff>85725</xdr:rowOff>
    </xdr:from>
    <xdr:to>
      <xdr:col>5</xdr:col>
      <xdr:colOff>657225</xdr:colOff>
      <xdr:row>121</xdr:row>
      <xdr:rowOff>9525</xdr:rowOff>
    </xdr:to>
    <xdr:sp>
      <xdr:nvSpPr>
        <xdr:cNvPr id="8" name="TextBox 13"/>
        <xdr:cNvSpPr txBox="1">
          <a:spLocks noChangeArrowheads="1"/>
        </xdr:cNvSpPr>
      </xdr:nvSpPr>
      <xdr:spPr>
        <a:xfrm>
          <a:off x="190500" y="16925925"/>
          <a:ext cx="3895725" cy="267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4 Interface data in global coordinates
---------------------------------------------------
</a:t>
          </a:r>
          <a:r>
            <a:rPr lang="en-US" cap="none" sz="1000" b="0" i="0" u="none" baseline="0">
              <a:latin typeface="Times New Roman"/>
              <a:ea typeface="Times New Roman"/>
              <a:cs typeface="Times New Roman"/>
            </a:rPr>
            <a:t>For each mirror, the following are given in the global instrument coordinate system:
(Xmirr, Ymirr, Zmirr): coordinates of the intersection point between the spigot axis and the optical surface
(Xnorm, Ynorm, Znorm): direction cosines of the spigot axis
(Xspig, Yspig, Zspig): coordinates of a second point along the spigot axis
(Xsag, Ysag, Zsag): direction cosines of the sag vector, pointing towards the dowl
(Xdowl, Ydowl, Zdowl): coordinates of a point along the sag vector</a:t>
          </a:r>
        </a:p>
      </xdr:txBody>
    </xdr:sp>
    <xdr:clientData/>
  </xdr:twoCellAnchor>
  <xdr:twoCellAnchor>
    <xdr:from>
      <xdr:col>0</xdr:col>
      <xdr:colOff>228600</xdr:colOff>
      <xdr:row>121</xdr:row>
      <xdr:rowOff>133350</xdr:rowOff>
    </xdr:from>
    <xdr:to>
      <xdr:col>6</xdr:col>
      <xdr:colOff>9525</xdr:colOff>
      <xdr:row>129</xdr:row>
      <xdr:rowOff>9525</xdr:rowOff>
    </xdr:to>
    <xdr:sp>
      <xdr:nvSpPr>
        <xdr:cNvPr id="9" name="TextBox 14"/>
        <xdr:cNvSpPr txBox="1">
          <a:spLocks noChangeArrowheads="1"/>
        </xdr:cNvSpPr>
      </xdr:nvSpPr>
      <xdr:spPr>
        <a:xfrm>
          <a:off x="228600" y="19726275"/>
          <a:ext cx="389572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5. Interface data in local coordinates
---------------------------------------------------
</a:t>
          </a:r>
          <a:r>
            <a:rPr lang="en-US" cap="none" sz="1000" b="0" i="0" u="none" baseline="0">
              <a:latin typeface="Times New Roman"/>
              <a:ea typeface="Times New Roman"/>
              <a:cs typeface="Times New Roman"/>
            </a:rPr>
            <a:t>For each mirror, the interface vectors listed above are also given in terms of local coordinates for each optical surface, whose origin is at the surface vertex and whose axes are aligned with the vertex normal. For the spigot interception points, this requires a transformation involving translation and rotation, expressed as:</a:t>
          </a:r>
        </a:p>
      </xdr:txBody>
    </xdr:sp>
    <xdr:clientData/>
  </xdr:twoCellAnchor>
  <xdr:twoCellAnchor>
    <xdr:from>
      <xdr:col>0</xdr:col>
      <xdr:colOff>219075</xdr:colOff>
      <xdr:row>139</xdr:row>
      <xdr:rowOff>142875</xdr:rowOff>
    </xdr:from>
    <xdr:to>
      <xdr:col>5</xdr:col>
      <xdr:colOff>676275</xdr:colOff>
      <xdr:row>142</xdr:row>
      <xdr:rowOff>76200</xdr:rowOff>
    </xdr:to>
    <xdr:sp>
      <xdr:nvSpPr>
        <xdr:cNvPr id="10" name="TextBox 15"/>
        <xdr:cNvSpPr txBox="1">
          <a:spLocks noChangeArrowheads="1"/>
        </xdr:cNvSpPr>
      </xdr:nvSpPr>
      <xdr:spPr>
        <a:xfrm>
          <a:off x="219075" y="22650450"/>
          <a:ext cx="38862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the direction cosines for the Norm (spigot) and Sag (dowl) vectors, the transformation only involves rotation:</a:t>
          </a:r>
        </a:p>
      </xdr:txBody>
    </xdr:sp>
    <xdr:clientData/>
  </xdr:twoCellAnchor>
  <xdr:twoCellAnchor>
    <xdr:from>
      <xdr:col>0</xdr:col>
      <xdr:colOff>133350</xdr:colOff>
      <xdr:row>11</xdr:row>
      <xdr:rowOff>57150</xdr:rowOff>
    </xdr:from>
    <xdr:to>
      <xdr:col>6</xdr:col>
      <xdr:colOff>561975</xdr:colOff>
      <xdr:row>23</xdr:row>
      <xdr:rowOff>133350</xdr:rowOff>
    </xdr:to>
    <xdr:sp>
      <xdr:nvSpPr>
        <xdr:cNvPr id="11" name="TextBox 17"/>
        <xdr:cNvSpPr txBox="1">
          <a:spLocks noChangeArrowheads="1"/>
        </xdr:cNvSpPr>
      </xdr:nvSpPr>
      <xdr:spPr>
        <a:xfrm>
          <a:off x="133350" y="1838325"/>
          <a:ext cx="4543425" cy="201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1. Surface orientation from Euler angles</a:t>
          </a:r>
          <a:r>
            <a:rPr lang="en-US" cap="none" sz="1000" b="0" i="0" u="none" baseline="0">
              <a:latin typeface="Times New Roman"/>
              <a:ea typeface="Times New Roman"/>
              <a:cs typeface="Times New Roman"/>
            </a:rPr>
            <a:t>
-------------------------------------------------------
The listing of surface data in global coordinates give coordinates for each surface vertex and the Euler angles (in degrees with 5 significant decimals, ie a precision of 1e-5 deg) defining the orientation of the surface in space. These are used to calculate interface data for all mirrors except CM3 and CM5, see sec. 2 and 3.
The global coordinate system  used by SYNOPSYS is left-handed and has its origin at the telescope focal point, ie 202mm above the SPIRE origin. The Z-axis is along the telescope axis, pointing away from the telescope, the Y-axis is in the plane of the photometer, pointing towards PAX, the X-axis is perpendicular to the plane of the photometer, pointing towards the spectrometer, see table.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0:E33"/>
  <sheetViews>
    <sheetView workbookViewId="0" topLeftCell="A1">
      <selection activeCell="E69" sqref="E69"/>
    </sheetView>
  </sheetViews>
  <sheetFormatPr defaultColWidth="12" defaultRowHeight="12.75"/>
  <cols>
    <col min="1" max="2" width="12" style="1" customWidth="1"/>
    <col min="3" max="3" width="16.16015625" style="1" customWidth="1"/>
    <col min="4" max="16384" width="12" style="1" customWidth="1"/>
  </cols>
  <sheetData>
    <row r="10" ht="12.75">
      <c r="B10" s="24" t="s">
        <v>379</v>
      </c>
    </row>
    <row r="11" spans="3:4" ht="12.75">
      <c r="C11" s="1" t="s">
        <v>486</v>
      </c>
      <c r="D11" s="1" t="str">
        <f ca="1">INDIRECT(C11)</f>
        <v>(BOLSP501G)</v>
      </c>
    </row>
    <row r="12" spans="3:4" ht="12.75">
      <c r="C12" s="1" t="s">
        <v>487</v>
      </c>
      <c r="D12" s="1" t="str">
        <f ca="1">INDIRECT(C12)</f>
        <v>(BOLSP501F_LO)</v>
      </c>
    </row>
    <row r="13" spans="3:4" ht="12.75">
      <c r="C13" s="1" t="s">
        <v>484</v>
      </c>
      <c r="D13" s="1" t="str">
        <f ca="1">INDIRECT(C13)</f>
        <v>(BOLSP501E)</v>
      </c>
    </row>
    <row r="14" spans="3:4" ht="12.75">
      <c r="C14" s="1" t="s">
        <v>485</v>
      </c>
      <c r="D14" s="1" t="str">
        <f ca="1">INDIRECT(C14)</f>
        <v>(BOLSP501F_LO)</v>
      </c>
    </row>
    <row r="15" spans="3:4" ht="12.75">
      <c r="C15" s="1" t="s">
        <v>146</v>
      </c>
      <c r="D15" s="1" t="str">
        <f ca="1">INDIRECT(C15&amp;"Calc!ID")</f>
        <v>(BOLPHT154C)</v>
      </c>
    </row>
    <row r="16" spans="3:4" ht="12.75">
      <c r="C16" s="1" t="s">
        <v>147</v>
      </c>
      <c r="D16" s="1" t="str">
        <f ca="1">INDIRECT(C16&amp;"Calc!ID")</f>
        <v>(BOLPHT154C)</v>
      </c>
    </row>
    <row r="30" spans="2:5" ht="12.75">
      <c r="B30" s="31" t="s">
        <v>46</v>
      </c>
      <c r="C30" s="31" t="s">
        <v>375</v>
      </c>
      <c r="D30" s="31" t="s">
        <v>268</v>
      </c>
      <c r="E30" s="31" t="s">
        <v>376</v>
      </c>
    </row>
    <row r="31" spans="2:5" ht="12.75">
      <c r="B31" s="19" t="s">
        <v>17</v>
      </c>
      <c r="C31" s="19" t="str">
        <f>"-Zsyno"</f>
        <v>-Zsyno</v>
      </c>
      <c r="D31" s="19" t="s">
        <v>372</v>
      </c>
      <c r="E31" s="19" t="s">
        <v>112</v>
      </c>
    </row>
    <row r="32" spans="2:5" ht="12.75">
      <c r="B32" s="19" t="s">
        <v>80</v>
      </c>
      <c r="C32" s="19" t="s">
        <v>118</v>
      </c>
      <c r="D32" s="19" t="s">
        <v>373</v>
      </c>
      <c r="E32" s="19" t="s">
        <v>113</v>
      </c>
    </row>
    <row r="33" spans="2:5" ht="12.75">
      <c r="B33" s="19" t="s">
        <v>81</v>
      </c>
      <c r="C33" s="19" t="s">
        <v>119</v>
      </c>
      <c r="D33" s="19" t="s">
        <v>374</v>
      </c>
      <c r="E33" s="19" t="s">
        <v>114</v>
      </c>
    </row>
  </sheetData>
  <printOptions/>
  <pageMargins left="0.5905511811023623" right="0.3937007874015748" top="0.7086614173228347" bottom="0.5511811023622047" header="0.31496062992125984" footer="0.2755905511811024"/>
  <pageSetup fitToHeight="1" fitToWidth="1" horizontalDpi="600" verticalDpi="600" orientation="portrait" paperSize="9" scale="83" r:id="rId2"/>
  <headerFooter alignWithMargins="0">
    <oddHeader>&amp;L&amp;F, &amp;A&amp;R&amp;T, &amp;D</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AF48"/>
  <sheetViews>
    <sheetView workbookViewId="0" topLeftCell="A1">
      <selection activeCell="Q8" sqref="Q8"/>
    </sheetView>
  </sheetViews>
  <sheetFormatPr defaultColWidth="12" defaultRowHeight="12.75"/>
  <cols>
    <col min="1" max="2" width="12" style="1" customWidth="1"/>
    <col min="3" max="3" width="20.16015625" style="1" customWidth="1"/>
    <col min="4" max="6" width="12" style="1" customWidth="1"/>
    <col min="7" max="7" width="13.33203125" style="83" customWidth="1"/>
    <col min="8" max="8" width="13.33203125" style="21" customWidth="1"/>
    <col min="9" max="9" width="13.33203125" style="22" customWidth="1"/>
    <col min="10" max="12" width="13.33203125" style="20" customWidth="1"/>
    <col min="13" max="13" width="13.33203125" style="87" customWidth="1"/>
    <col min="14" max="16" width="13.33203125" style="20" customWidth="1"/>
    <col min="17" max="17" width="13.33203125" style="92" customWidth="1"/>
    <col min="18" max="18" width="13.33203125" style="20" customWidth="1"/>
    <col min="19" max="19" width="13.33203125" style="26" customWidth="1"/>
    <col min="20" max="20" width="13.33203125" style="20" customWidth="1"/>
    <col min="21" max="21" width="13.33203125" style="92" customWidth="1"/>
    <col min="22" max="22" width="13.33203125" style="20" customWidth="1"/>
    <col min="23" max="23" width="13.33203125" style="26" customWidth="1"/>
    <col min="24" max="24" width="13.33203125" style="42" customWidth="1"/>
    <col min="25" max="25" width="13.33203125" style="97" customWidth="1"/>
    <col min="26" max="28" width="13.33203125" style="19" customWidth="1"/>
    <col min="29" max="29" width="13.33203125" style="100" customWidth="1"/>
    <col min="30" max="16384" width="12" style="1" customWidth="1"/>
  </cols>
  <sheetData>
    <row r="1" spans="3:29" s="5" customFormat="1" ht="13.5" thickBot="1">
      <c r="C1" s="5" t="s">
        <v>111</v>
      </c>
      <c r="D1" s="5" t="s">
        <v>2</v>
      </c>
      <c r="E1" s="5" t="s">
        <v>469</v>
      </c>
      <c r="F1" s="5" t="s">
        <v>143</v>
      </c>
      <c r="G1" s="80" t="str">
        <f>"X"&amp;Ray</f>
        <v>XM5Cent</v>
      </c>
      <c r="H1" s="81" t="str">
        <f>"Y"&amp;Ray</f>
        <v>YM5Cent</v>
      </c>
      <c r="I1" s="82" t="str">
        <f>"Z"&amp;Ray</f>
        <v>ZM5Cent</v>
      </c>
      <c r="J1" s="28" t="s">
        <v>123</v>
      </c>
      <c r="K1" s="28" t="s">
        <v>124</v>
      </c>
      <c r="L1" s="28" t="s">
        <v>125</v>
      </c>
      <c r="M1" s="86" t="s">
        <v>126</v>
      </c>
      <c r="N1" s="28" t="s">
        <v>127</v>
      </c>
      <c r="O1" s="28" t="s">
        <v>128</v>
      </c>
      <c r="P1" s="28" t="s">
        <v>129</v>
      </c>
      <c r="Q1" s="89" t="s">
        <v>130</v>
      </c>
      <c r="R1" s="90" t="s">
        <v>131</v>
      </c>
      <c r="S1" s="91" t="s">
        <v>132</v>
      </c>
      <c r="T1" s="28" t="s">
        <v>133</v>
      </c>
      <c r="U1" s="89" t="s">
        <v>14</v>
      </c>
      <c r="V1" s="90" t="s">
        <v>15</v>
      </c>
      <c r="W1" s="91" t="s">
        <v>16</v>
      </c>
      <c r="X1" s="51" t="s">
        <v>360</v>
      </c>
      <c r="Y1" s="95" t="s">
        <v>362</v>
      </c>
      <c r="Z1" s="29" t="s">
        <v>21</v>
      </c>
      <c r="AA1" s="29" t="s">
        <v>22</v>
      </c>
      <c r="AB1" s="28" t="s">
        <v>23</v>
      </c>
      <c r="AC1" s="98" t="s">
        <v>363</v>
      </c>
    </row>
    <row r="2" spans="1:29" ht="13.5" thickBot="1">
      <c r="A2" s="19" t="s">
        <v>44</v>
      </c>
      <c r="B2" s="19" t="str">
        <f>'M5CentRay'!J4</f>
        <v>(BOLPHT154C)</v>
      </c>
      <c r="D2" s="1" t="s">
        <v>91</v>
      </c>
      <c r="E2" s="1" t="s">
        <v>470</v>
      </c>
      <c r="F2" s="1" t="s">
        <v>110</v>
      </c>
      <c r="G2" s="83">
        <f ca="1">INDIRECT("RayImpacts!"&amp;G$1)</f>
        <v>3252.162</v>
      </c>
      <c r="H2" s="21">
        <f ca="1" t="shared" si="0" ref="H2:I17">INDIRECT("RayImpacts!"&amp;H$1)</f>
        <v>13.817514</v>
      </c>
      <c r="I2" s="22">
        <f ca="1" t="shared" si="0"/>
        <v>60.298241</v>
      </c>
      <c r="J2" s="21">
        <f>IF(Flag="Ignore","",G2-G1)</f>
      </c>
      <c r="K2" s="21">
        <f>IF(Flag="Ignore","",H2-H1)</f>
      </c>
      <c r="L2" s="21">
        <f>IF(Flag="Ignore","",I2-I1)</f>
      </c>
      <c r="M2" s="87">
        <f aca="true" t="shared" si="1" ref="M2:M33">IF(Flag="ignore","",SQRT(Xdiff^2+Ydiff^2+Zdiff^2))</f>
      </c>
      <c r="N2" s="20">
        <f aca="true" t="shared" si="2" ref="N2:N33">IF(Flag="ignore","",Xdiff/DiffMod)</f>
      </c>
      <c r="O2" s="20">
        <f aca="true" t="shared" si="3" ref="O2:O33">IF(Flag="ignore","",Ydiff/DiffMod)</f>
      </c>
      <c r="P2" s="20">
        <f aca="true" t="shared" si="4" ref="P2:P33">IF(Flag="ignore","",Zdiff/DiffMod)</f>
      </c>
      <c r="Q2" s="92">
        <f>IF(OR(Flag="Ignore",Flag="Hole",Flag="Det"),"",N3-Xray)</f>
      </c>
      <c r="R2" s="20">
        <f>IF(OR(Flag="Ignore",Flag="Hole",Flag="Det"),"",O3-Yray)</f>
      </c>
      <c r="S2" s="26">
        <f>IF(OR(Flag="Ignore",Flag="Hole",Flag="Det"),"",P3-Zray)</f>
      </c>
      <c r="T2" s="20">
        <f>IF(OR(Flag="Ignore",Flag="Hole",Flag="Det"),"",SQRT(dXray^2+dYray^2+dZray^2))</f>
      </c>
      <c r="U2" s="92">
        <f>IF(OR(Flag="Ignore",Flag="Hole",Flag="Det"),"",dXray/drayMod)</f>
      </c>
      <c r="V2" s="20">
        <f>IF(OR(Flag="Ignore",Flag="Hole",Flag="Det"),"",dYray/drayMod)</f>
      </c>
      <c r="W2" s="26">
        <f>IF(OR(Flag="Ignore",Flag="Hole",Flag="Det"),"",dZray/drayMod)</f>
      </c>
      <c r="X2" s="42">
        <f>IF(OR(Flag="Ignore",Flag="Hole",Flag="Det"),"",ACOS((Xnorm*VertexCalc!Xnorm+Ynorm*VertexCalc!Ynorm)/(SQRT(Xnorm^2+Ynorm^2)*SQRT(VertexCalc!Xnorm^2+VertexCalc!Ynorm^2)))*180/PI()*SIGN(Xnorm*Ynorm))</f>
      </c>
      <c r="Y2" s="96">
        <f>IF(OR(Flag="Ignore",Flag="Hole",Flag="Det"),"",((Xnorm*GutCalc!Xnorm+Ynorm*GutCalc!Ynorm)/(SQRT(Xnorm^2+Ynorm^2)*SQRT(GutCalc!Xnorm^2+GutCalc!Ynorm^2)))*180/PI())</f>
      </c>
      <c r="Z2" s="42">
        <f>IF(OR(Flag="Ignore",Flag="Hole",Flag="Det"),"",VertexCalc!Xsag*COS(Theta*PI()/180)-VertexCalc!Ysag*SIN(Theta*PI()/180))</f>
      </c>
      <c r="AA2" s="42">
        <f>IF(OR(Flag="Ignore",Flag="Hole",Flag="Det"),"",VertexCalc!Xsag*SIN(Theta*PI()/180)+VertexCalc!Ysag*COS(Theta*PI()/180))</f>
      </c>
      <c r="AB2" s="42">
        <f>IF(OR(Flag="Ignore",Flag="Hole",Flag="Det"),"",VertexCalc!Zsag)</f>
      </c>
      <c r="AC2" s="72">
        <f>IF(OR(Flag="Ignore",Flag="Hole",Flag="Det"),"",ACOS(Xsag*Xnorm+Ysag*Ynorm+Zsag*Znorm)*180/PI())</f>
      </c>
    </row>
    <row r="3" spans="3:29" ht="12.75">
      <c r="C3" s="10" t="s">
        <v>108</v>
      </c>
      <c r="D3" s="11" t="s">
        <v>92</v>
      </c>
      <c r="E3" s="11" t="s">
        <v>470</v>
      </c>
      <c r="F3" s="11"/>
      <c r="G3" s="83">
        <f ca="1" t="shared" si="5" ref="G3:I23">INDIRECT("RayImpacts!"&amp;G$1)</f>
        <v>1252.600535</v>
      </c>
      <c r="H3" s="21">
        <f ca="1" t="shared" si="0"/>
        <v>12.375513</v>
      </c>
      <c r="I3" s="22">
        <f ca="1" t="shared" si="0"/>
        <v>54.005491</v>
      </c>
      <c r="J3" s="21">
        <f aca="true" t="shared" si="6" ref="J3:J22">IF(Flag="Ignore","",G3-G2)</f>
        <v>-1999.5614649999998</v>
      </c>
      <c r="K3" s="21">
        <f aca="true" t="shared" si="7" ref="K3:K22">IF(Flag="Ignore","",H3-H2)</f>
        <v>-1.4420009999999994</v>
      </c>
      <c r="L3" s="21">
        <f aca="true" t="shared" si="8" ref="L3:L22">IF(Flag="Ignore","",I3-I2)</f>
        <v>-6.292749999999998</v>
      </c>
      <c r="M3" s="87">
        <f t="shared" si="1"/>
        <v>1999.5718867753649</v>
      </c>
      <c r="N3" s="20">
        <f t="shared" si="2"/>
        <v>-0.9999947879966536</v>
      </c>
      <c r="O3" s="20">
        <f t="shared" si="3"/>
        <v>-0.0007211548679679933</v>
      </c>
      <c r="P3" s="20">
        <f t="shared" si="4"/>
        <v>-0.0031470486465720827</v>
      </c>
      <c r="Q3" s="92">
        <f aca="true" t="shared" si="9" ref="Q3:Q22">IF(OR(Flag="Ignore",Flag="Hole",Flag="Det"),"",N4-Xray)</f>
        <v>1.999386328257419</v>
      </c>
      <c r="R3" s="20">
        <f aca="true" t="shared" si="10" ref="R3:R22">IF(OR(Flag="Ignore",Flag="Hole",Flag="Det"),"",O4-Yray)</f>
        <v>-0.007069551056272096</v>
      </c>
      <c r="S3" s="26">
        <f aca="true" t="shared" si="11" ref="S3:S22">IF(OR(Flag="Ignore",Flag="Hole",Flag="Det"),"",P4-Zray)</f>
        <v>-0.03085080652720495</v>
      </c>
      <c r="T3" s="20">
        <f aca="true" t="shared" si="12" ref="T3:T33">IF(OR(Flag="Ignore",Flag="Hole",Flag="Det"),"",SQRT(dXray^2+dYray^2+dZray^2))</f>
        <v>1.9996368271359175</v>
      </c>
      <c r="U3" s="92">
        <f aca="true" t="shared" si="13" ref="U3:U33">IF(OR(Flag="Ignore",Flag="Hole",Flag="Det"),"",dXray/drayMod)</f>
        <v>0.9998747278130212</v>
      </c>
      <c r="V3" s="20">
        <f aca="true" t="shared" si="14" ref="V3:V33">IF(OR(Flag="Ignore",Flag="Hole",Flag="Det"),"",dYray/drayMod)</f>
        <v>-0.0035354175119878257</v>
      </c>
      <c r="W3" s="26">
        <f aca="true" t="shared" si="15" ref="W3:W33">IF(OR(Flag="Ignore",Flag="Hole",Flag="Det"),"",dZray/drayMod)</f>
        <v>-0.015428204816267863</v>
      </c>
      <c r="X3" s="42">
        <f>IF(OR(Flag="Ignore",Flag="Hole",Flag="Det"),"",ACOS((Xnorm*VertexCalc!Xnorm+Ynorm*VertexCalc!Ynorm)/(SQRT(Xnorm^2+Ynorm^2)*SQRT(VertexCalc!Xnorm^2+VertexCalc!Ynorm^2)))*180/PI()*SIGN(Xnorm*Ynorm))</f>
        <v>-179.79741096314152</v>
      </c>
      <c r="Y3" s="96">
        <f>IF(OR(Flag="Ignore",Flag="Hole",Flag="Det"),"",(1-(Xnorm*GutCalc!Xnorm+Ynorm*GutCalc!Ynorm)/(SQRT(Xnorm^2+Ynorm^2)*SQRT(GutCalc!Xnorm^2+GutCalc!Ynorm^2))))</f>
        <v>2.444340734808481E-05</v>
      </c>
      <c r="Z3" s="42">
        <f>IF(OR(Flag="Ignore",Flag="Hole",Flag="Det"),"",VertexCalc!Xsag*COS(Theta*PI()/180)-VertexCalc!Ysag*SIN(Theta*PI()/180))</f>
        <v>0.0035358383539850903</v>
      </c>
      <c r="AA3" s="42">
        <f>IF(OR(Flag="Ignore",Flag="Hole",Flag="Det"),"",VertexCalc!Xsag*SIN(Theta*PI()/180)+VertexCalc!Ysag*COS(Theta*PI()/180))</f>
        <v>-0.9999937489040291</v>
      </c>
      <c r="AB3" s="42">
        <f>IF(OR(Flag="Ignore",Flag="Hole",Flag="Det"),"",VertexCalc!Zsag)</f>
        <v>0</v>
      </c>
      <c r="AC3" s="72">
        <f aca="true" t="shared" si="16" ref="AC3:AC33">IF(OR(Flag="Ignore",Flag="Hole",Flag="Det"),"",ACOS(Xsag*Xnorm+Ysag*Ynorm+Zsag*Znorm)*180/PI())</f>
        <v>89.59487015212619</v>
      </c>
    </row>
    <row r="4" spans="3:29" ht="13.5" thickBot="1">
      <c r="C4" s="14"/>
      <c r="D4" s="15" t="s">
        <v>93</v>
      </c>
      <c r="E4" s="15" t="s">
        <v>470</v>
      </c>
      <c r="F4" s="15"/>
      <c r="G4" s="83">
        <f ca="1" t="shared" si="5"/>
        <v>2840.131</v>
      </c>
      <c r="H4" s="21">
        <f ca="1" t="shared" si="0"/>
        <v>1.78E-15</v>
      </c>
      <c r="I4" s="22">
        <f ca="1" t="shared" si="0"/>
        <v>-7.11E-15</v>
      </c>
      <c r="J4" s="21">
        <f t="shared" si="6"/>
        <v>1587.5304649999998</v>
      </c>
      <c r="K4" s="21">
        <f t="shared" si="7"/>
        <v>-12.375512999999998</v>
      </c>
      <c r="L4" s="21">
        <f t="shared" si="8"/>
        <v>-54.005491000000006</v>
      </c>
      <c r="M4" s="87">
        <f t="shared" si="1"/>
        <v>1588.49700147129</v>
      </c>
      <c r="N4" s="20">
        <f t="shared" si="2"/>
        <v>0.9993915402607654</v>
      </c>
      <c r="O4" s="20">
        <f t="shared" si="3"/>
        <v>-0.007790705924240089</v>
      </c>
      <c r="P4" s="20">
        <f t="shared" si="4"/>
        <v>-0.033997855173777035</v>
      </c>
      <c r="Q4" s="92">
        <f t="shared" si="9"/>
        <v>-1.998783080531279</v>
      </c>
      <c r="R4" s="20">
        <f t="shared" si="10"/>
        <v>1.4851431889839617E-10</v>
      </c>
      <c r="S4" s="26">
        <f t="shared" si="11"/>
        <v>2.5252468172087816E-10</v>
      </c>
      <c r="T4" s="20">
        <f t="shared" si="12"/>
        <v>1.998783080531279</v>
      </c>
      <c r="U4" s="92">
        <f t="shared" si="13"/>
        <v>-1</v>
      </c>
      <c r="V4" s="20">
        <f t="shared" si="14"/>
        <v>7.430236944917548E-11</v>
      </c>
      <c r="W4" s="26">
        <f t="shared" si="15"/>
        <v>1.2633921318453265E-10</v>
      </c>
      <c r="X4" s="42">
        <f>IF(OR(Flag="Ignore",Flag="Hole",Flag="Det"),"",ACOS((Xnorm*VertexCalc!Xnorm+Ynorm*VertexCalc!Ynorm)/(SQRT(Xnorm^2+Ynorm^2)*SQRT(VertexCalc!Xnorm^2+VertexCalc!Ynorm^2)))*180/PI()*SIGN(Xnorm*Ynorm))</f>
        <v>0</v>
      </c>
      <c r="Y4" s="96">
        <f>IF(OR(Flag="Ignore",Flag="Hole",Flag="Det"),"",(1-(Xnorm*GutCalc!Xnorm+Ynorm*GutCalc!Ynorm)/(SQRT(Xnorm^2+Ynorm^2)*SQRT(GutCalc!Xnorm^2+GutCalc!Ynorm^2))))</f>
        <v>0</v>
      </c>
      <c r="Z4" s="42">
        <f>IF(OR(Flag="Ignore",Flag="Hole",Flag="Det"),"",VertexCalc!Xsag*COS(Theta*PI()/180)-VertexCalc!Ysag*SIN(Theta*PI()/180))</f>
        <v>0</v>
      </c>
      <c r="AA4" s="42">
        <f>IF(OR(Flag="Ignore",Flag="Hole",Flag="Det"),"",VertexCalc!Xsag*SIN(Theta*PI()/180)+VertexCalc!Ysag*COS(Theta*PI()/180))</f>
        <v>1</v>
      </c>
      <c r="AB4" s="42">
        <f>IF(OR(Flag="Ignore",Flag="Hole",Flag="Det"),"",VertexCalc!Zsag)</f>
        <v>0</v>
      </c>
      <c r="AC4" s="72">
        <f t="shared" si="16"/>
        <v>89.9999999957428</v>
      </c>
    </row>
    <row r="5" spans="1:29" ht="13.5" thickBot="1">
      <c r="A5" s="1" t="s">
        <v>3</v>
      </c>
      <c r="B5" s="25" t="s">
        <v>147</v>
      </c>
      <c r="C5" s="10" t="s">
        <v>109</v>
      </c>
      <c r="D5" s="11" t="s">
        <v>94</v>
      </c>
      <c r="E5" s="11" t="s">
        <v>470</v>
      </c>
      <c r="F5" s="11" t="s">
        <v>144</v>
      </c>
      <c r="G5" s="83">
        <f ca="1" t="shared" si="5"/>
        <v>229.022003</v>
      </c>
      <c r="H5" s="21">
        <f ca="1" t="shared" si="0"/>
        <v>-20.354767</v>
      </c>
      <c r="I5" s="22">
        <f ca="1" t="shared" si="0"/>
        <v>-88.826152</v>
      </c>
      <c r="J5" s="21">
        <f t="shared" si="6"/>
        <v>-2611.108997</v>
      </c>
      <c r="K5" s="21">
        <f t="shared" si="7"/>
        <v>-20.354767000000002</v>
      </c>
      <c r="L5" s="21">
        <f t="shared" si="8"/>
        <v>-88.82615199999998</v>
      </c>
      <c r="M5" s="87">
        <f t="shared" si="1"/>
        <v>2612.6987189557653</v>
      </c>
      <c r="N5" s="20">
        <f t="shared" si="2"/>
        <v>-0.9993915402705135</v>
      </c>
      <c r="O5" s="20">
        <f t="shared" si="3"/>
        <v>-0.00779070577572577</v>
      </c>
      <c r="P5" s="20">
        <f t="shared" si="4"/>
        <v>-0.03399785492125235</v>
      </c>
      <c r="Q5" s="92">
        <f t="shared" si="9"/>
      </c>
      <c r="R5" s="20">
        <f t="shared" si="10"/>
      </c>
      <c r="S5" s="26">
        <f t="shared" si="11"/>
      </c>
      <c r="T5" s="20">
        <f t="shared" si="12"/>
      </c>
      <c r="U5" s="92">
        <f t="shared" si="13"/>
      </c>
      <c r="V5" s="20">
        <f t="shared" si="14"/>
      </c>
      <c r="W5" s="26">
        <f t="shared" si="15"/>
      </c>
      <c r="X5" s="42">
        <f>IF(OR(Flag="Ignore",Flag="Hole",Flag="Det"),"",ACOS((Xnorm*VertexCalc!Xnorm+Ynorm*VertexCalc!Ynorm)/(SQRT(Xnorm^2+Ynorm^2)*SQRT(VertexCalc!Xnorm^2+VertexCalc!Ynorm^2)))*180/PI()*SIGN(Xnorm*Ynorm))</f>
      </c>
      <c r="Y5" s="96">
        <f>IF(OR(Flag="Ignore",Flag="Hole",Flag="Det"),"",(1-(Xnorm*GutCalc!Xnorm+Ynorm*GutCalc!Ynorm)/(SQRT(Xnorm^2+Ynorm^2)*SQRT(GutCalc!Xnorm^2+GutCalc!Ynorm^2))))</f>
      </c>
      <c r="Z5" s="42">
        <f>IF(OR(Flag="Ignore",Flag="Hole",Flag="Det"),"",VertexCalc!Xsag*COS(Theta*PI()/180)-VertexCalc!Ysag*SIN(Theta*PI()/180))</f>
      </c>
      <c r="AA5" s="42">
        <f>IF(OR(Flag="Ignore",Flag="Hole",Flag="Det"),"",VertexCalc!Xsag*SIN(Theta*PI()/180)+VertexCalc!Ysag*COS(Theta*PI()/180))</f>
      </c>
      <c r="AB5" s="42">
        <f>IF(OR(Flag="Ignore",Flag="Hole",Flag="Det"),"",VertexCalc!Zsag)</f>
      </c>
      <c r="AC5" s="72">
        <f t="shared" si="16"/>
      </c>
    </row>
    <row r="6" spans="3:32" ht="12.75">
      <c r="C6" s="18"/>
      <c r="D6" s="19" t="s">
        <v>95</v>
      </c>
      <c r="E6" s="19" t="s">
        <v>470</v>
      </c>
      <c r="F6" s="19"/>
      <c r="G6" s="83">
        <f ca="1" t="shared" si="5"/>
        <v>132.089046</v>
      </c>
      <c r="H6" s="21">
        <f ca="1" t="shared" si="0"/>
        <v>-21.110403</v>
      </c>
      <c r="I6" s="22">
        <f ca="1" t="shared" si="0"/>
        <v>-92.123671</v>
      </c>
      <c r="J6" s="21">
        <f t="shared" si="6"/>
        <v>-96.93295700000002</v>
      </c>
      <c r="K6" s="21">
        <f t="shared" si="7"/>
        <v>-0.7556360000000026</v>
      </c>
      <c r="L6" s="21">
        <f t="shared" si="8"/>
        <v>-3.2975190000000083</v>
      </c>
      <c r="M6" s="87">
        <f t="shared" si="1"/>
        <v>96.9919727095171</v>
      </c>
      <c r="N6" s="20">
        <f t="shared" si="2"/>
        <v>-0.9993915402701022</v>
      </c>
      <c r="O6" s="20">
        <f t="shared" si="3"/>
        <v>-0.007790706580049358</v>
      </c>
      <c r="P6" s="20">
        <f t="shared" si="4"/>
        <v>-0.03399785474902963</v>
      </c>
      <c r="Q6" s="92">
        <f t="shared" si="9"/>
        <v>1.8576483563603174</v>
      </c>
      <c r="R6" s="20">
        <f t="shared" si="10"/>
        <v>0.10627744567888708</v>
      </c>
      <c r="S6" s="26">
        <f t="shared" si="11"/>
        <v>-0.4696841876709521</v>
      </c>
      <c r="T6" s="20">
        <f t="shared" si="12"/>
        <v>1.919050689141988</v>
      </c>
      <c r="U6" s="92">
        <f t="shared" si="13"/>
        <v>0.9680037983732864</v>
      </c>
      <c r="V6" s="20">
        <f t="shared" si="14"/>
        <v>0.05538021808397566</v>
      </c>
      <c r="W6" s="26">
        <f t="shared" si="15"/>
        <v>-0.24474819259774164</v>
      </c>
      <c r="X6" s="42">
        <f>IF(OR(Flag="Ignore",Flag="Hole",Flag="Det"),"",ACOS((Xnorm*VertexCalc!Xnorm+Ynorm*VertexCalc!Ynorm)/(SQRT(Xnorm^2+Ynorm^2)*SQRT(VertexCalc!Xnorm^2+VertexCalc!Ynorm^2)))*180/PI()*SIGN(Xnorm*Ynorm))</f>
        <v>176.72563508644458</v>
      </c>
      <c r="Y6" s="96">
        <f>IF(OR(Flag="Ignore",Flag="Hole",Flag="Det"),"",(1-(Xnorm*GutCalc!Xnorm+Ynorm*GutCalc!Ynorm)/(SQRT(Xnorm^2+Ynorm^2)*SQRT(GutCalc!Xnorm^2+GutCalc!Ynorm^2))))</f>
        <v>0.006307305198630986</v>
      </c>
      <c r="Z6" s="42">
        <f>IF(OR(Flag="Ignore",Flag="Hole",Flag="Det"),"",VertexCalc!Xsag*COS(Theta*PI()/180)-VertexCalc!Ysag*SIN(Theta*PI()/180))</f>
        <v>-0.0571173464492235</v>
      </c>
      <c r="AA6" s="42">
        <f>IF(OR(Flag="Ignore",Flag="Hole",Flag="Det"),"",VertexCalc!Xsag*SIN(Theta*PI()/180)+VertexCalc!Ysag*COS(Theta*PI()/180))</f>
        <v>-0.9983674717931266</v>
      </c>
      <c r="AB6" s="42">
        <f>IF(OR(Flag="Ignore",Flag="Hole",Flag="Det"),"",VertexCalc!Zsag)</f>
        <v>0</v>
      </c>
      <c r="AC6" s="72">
        <f t="shared" si="16"/>
        <v>96.34872899616128</v>
      </c>
      <c r="AE6" s="32"/>
      <c r="AF6" s="32"/>
    </row>
    <row r="7" spans="3:29" ht="13.5" thickBot="1">
      <c r="C7" s="18"/>
      <c r="D7" s="19" t="s">
        <v>97</v>
      </c>
      <c r="E7" s="19" t="s">
        <v>470</v>
      </c>
      <c r="F7" s="19"/>
      <c r="G7" s="83">
        <f ca="1" t="shared" si="5"/>
        <v>316.115744</v>
      </c>
      <c r="H7" s="21">
        <f ca="1" t="shared" si="0"/>
        <v>0.00704</v>
      </c>
      <c r="I7" s="22">
        <f ca="1" t="shared" si="0"/>
        <v>-200.122747</v>
      </c>
      <c r="J7" s="21">
        <f t="shared" si="6"/>
        <v>184.026698</v>
      </c>
      <c r="K7" s="21">
        <f t="shared" si="7"/>
        <v>21.117443</v>
      </c>
      <c r="L7" s="21">
        <f t="shared" si="8"/>
        <v>-107.999076</v>
      </c>
      <c r="M7" s="87">
        <f t="shared" si="1"/>
        <v>214.41915117940195</v>
      </c>
      <c r="N7" s="20">
        <f t="shared" si="2"/>
        <v>0.8582568160902151</v>
      </c>
      <c r="O7" s="20">
        <f t="shared" si="3"/>
        <v>0.09848673909883772</v>
      </c>
      <c r="P7" s="20">
        <f t="shared" si="4"/>
        <v>-0.5036820424199817</v>
      </c>
      <c r="Q7" s="92">
        <f t="shared" si="9"/>
        <v>-1.8488477203500944</v>
      </c>
      <c r="R7" s="20">
        <f t="shared" si="10"/>
        <v>5.110376843919795E-10</v>
      </c>
      <c r="S7" s="26">
        <f t="shared" si="11"/>
        <v>0.5987084730517365</v>
      </c>
      <c r="T7" s="20">
        <f t="shared" si="12"/>
        <v>1.9433707131547708</v>
      </c>
      <c r="U7" s="92">
        <f t="shared" si="13"/>
        <v>-0.9513613166212469</v>
      </c>
      <c r="V7" s="20">
        <f t="shared" si="14"/>
        <v>2.629645908177686E-10</v>
      </c>
      <c r="W7" s="26">
        <f t="shared" si="15"/>
        <v>0.3080773364541565</v>
      </c>
      <c r="X7" s="42">
        <f>IF(OR(Flag="Ignore",Flag="Hole",Flag="Det"),"",ACOS((Xnorm*VertexCalc!Xnorm+Ynorm*VertexCalc!Ynorm)/(SQRT(Xnorm^2+Ynorm^2)*SQRT(VertexCalc!Xnorm^2+VertexCalc!Ynorm^2)))*180/PI()*SIGN(Xnorm*Ynorm))</f>
        <v>0</v>
      </c>
      <c r="Y7" s="96">
        <f>IF(OR(Flag="Ignore",Flag="Hole",Flag="Det"),"",(1-(Xnorm*GutCalc!Xnorm+Ynorm*GutCalc!Ynorm)/(SQRT(Xnorm^2+Ynorm^2)*SQRT(GutCalc!Xnorm^2+GutCalc!Ynorm^2))))</f>
        <v>0</v>
      </c>
      <c r="Z7" s="42">
        <f>IF(OR(Flag="Ignore",Flag="Hole",Flag="Det"),"",VertexCalc!Xsag*COS(Theta*PI()/180)-VertexCalc!Ysag*SIN(Theta*PI()/180))</f>
        <v>0</v>
      </c>
      <c r="AA7" s="42">
        <f>IF(OR(Flag="Ignore",Flag="Hole",Flag="Det"),"",VertexCalc!Xsag*SIN(Theta*PI()/180)+VertexCalc!Ysag*COS(Theta*PI()/180))</f>
        <v>1</v>
      </c>
      <c r="AB7" s="42">
        <f>IF(OR(Flag="Ignore",Flag="Hole",Flag="Det"),"",VertexCalc!Zsag)</f>
        <v>0</v>
      </c>
      <c r="AC7" s="72">
        <f t="shared" si="16"/>
        <v>89.99999998493324</v>
      </c>
    </row>
    <row r="8" spans="3:29" s="5" customFormat="1" ht="13.5" thickBot="1">
      <c r="C8" s="75"/>
      <c r="D8" s="76" t="s">
        <v>98</v>
      </c>
      <c r="E8" s="76" t="s">
        <v>470</v>
      </c>
      <c r="F8" s="76"/>
      <c r="G8" s="84">
        <f ca="1" t="shared" si="5"/>
        <v>120.054658</v>
      </c>
      <c r="H8" s="77">
        <f ca="1" t="shared" si="0"/>
        <v>19.499867</v>
      </c>
      <c r="I8" s="85">
        <f ca="1" t="shared" si="0"/>
        <v>-181.314796</v>
      </c>
      <c r="J8" s="77">
        <f t="shared" si="6"/>
        <v>-196.061086</v>
      </c>
      <c r="K8" s="77">
        <f t="shared" si="7"/>
        <v>19.492827</v>
      </c>
      <c r="L8" s="77">
        <f t="shared" si="8"/>
        <v>18.807951000000003</v>
      </c>
      <c r="M8" s="88">
        <f t="shared" si="1"/>
        <v>197.92336589895018</v>
      </c>
      <c r="N8" s="78">
        <f t="shared" si="2"/>
        <v>-0.9905909042598792</v>
      </c>
      <c r="O8" s="78">
        <f t="shared" si="3"/>
        <v>0.0984867396098754</v>
      </c>
      <c r="P8" s="78">
        <f t="shared" si="4"/>
        <v>0.09502643063175475</v>
      </c>
      <c r="Q8" s="93">
        <f t="shared" si="9"/>
        <v>0.7398655988079663</v>
      </c>
      <c r="R8" s="78">
        <f t="shared" si="10"/>
        <v>-0.125778042369663</v>
      </c>
      <c r="S8" s="94">
        <f t="shared" si="11"/>
        <v>-1.062699932387238</v>
      </c>
      <c r="T8" s="78">
        <f t="shared" si="12"/>
        <v>1.3009813090654514</v>
      </c>
      <c r="U8" s="93">
        <f t="shared" si="13"/>
        <v>0.5686981001590579</v>
      </c>
      <c r="V8" s="78">
        <f t="shared" si="14"/>
        <v>-0.09667936156593561</v>
      </c>
      <c r="W8" s="94">
        <f t="shared" si="15"/>
        <v>-0.8168448885331175</v>
      </c>
      <c r="X8" s="79">
        <f>IF(OR(Flag="Ignore",Flag="Hole",Flag="Det"),"",ACOS((Xnorm*VertexCalc!Xnorm+Ynorm*VertexCalc!Ynorm)/(SQRT(Xnorm^2+Ynorm^2)*SQRT(VertexCalc!Xnorm^2+VertexCalc!Ynorm^2)))*180/PI()*SIGN(Xnorm*Ynorm))</f>
        <v>-170.3518876544402</v>
      </c>
      <c r="Y8" s="95">
        <f>IF(OR(Flag="Ignore",Flag="Hole",Flag="Det"),"",(1-(Xnorm*GutCalc!Xnorm+Ynorm*GutCalc!Ynorm)/(SQRT(Xnorm^2+Ynorm^2)*SQRT(GutCalc!Xnorm^2+GutCalc!Ynorm^2))))</f>
        <v>0.0011697126187608653</v>
      </c>
      <c r="Z8" s="79">
        <f>IF(OR(Flag="Ignore",Flag="Hole",Flag="Det"),"",VertexCalc!Xsag*COS(Theta*PI()/180)-VertexCalc!Ysag*SIN(Theta*PI()/180))</f>
        <v>0.1675966472715261</v>
      </c>
      <c r="AA8" s="79">
        <f>IF(OR(Flag="Ignore",Flag="Hole",Flag="Det"),"",VertexCalc!Xsag*SIN(Theta*PI()/180)+VertexCalc!Ysag*COS(Theta*PI()/180))</f>
        <v>-0.9858556506017215</v>
      </c>
      <c r="AB8" s="79">
        <f>IF(OR(Flag="Ignore",Flag="Hole",Flag="Det"),"",VertexCalc!Zsag)</f>
        <v>0</v>
      </c>
      <c r="AC8" s="99">
        <f t="shared" si="16"/>
        <v>79.01080991231956</v>
      </c>
    </row>
    <row r="9" spans="3:29" ht="12.75">
      <c r="C9" s="18" t="s">
        <v>443</v>
      </c>
      <c r="D9" s="19" t="s">
        <v>444</v>
      </c>
      <c r="E9" s="19" t="s">
        <v>470</v>
      </c>
      <c r="F9" s="19"/>
      <c r="G9" s="83">
        <f ca="1" t="shared" si="5"/>
        <v>94.24581</v>
      </c>
      <c r="H9" s="21">
        <f ca="1" t="shared" si="0"/>
        <v>16.690589</v>
      </c>
      <c r="I9" s="22">
        <f ca="1" t="shared" si="0"/>
        <v>-280.923961</v>
      </c>
      <c r="J9" s="21">
        <f t="shared" si="6"/>
        <v>-25.808847999999998</v>
      </c>
      <c r="K9" s="21">
        <f t="shared" si="7"/>
        <v>-2.809277999999999</v>
      </c>
      <c r="L9" s="21">
        <f t="shared" si="8"/>
        <v>-99.60916500000002</v>
      </c>
      <c r="M9" s="87">
        <f t="shared" si="1"/>
        <v>102.9367496570861</v>
      </c>
      <c r="N9" s="20">
        <f t="shared" si="2"/>
        <v>-0.25072530545191285</v>
      </c>
      <c r="O9" s="20">
        <f t="shared" si="3"/>
        <v>-0.0272913027597876</v>
      </c>
      <c r="P9" s="20">
        <f t="shared" si="4"/>
        <v>-0.9676735017554831</v>
      </c>
      <c r="Q9" s="92">
        <f t="shared" si="9"/>
        <v>0.7550368010933647</v>
      </c>
      <c r="R9" s="20">
        <f t="shared" si="10"/>
        <v>-0.05765692621206936</v>
      </c>
      <c r="S9" s="26">
        <f t="shared" si="11"/>
        <v>0.10834020567157898</v>
      </c>
      <c r="T9" s="20">
        <f t="shared" si="12"/>
        <v>0.7649460715047076</v>
      </c>
      <c r="U9" s="92">
        <f t="shared" si="13"/>
        <v>0.9870457921408098</v>
      </c>
      <c r="V9" s="20">
        <f t="shared" si="14"/>
        <v>-0.07537384445762792</v>
      </c>
      <c r="W9" s="26">
        <f t="shared" si="15"/>
        <v>0.14163116814034418</v>
      </c>
      <c r="X9" s="42">
        <f>IF(OR(Flag="Ignore",Flag="Hole",Flag="Det"),"",ACOS((Xnorm*VertexCalc!Xnorm+Ynorm*VertexCalc!Ynorm)/(SQRT(Xnorm^2+Ynorm^2)*SQRT(VertexCalc!Xnorm^2+VertexCalc!Ynorm^2)))*180/PI()*SIGN(Xnorm*Ynorm))</f>
        <v>-131.8687375012053</v>
      </c>
      <c r="Y9" s="96">
        <f>IF(OR(Flag="Ignore",Flag="Hole",Flag="Det"),"",(1-(Xnorm*GutCalc!Xnorm+Ynorm*GutCalc!Ynorm)/(SQRT(Xnorm^2+Ynorm^2)*SQRT(GutCalc!Xnorm^2+GutCalc!Ynorm^2))))</f>
        <v>1.6674198795345916</v>
      </c>
      <c r="Z9" s="42">
        <f>IF(OR(Flag="Ignore",Flag="Hole",Flag="Det"),"",VertexCalc!Xsag*COS(Theta*PI()/180)-VertexCalc!Ysag*SIN(Theta*PI()/180))</f>
        <v>0.25658970090881494</v>
      </c>
      <c r="AA9" s="42">
        <f>IF(OR(Flag="Ignore",Flag="Hole",Flag="Det"),"",VertexCalc!Xsag*SIN(Theta*PI()/180)+VertexCalc!Ysag*COS(Theta*PI()/180))</f>
        <v>-0.7367918172796638</v>
      </c>
      <c r="AB9" s="42">
        <f>IF(OR(Flag="Ignore",Flag="Hole",Flag="Det"),"",VertexCalc!Zsag)</f>
        <v>-0.6255394019382434</v>
      </c>
      <c r="AC9" s="72">
        <f t="shared" si="16"/>
        <v>77.278941347924</v>
      </c>
    </row>
    <row r="10" spans="3:29" ht="12.75">
      <c r="C10" s="18"/>
      <c r="D10" s="19" t="s">
        <v>445</v>
      </c>
      <c r="E10" s="19" t="s">
        <v>470</v>
      </c>
      <c r="F10" s="19" t="s">
        <v>144</v>
      </c>
      <c r="G10" s="83">
        <f ca="1" t="shared" si="5"/>
        <v>192.85285</v>
      </c>
      <c r="H10" s="21">
        <f ca="1" t="shared" si="0"/>
        <v>0.080828</v>
      </c>
      <c r="I10" s="22">
        <f ca="1" t="shared" si="0"/>
        <v>-448.947719</v>
      </c>
      <c r="J10" s="21">
        <f t="shared" si="6"/>
        <v>98.60703999999998</v>
      </c>
      <c r="K10" s="21">
        <f t="shared" si="7"/>
        <v>-16.609761</v>
      </c>
      <c r="L10" s="21">
        <f t="shared" si="8"/>
        <v>-168.023758</v>
      </c>
      <c r="M10" s="87">
        <f t="shared" si="1"/>
        <v>195.52804338631654</v>
      </c>
      <c r="N10" s="20">
        <f t="shared" si="2"/>
        <v>0.5043114956414518</v>
      </c>
      <c r="O10" s="20">
        <f t="shared" si="3"/>
        <v>-0.08494822897185696</v>
      </c>
      <c r="P10" s="20">
        <f t="shared" si="4"/>
        <v>-0.8593332960839041</v>
      </c>
      <c r="Q10" s="92">
        <f t="shared" si="9"/>
      </c>
      <c r="R10" s="20">
        <f t="shared" si="10"/>
      </c>
      <c r="S10" s="26">
        <f t="shared" si="11"/>
      </c>
      <c r="T10" s="20">
        <f t="shared" si="12"/>
      </c>
      <c r="U10" s="92">
        <f t="shared" si="13"/>
      </c>
      <c r="V10" s="20">
        <f t="shared" si="14"/>
      </c>
      <c r="W10" s="26">
        <f t="shared" si="15"/>
      </c>
      <c r="X10" s="42">
        <f>IF(OR(Flag="Ignore",Flag="Hole",Flag="Det"),"",ACOS((Xnorm*VertexCalc!Xnorm+Ynorm*VertexCalc!Ynorm)/(SQRT(Xnorm^2+Ynorm^2)*SQRT(VertexCalc!Xnorm^2+VertexCalc!Ynorm^2)))*180/PI()*SIGN(Xnorm*Ynorm))</f>
      </c>
      <c r="Y10" s="96">
        <f>IF(OR(Flag="Ignore",Flag="Hole",Flag="Det"),"",(1-(Xnorm*GutCalc!Xnorm+Ynorm*GutCalc!Ynorm)/(SQRT(Xnorm^2+Ynorm^2)*SQRT(GutCalc!Xnorm^2+GutCalc!Ynorm^2))))</f>
      </c>
      <c r="Z10" s="42">
        <f>IF(OR(Flag="Ignore",Flag="Hole",Flag="Det"),"",VertexCalc!Xsag*COS(Theta*PI()/180)-VertexCalc!Ysag*SIN(Theta*PI()/180))</f>
      </c>
      <c r="AA10" s="42">
        <f>IF(OR(Flag="Ignore",Flag="Hole",Flag="Det"),"",VertexCalc!Xsag*SIN(Theta*PI()/180)+VertexCalc!Ysag*COS(Theta*PI()/180))</f>
      </c>
      <c r="AB10" s="42">
        <f>IF(OR(Flag="Ignore",Flag="Hole",Flag="Det"),"",VertexCalc!Zsag)</f>
      </c>
      <c r="AC10" s="72">
        <f t="shared" si="16"/>
      </c>
    </row>
    <row r="11" spans="3:29" ht="12.75">
      <c r="C11" s="18"/>
      <c r="D11" s="19" t="s">
        <v>446</v>
      </c>
      <c r="E11" s="19" t="s">
        <v>470</v>
      </c>
      <c r="F11" s="19"/>
      <c r="G11" s="83">
        <f ca="1" t="shared" si="5"/>
        <v>421.87106800000004</v>
      </c>
      <c r="H11" s="21">
        <f ca="1" t="shared" si="0"/>
        <v>-11.624777</v>
      </c>
      <c r="I11" s="22">
        <f ca="1" t="shared" si="0"/>
        <v>-503.556441</v>
      </c>
      <c r="J11" s="21">
        <f t="shared" si="6"/>
        <v>229.01821800000005</v>
      </c>
      <c r="K11" s="21">
        <f t="shared" si="7"/>
        <v>-11.705605</v>
      </c>
      <c r="L11" s="21">
        <f t="shared" si="8"/>
        <v>-54.608722</v>
      </c>
      <c r="M11" s="87">
        <f t="shared" si="1"/>
        <v>235.7296711972951</v>
      </c>
      <c r="N11" s="20">
        <f t="shared" si="2"/>
        <v>0.9715290266040465</v>
      </c>
      <c r="O11" s="20">
        <f t="shared" si="3"/>
        <v>-0.0496569012315931</v>
      </c>
      <c r="P11" s="20">
        <f t="shared" si="4"/>
        <v>-0.2316582453224353</v>
      </c>
      <c r="Q11" s="92">
        <f t="shared" si="9"/>
        <v>-1.89219200325944</v>
      </c>
      <c r="R11" s="20">
        <f t="shared" si="10"/>
        <v>0.05162228831997849</v>
      </c>
      <c r="S11" s="26">
        <f t="shared" si="11"/>
        <v>-0.15869521075247076</v>
      </c>
      <c r="T11" s="20">
        <f t="shared" si="12"/>
        <v>1.8995366823955082</v>
      </c>
      <c r="U11" s="92">
        <f t="shared" si="13"/>
        <v>-0.9961334365352682</v>
      </c>
      <c r="V11" s="20">
        <f t="shared" si="14"/>
        <v>0.027176252397967674</v>
      </c>
      <c r="W11" s="26">
        <f t="shared" si="15"/>
        <v>-0.08354416749264353</v>
      </c>
      <c r="X11" s="42">
        <f>IF(OR(Flag="Ignore",Flag="Hole",Flag="Det"),"",ACOS((Xnorm*VertexCalc!Xnorm+Ynorm*VertexCalc!Ynorm)/(SQRT(Xnorm^2+Ynorm^2)*SQRT(VertexCalc!Xnorm^2+VertexCalc!Ynorm^2)))*180/PI()*SIGN(Xnorm*Ynorm))</f>
        <v>-134.96630665008854</v>
      </c>
      <c r="Y11" s="96">
        <f>IF(OR(Flag="Ignore",Flag="Hole",Flag="Det"),"",(1-(Xnorm*GutCalc!Xnorm+Ynorm*GutCalc!Ynorm)/(SQRT(Xnorm^2+Ynorm^2)*SQRT(GutCalc!Xnorm^2+GutCalc!Ynorm^2))))</f>
        <v>1.7066907966688354</v>
      </c>
      <c r="Z11" s="42">
        <f>IF(OR(Flag="Ignore",Flag="Hole",Flag="Det"),"",VertexCalc!Xsag*COS(Theta*PI()/180)-VertexCalc!Ysag*SIN(Theta*PI()/180))</f>
        <v>0.22329252515675604</v>
      </c>
      <c r="AA11" s="42">
        <f>IF(OR(Flag="Ignore",Flag="Hole",Flag="Det"),"",VertexCalc!Xsag*SIN(Theta*PI()/180)+VertexCalc!Ysag*COS(Theta*PI()/180))</f>
        <v>-0.6677779969791228</v>
      </c>
      <c r="AB11" s="42">
        <f>IF(OR(Flag="Ignore",Flag="Hole",Flag="Det"),"",VertexCalc!Zsag)</f>
        <v>-0.7100795694565997</v>
      </c>
      <c r="AC11" s="72">
        <f t="shared" si="16"/>
        <v>100.44280138282407</v>
      </c>
    </row>
    <row r="12" spans="3:29" ht="13.5" thickBot="1">
      <c r="C12" s="14"/>
      <c r="D12" s="15" t="s">
        <v>447</v>
      </c>
      <c r="E12" s="15" t="s">
        <v>470</v>
      </c>
      <c r="F12" s="15"/>
      <c r="G12" s="83">
        <f ca="1" t="shared" si="5"/>
        <v>131.35487999999998</v>
      </c>
      <c r="H12" s="21">
        <f ca="1" t="shared" si="0"/>
        <v>-11.004597</v>
      </c>
      <c r="I12" s="22">
        <f ca="1" t="shared" si="0"/>
        <v>-626.732892</v>
      </c>
      <c r="J12" s="21">
        <f t="shared" si="6"/>
        <v>-290.51618800000006</v>
      </c>
      <c r="K12" s="21">
        <f t="shared" si="7"/>
        <v>0.6201799999999995</v>
      </c>
      <c r="L12" s="21">
        <f t="shared" si="8"/>
        <v>-123.17645099999999</v>
      </c>
      <c r="M12" s="87">
        <f t="shared" si="1"/>
        <v>315.55107065931367</v>
      </c>
      <c r="N12" s="20">
        <f t="shared" si="2"/>
        <v>-0.9206629766553933</v>
      </c>
      <c r="O12" s="20">
        <f t="shared" si="3"/>
        <v>0.0019653870883853852</v>
      </c>
      <c r="P12" s="20">
        <f t="shared" si="4"/>
        <v>-0.39035345607490607</v>
      </c>
      <c r="Q12" s="92">
        <f t="shared" si="9"/>
        <v>0.9084050096860423</v>
      </c>
      <c r="R12" s="20">
        <f t="shared" si="10"/>
        <v>-1.001838481153741</v>
      </c>
      <c r="S12" s="26">
        <f t="shared" si="11"/>
        <v>0.3801780931845394</v>
      </c>
      <c r="T12" s="20">
        <f t="shared" si="12"/>
        <v>1.4047830389353957</v>
      </c>
      <c r="U12" s="92">
        <f t="shared" si="13"/>
        <v>0.6466514646806031</v>
      </c>
      <c r="V12" s="20">
        <f t="shared" si="14"/>
        <v>-0.713162426785119</v>
      </c>
      <c r="W12" s="26">
        <f t="shared" si="15"/>
        <v>0.27063118121973806</v>
      </c>
      <c r="X12" s="42">
        <f>IF(OR(Flag="Ignore",Flag="Hole",Flag="Det"),"",ACOS((Xnorm*VertexCalc!Xnorm+Ynorm*VertexCalc!Ynorm)/(SQRT(Xnorm^2+Ynorm^2)*SQRT(VertexCalc!Xnorm^2+VertexCalc!Ynorm^2)))*180/PI()*SIGN(Xnorm*Ynorm))</f>
        <v>-132.19979119305555</v>
      </c>
      <c r="Y12" s="96">
        <f>IF(OR(Flag="Ignore",Flag="Hole",Flag="Det"),"",(1-(Xnorm*GutCalc!Xnorm+Ynorm*GutCalc!Ynorm)/(SQRT(Xnorm^2+Ynorm^2)*SQRT(GutCalc!Xnorm^2+GutCalc!Ynorm^2))))</f>
        <v>1.6717059937478045</v>
      </c>
      <c r="Z12" s="42">
        <f>IF(OR(Flag="Ignore",Flag="Hole",Flag="Det"),"",VertexCalc!Xsag*COS(Theta*PI()/180)-VertexCalc!Ysag*SIN(Theta*PI()/180))</f>
        <v>0.7238082634020724</v>
      </c>
      <c r="AA12" s="42">
        <f>IF(OR(Flag="Ignore",Flag="Hole",Flag="Det"),"",VertexCalc!Xsag*SIN(Theta*PI()/180)+VertexCalc!Ysag*COS(Theta*PI()/180))</f>
        <v>-0.6817012787728156</v>
      </c>
      <c r="AB12" s="42">
        <f>IF(OR(Flag="Ignore",Flag="Hole",Flag="Det"),"",VertexCalc!Zsag)</f>
        <v>-0.10670034840797878</v>
      </c>
      <c r="AC12" s="72">
        <f t="shared" si="16"/>
        <v>22.280475510096135</v>
      </c>
    </row>
    <row r="13" spans="3:29" ht="12.75">
      <c r="C13" s="10" t="s">
        <v>449</v>
      </c>
      <c r="D13" s="11" t="s">
        <v>448</v>
      </c>
      <c r="E13" s="11" t="s">
        <v>470</v>
      </c>
      <c r="F13" s="11"/>
      <c r="G13" s="83">
        <f ca="1" t="shared" si="5"/>
        <v>131.07125100000002</v>
      </c>
      <c r="H13" s="21">
        <f ca="1" t="shared" si="0"/>
        <v>-34.14</v>
      </c>
      <c r="I13" s="22">
        <f ca="1" t="shared" si="0"/>
        <v>-626.968333</v>
      </c>
      <c r="J13" s="21">
        <f t="shared" si="6"/>
        <v>-0.28362899999996216</v>
      </c>
      <c r="K13" s="21">
        <f t="shared" si="7"/>
        <v>-23.135403</v>
      </c>
      <c r="L13" s="21">
        <f t="shared" si="8"/>
        <v>-0.2354410000000371</v>
      </c>
      <c r="M13" s="87">
        <f t="shared" si="1"/>
        <v>23.138339392586733</v>
      </c>
      <c r="N13" s="20">
        <f t="shared" si="2"/>
        <v>-0.012257966969351039</v>
      </c>
      <c r="O13" s="20">
        <f t="shared" si="3"/>
        <v>-0.9998730940653557</v>
      </c>
      <c r="P13" s="20">
        <f t="shared" si="4"/>
        <v>-0.010175362890366703</v>
      </c>
      <c r="Q13" s="92">
        <f t="shared" si="9"/>
        <v>0.3329744099634641</v>
      </c>
      <c r="R13" s="20">
        <f t="shared" si="10"/>
        <v>1.898616430025311</v>
      </c>
      <c r="S13" s="26">
        <f t="shared" si="11"/>
        <v>0.30917599710503624</v>
      </c>
      <c r="T13" s="20">
        <f t="shared" si="12"/>
        <v>1.9522310578511108</v>
      </c>
      <c r="U13" s="92">
        <f t="shared" si="13"/>
        <v>0.1705609633779624</v>
      </c>
      <c r="V13" s="20">
        <f t="shared" si="14"/>
        <v>0.9725367406638765</v>
      </c>
      <c r="W13" s="26">
        <f t="shared" si="15"/>
        <v>0.1583705964832652</v>
      </c>
      <c r="X13" s="42">
        <f>IF(OR(Flag="Ignore",Flag="Hole",Flag="Det"),"",ACOS((Xnorm*VertexCalc!Xnorm+Ynorm*VertexCalc!Ynorm)/(SQRT(Xnorm^2+Ynorm^2)*SQRT(VertexCalc!Xnorm^2+VertexCalc!Ynorm^2)))*180/PI()*SIGN(Xnorm*Ynorm))</f>
        <v>99.94722495711532</v>
      </c>
      <c r="Y13" s="96">
        <f>IF(OR(Flag="Ignore",Flag="Hole",Flag="Det"),"",(1-(Xnorm*GutCalc!Xnorm+Ynorm*GutCalc!Ynorm)/(SQRT(Xnorm^2+Ynorm^2)*SQRT(GutCalc!Xnorm^2+GutCalc!Ynorm^2))))</f>
        <v>0.8272590005195443</v>
      </c>
      <c r="Z13" s="42">
        <f>IF(OR(Flag="Ignore",Flag="Hole",Flag="Det"),"",VertexCalc!Xsag*COS(Theta*PI()/180)-VertexCalc!Ysag*SIN(Theta*PI()/180))</f>
        <v>-0.9849672822578482</v>
      </c>
      <c r="AA13" s="42">
        <f>IF(OR(Flag="Ignore",Flag="Hole",Flag="Det"),"",VertexCalc!Xsag*SIN(Theta*PI()/180)+VertexCalc!Ysag*COS(Theta*PI()/180))</f>
        <v>-0.17274099942280133</v>
      </c>
      <c r="AB13" s="42">
        <f>IF(OR(Flag="Ignore",Flag="Hole",Flag="Det"),"",VertexCalc!Zsag)</f>
        <v>0</v>
      </c>
      <c r="AC13" s="72">
        <f t="shared" si="16"/>
        <v>109.63299007780952</v>
      </c>
    </row>
    <row r="14" spans="3:29" ht="12.75">
      <c r="C14" s="18"/>
      <c r="D14" s="19" t="s">
        <v>450</v>
      </c>
      <c r="E14" s="19" t="s">
        <v>470</v>
      </c>
      <c r="F14" s="19"/>
      <c r="G14" s="83">
        <f ca="1" t="shared" si="5"/>
        <v>139.389571</v>
      </c>
      <c r="H14" s="21">
        <f ca="1" t="shared" si="0"/>
        <v>-10.829581</v>
      </c>
      <c r="I14" s="22">
        <f ca="1" t="shared" si="0"/>
        <v>-619.213249</v>
      </c>
      <c r="J14" s="21">
        <f t="shared" si="6"/>
        <v>8.318319999999972</v>
      </c>
      <c r="K14" s="21">
        <f t="shared" si="7"/>
        <v>23.310419000000003</v>
      </c>
      <c r="L14" s="21">
        <f t="shared" si="8"/>
        <v>7.755084000000011</v>
      </c>
      <c r="M14" s="87">
        <f t="shared" si="1"/>
        <v>25.93668077115915</v>
      </c>
      <c r="N14" s="20">
        <f t="shared" si="2"/>
        <v>0.32071644299411306</v>
      </c>
      <c r="O14" s="20">
        <f t="shared" si="3"/>
        <v>0.8987433359599554</v>
      </c>
      <c r="P14" s="20">
        <f t="shared" si="4"/>
        <v>0.29900063421466955</v>
      </c>
      <c r="Q14" s="92">
        <f t="shared" si="9"/>
        <v>0.566392209922713</v>
      </c>
      <c r="R14" s="20">
        <f t="shared" si="10"/>
        <v>-0.8966456532665045</v>
      </c>
      <c r="S14" s="26">
        <f t="shared" si="11"/>
        <v>0.16255525367693985</v>
      </c>
      <c r="T14" s="20">
        <f t="shared" si="12"/>
        <v>1.0729388489009173</v>
      </c>
      <c r="U14" s="92">
        <f t="shared" si="13"/>
        <v>0.5278886215210739</v>
      </c>
      <c r="V14" s="20">
        <f t="shared" si="14"/>
        <v>-0.8356912923648895</v>
      </c>
      <c r="W14" s="26">
        <f t="shared" si="15"/>
        <v>0.15150467693797837</v>
      </c>
      <c r="X14" s="42">
        <f>IF(OR(Flag="Ignore",Flag="Hole",Flag="Det"),"",ACOS((Xnorm*VertexCalc!Xnorm+Ynorm*VertexCalc!Ynorm)/(SQRT(Xnorm^2+Ynorm^2)*SQRT(VertexCalc!Xnorm^2+VertexCalc!Ynorm^2)))*180/PI()*SIGN(Xnorm*Ynorm))</f>
        <v>-122.27974118325147</v>
      </c>
      <c r="Y14" s="96">
        <f>IF(OR(Flag="Ignore",Flag="Hole",Flag="Det"),"",(1-(Xnorm*GutCalc!Xnorm+Ynorm*GutCalc!Ynorm)/(SQRT(Xnorm^2+Ynorm^2)*SQRT(GutCalc!Xnorm^2+GutCalc!Ynorm^2))))</f>
        <v>1.5340612121475887</v>
      </c>
      <c r="Z14" s="42">
        <f>IF(OR(Flag="Ignore",Flag="Hole",Flag="Det"),"",VertexCalc!Xsag*COS(Theta*PI()/180)-VertexCalc!Ysag*SIN(Theta*PI()/180))</f>
        <v>0.8454507183162374</v>
      </c>
      <c r="AA14" s="42">
        <f>IF(OR(Flag="Ignore",Flag="Hole",Flag="Det"),"",VertexCalc!Xsag*SIN(Theta*PI()/180)+VertexCalc!Ysag*COS(Theta*PI()/180))</f>
        <v>-0.5340534457323145</v>
      </c>
      <c r="AB14" s="42">
        <f>IF(OR(Flag="Ignore",Flag="Hole",Flag="Det"),"",VertexCalc!Zsag)</f>
        <v>0</v>
      </c>
      <c r="AC14" s="72">
        <f t="shared" si="16"/>
        <v>26.797228328973173</v>
      </c>
    </row>
    <row r="15" spans="3:29" ht="12.75">
      <c r="C15" s="18"/>
      <c r="D15" s="19" t="s">
        <v>451</v>
      </c>
      <c r="E15" s="19" t="s">
        <v>470</v>
      </c>
      <c r="F15" s="19"/>
      <c r="G15" s="83">
        <f ca="1" t="shared" si="5"/>
        <v>342.331781</v>
      </c>
      <c r="H15" s="21">
        <f ca="1" t="shared" si="0"/>
        <v>-10.349698</v>
      </c>
      <c r="I15" s="22">
        <f ca="1" t="shared" si="0"/>
        <v>-513.62396</v>
      </c>
      <c r="J15" s="21">
        <f t="shared" si="6"/>
        <v>202.94221</v>
      </c>
      <c r="K15" s="21">
        <f t="shared" si="7"/>
        <v>0.47988299999999917</v>
      </c>
      <c r="L15" s="21">
        <f t="shared" si="8"/>
        <v>105.58928900000001</v>
      </c>
      <c r="M15" s="87">
        <f t="shared" si="1"/>
        <v>228.76815521156632</v>
      </c>
      <c r="N15" s="20">
        <f t="shared" si="2"/>
        <v>0.8871086529168261</v>
      </c>
      <c r="O15" s="20">
        <f t="shared" si="3"/>
        <v>0.0020976826934509312</v>
      </c>
      <c r="P15" s="20">
        <f t="shared" si="4"/>
        <v>0.4615558878916094</v>
      </c>
      <c r="Q15" s="92">
        <f t="shared" si="9"/>
        <v>-1.5128380858775305</v>
      </c>
      <c r="R15" s="20">
        <f t="shared" si="10"/>
        <v>-0.7782664571199813</v>
      </c>
      <c r="S15" s="26">
        <f t="shared" si="11"/>
        <v>-0.539174895434175</v>
      </c>
      <c r="T15" s="20">
        <f t="shared" si="12"/>
        <v>1.7846812937401826</v>
      </c>
      <c r="U15" s="92">
        <f t="shared" si="13"/>
        <v>-0.8476796900286065</v>
      </c>
      <c r="V15" s="20">
        <f t="shared" si="14"/>
        <v>-0.4360814784408688</v>
      </c>
      <c r="W15" s="26">
        <f t="shared" si="15"/>
        <v>-0.30211270624359954</v>
      </c>
      <c r="X15" s="42">
        <f>IF(OR(Flag="Ignore",Flag="Hole",Flag="Det"),"",ACOS((Xnorm*VertexCalc!Xnorm+Ynorm*VertexCalc!Ynorm)/(SQRT(Xnorm^2+Ynorm^2)*SQRT(VertexCalc!Xnorm^2+VertexCalc!Ynorm^2)))*180/PI()*SIGN(Xnorm*Ynorm))</f>
        <v>27.223162877353754</v>
      </c>
      <c r="Y15" s="96">
        <f>IF(OR(Flag="Ignore",Flag="Hole",Flag="Det"),"",(1-(Xnorm*GutCalc!Xnorm+Ynorm*GutCalc!Ynorm)/(SQRT(Xnorm^2+Ynorm^2)*SQRT(GutCalc!Xnorm^2+GutCalc!Ynorm^2))))</f>
        <v>1.8892695813771478</v>
      </c>
      <c r="Z15" s="42">
        <f>IF(OR(Flag="Ignore",Flag="Hole",Flag="Det"),"",VertexCalc!Xsag*COS(Theta*PI()/180)-VertexCalc!Ysag*SIN(Theta*PI()/180))</f>
        <v>-0.4574574526964913</v>
      </c>
      <c r="AA15" s="42">
        <f>IF(OR(Flag="Ignore",Flag="Hole",Flag="Det"),"",VertexCalc!Xsag*SIN(Theta*PI()/180)+VertexCalc!Ysag*COS(Theta*PI()/180))</f>
        <v>0.8892315103348719</v>
      </c>
      <c r="AB15" s="42">
        <f>IF(OR(Flag="Ignore",Flag="Hole",Flag="Det"),"",VertexCalc!Zsag)</f>
        <v>0</v>
      </c>
      <c r="AC15" s="72">
        <f t="shared" si="16"/>
        <v>90</v>
      </c>
    </row>
    <row r="16" spans="3:29" ht="12.75">
      <c r="C16" s="18"/>
      <c r="D16" s="19" t="s">
        <v>452</v>
      </c>
      <c r="E16" s="19" t="s">
        <v>470</v>
      </c>
      <c r="F16" s="19"/>
      <c r="G16" s="83">
        <f ca="1" t="shared" si="5"/>
        <v>292.158272</v>
      </c>
      <c r="H16" s="21">
        <f ca="1" t="shared" si="0"/>
        <v>-72.58604</v>
      </c>
      <c r="I16" s="22">
        <f ca="1" t="shared" si="0"/>
        <v>-519.847765</v>
      </c>
      <c r="J16" s="21">
        <f t="shared" si="6"/>
        <v>-50.17350899999997</v>
      </c>
      <c r="K16" s="21">
        <f t="shared" si="7"/>
        <v>-62.23634199999999</v>
      </c>
      <c r="L16" s="21">
        <f t="shared" si="8"/>
        <v>-6.22380499999997</v>
      </c>
      <c r="M16" s="87">
        <f t="shared" si="1"/>
        <v>80.18403219838764</v>
      </c>
      <c r="N16" s="20">
        <f t="shared" si="2"/>
        <v>-0.6257294329607045</v>
      </c>
      <c r="O16" s="20">
        <f t="shared" si="3"/>
        <v>-0.7761687744265304</v>
      </c>
      <c r="P16" s="20">
        <f t="shared" si="4"/>
        <v>-0.07761900754256557</v>
      </c>
      <c r="Q16" s="92">
        <f t="shared" si="9"/>
        <v>1.2514588556050819</v>
      </c>
      <c r="R16" s="20">
        <f t="shared" si="10"/>
        <v>1.5523375538608124</v>
      </c>
      <c r="S16" s="26">
        <f t="shared" si="11"/>
        <v>0.15523804817455814</v>
      </c>
      <c r="T16" s="20">
        <f t="shared" si="12"/>
        <v>1.9999999999999996</v>
      </c>
      <c r="U16" s="92">
        <f t="shared" si="13"/>
        <v>0.625729427802541</v>
      </c>
      <c r="V16" s="20">
        <f t="shared" si="14"/>
        <v>0.7761687769304064</v>
      </c>
      <c r="W16" s="26">
        <f t="shared" si="15"/>
        <v>0.07761902408727908</v>
      </c>
      <c r="X16" s="42">
        <f>IF(OR(Flag="Ignore",Flag="Hole",Flag="Det"),"",ACOS((Xnorm*VertexCalc!Xnorm+Ynorm*VertexCalc!Ynorm)/(SQRT(Xnorm^2+Ynorm^2)*SQRT(VertexCalc!Xnorm^2+VertexCalc!Ynorm^2)))*180/PI()*SIGN(Xnorm*Ynorm))</f>
        <v>105.8606483888242</v>
      </c>
      <c r="Y16" s="96">
        <f>IF(OR(Flag="Ignore",Flag="Hole",Flag="Det"),"",(1-(Xnorm*GutCalc!Xnorm+Ynorm*GutCalc!Ynorm)/(SQRT(Xnorm^2+Ynorm^2)*SQRT(GutCalc!Xnorm^2+GutCalc!Ynorm^2))))</f>
        <v>1.9980251141910164</v>
      </c>
      <c r="Z16" s="42">
        <f>IF(OR(Flag="Ignore",Flag="Hole",Flag="Det"),"",VertexCalc!Xsag*COS(Theta*PI()/180)-VertexCalc!Ysag*SIN(Theta*PI()/180))</f>
        <v>-0.816835997874512</v>
      </c>
      <c r="AA16" s="42">
        <f>IF(OR(Flag="Ignore",Flag="Hole",Flag="Det"),"",VertexCalc!Xsag*SIN(Theta*PI()/180)+VertexCalc!Ysag*COS(Theta*PI()/180))</f>
        <v>0.28771331664757904</v>
      </c>
      <c r="AB16" s="42">
        <f>IF(OR(Flag="Ignore",Flag="Hole",Flag="Det"),"",VertexCalc!Zsag)</f>
        <v>0.5</v>
      </c>
      <c r="AC16" s="72">
        <f t="shared" si="16"/>
        <v>104.41803266547561</v>
      </c>
    </row>
    <row r="17" spans="3:29" ht="12.75">
      <c r="C17" s="18"/>
      <c r="D17" s="19" t="s">
        <v>453</v>
      </c>
      <c r="E17" s="19" t="s">
        <v>470</v>
      </c>
      <c r="F17" s="19"/>
      <c r="G17" s="83">
        <f ca="1" t="shared" si="5"/>
        <v>300.606691</v>
      </c>
      <c r="H17" s="21">
        <f ca="1" t="shared" si="0"/>
        <v>-62.106432</v>
      </c>
      <c r="I17" s="22">
        <f ca="1" t="shared" si="0"/>
        <v>-518.799775</v>
      </c>
      <c r="J17" s="21">
        <f t="shared" si="6"/>
        <v>8.448419000000001</v>
      </c>
      <c r="K17" s="21">
        <f t="shared" si="7"/>
        <v>10.479607999999999</v>
      </c>
      <c r="L17" s="21">
        <f t="shared" si="8"/>
        <v>1.047990000000027</v>
      </c>
      <c r="M17" s="87">
        <f t="shared" si="1"/>
        <v>13.501712871829449</v>
      </c>
      <c r="N17" s="20">
        <f t="shared" si="2"/>
        <v>0.6257294226443775</v>
      </c>
      <c r="O17" s="20">
        <f t="shared" si="3"/>
        <v>0.7761687794342821</v>
      </c>
      <c r="P17" s="20">
        <f t="shared" si="4"/>
        <v>0.07761904063199257</v>
      </c>
      <c r="Q17" s="92">
        <f t="shared" si="9"/>
        <v>-0.046884388547243416</v>
      </c>
      <c r="R17" s="20">
        <f t="shared" si="10"/>
        <v>0.03611806971806564</v>
      </c>
      <c r="S17" s="26">
        <f t="shared" si="11"/>
        <v>-0.006005486082319503</v>
      </c>
      <c r="T17" s="20">
        <f t="shared" si="12"/>
        <v>0.059487197889065785</v>
      </c>
      <c r="U17" s="92">
        <f t="shared" si="13"/>
        <v>-0.788142494704077</v>
      </c>
      <c r="V17" s="20">
        <f t="shared" si="14"/>
        <v>0.6071570186482833</v>
      </c>
      <c r="W17" s="26">
        <f t="shared" si="15"/>
        <v>-0.10095426067166223</v>
      </c>
      <c r="X17" s="42">
        <f>IF(OR(Flag="Ignore",Flag="Hole",Flag="Det"),"",ACOS((Xnorm*VertexCalc!Xnorm+Ynorm*VertexCalc!Ynorm)/(SQRT(Xnorm^2+Ynorm^2)*SQRT(VertexCalc!Xnorm^2+VertexCalc!Ynorm^2)))*180/PI()*SIGN(Xnorm*Ynorm))</f>
        <v>-87.65500906847414</v>
      </c>
      <c r="Y17" s="96">
        <f>IF(OR(Flag="Ignore",Flag="Hole",Flag="Det"),"",(1-(Xnorm*GutCalc!Xnorm+Ynorm*GutCalc!Ynorm)/(SQRT(Xnorm^2+Ynorm^2)*SQRT(GutCalc!Xnorm^2+GutCalc!Ynorm^2))))</f>
        <v>1.456404356245696</v>
      </c>
      <c r="Z17" s="42">
        <f>IF(OR(Flag="Ignore",Flag="Hole",Flag="Det"),"",VertexCalc!Xsag*COS(Theta*PI()/180)-VertexCalc!Ysag*SIN(Theta*PI()/180))</f>
        <v>0.6860564378823003</v>
      </c>
      <c r="AA17" s="42">
        <f>IF(OR(Flag="Ignore",Flag="Hole",Flag="Det"),"",VertexCalc!Xsag*SIN(Theta*PI()/180)+VertexCalc!Ysag*COS(Theta*PI()/180))</f>
        <v>0.5285135419648672</v>
      </c>
      <c r="AB17" s="42">
        <f>IF(OR(Flag="Ignore",Flag="Hole",Flag="Det"),"",VertexCalc!Zsag)</f>
        <v>-0.5</v>
      </c>
      <c r="AC17" s="72">
        <f t="shared" si="16"/>
        <v>99.7495867628141</v>
      </c>
    </row>
    <row r="18" spans="3:29" ht="12.75">
      <c r="C18" s="18"/>
      <c r="D18" s="19" t="s">
        <v>455</v>
      </c>
      <c r="E18" s="19" t="s">
        <v>470</v>
      </c>
      <c r="F18" s="19"/>
      <c r="G18" s="83">
        <f ca="1" t="shared" si="5"/>
        <v>337.543836</v>
      </c>
      <c r="H18" s="21">
        <f ca="1" t="shared" si="5"/>
        <v>-10.272944</v>
      </c>
      <c r="I18" s="22">
        <f ca="1" t="shared" si="5"/>
        <v>-514.229985</v>
      </c>
      <c r="J18" s="21">
        <f t="shared" si="6"/>
        <v>36.93714499999999</v>
      </c>
      <c r="K18" s="21">
        <f t="shared" si="7"/>
        <v>51.833487999999996</v>
      </c>
      <c r="L18" s="21">
        <f t="shared" si="8"/>
        <v>4.569789999999898</v>
      </c>
      <c r="M18" s="87">
        <f t="shared" si="1"/>
        <v>63.81180251051733</v>
      </c>
      <c r="N18" s="20">
        <f t="shared" si="2"/>
        <v>0.5788450340971341</v>
      </c>
      <c r="O18" s="20">
        <f t="shared" si="3"/>
        <v>0.8122868491523477</v>
      </c>
      <c r="P18" s="20">
        <f t="shared" si="4"/>
        <v>0.07161355454967307</v>
      </c>
      <c r="Q18" s="92">
        <f t="shared" si="9"/>
        <v>0.19296923890096362</v>
      </c>
      <c r="R18" s="20">
        <f t="shared" si="10"/>
        <v>-0.8332055484699404</v>
      </c>
      <c r="S18" s="26">
        <f t="shared" si="11"/>
        <v>0.5638902896678722</v>
      </c>
      <c r="T18" s="20">
        <f t="shared" si="12"/>
        <v>1.024422213711138</v>
      </c>
      <c r="U18" s="92">
        <f t="shared" si="13"/>
        <v>0.18836885448032292</v>
      </c>
      <c r="V18" s="20">
        <f t="shared" si="14"/>
        <v>-0.8133419378436907</v>
      </c>
      <c r="W18" s="26">
        <f t="shared" si="15"/>
        <v>0.5504471516925495</v>
      </c>
      <c r="X18" s="42">
        <f>IF(OR(Flag="Ignore",Flag="Hole",Flag="Det"),"",ACOS((Xnorm*VertexCalc!Xnorm+Ynorm*VertexCalc!Ynorm)/(SQRT(Xnorm^2+Ynorm^2)*SQRT(VertexCalc!Xnorm^2+VertexCalc!Ynorm^2)))*180/PI()*SIGN(Xnorm*Ynorm))</f>
        <v>-76.96027469814504</v>
      </c>
      <c r="Y18" s="96">
        <f>IF(OR(Flag="Ignore",Flag="Hole",Flag="Det"),"",(1-(Xnorm*GutCalc!Xnorm+Ynorm*GutCalc!Ynorm)/(SQRT(Xnorm^2+Ynorm^2)*SQRT(GutCalc!Xnorm^2+GutCalc!Ynorm^2))))</f>
        <v>1.2256017192193256</v>
      </c>
      <c r="Z18" s="42">
        <f>IF(OR(Flag="Ignore",Flag="Hole",Flag="Det"),"",VertexCalc!Xsag*COS(Theta*PI()/180)-VertexCalc!Ysag*SIN(Theta*PI()/180))</f>
        <v>0.9742138636400566</v>
      </c>
      <c r="AA18" s="42">
        <f>IF(OR(Flag="Ignore",Flag="Hole",Flag="Det"),"",VertexCalc!Xsag*SIN(Theta*PI()/180)+VertexCalc!Ysag*COS(Theta*PI()/180))</f>
        <v>0.22562656734416972</v>
      </c>
      <c r="AB18" s="42">
        <f>IF(OR(Flag="Ignore",Flag="Hole",Flag="Det"),"",VertexCalc!Zsag)</f>
        <v>0</v>
      </c>
      <c r="AC18" s="72">
        <f t="shared" si="16"/>
        <v>90</v>
      </c>
    </row>
    <row r="19" spans="3:29" ht="12.75">
      <c r="C19" s="18"/>
      <c r="D19" s="19" t="s">
        <v>454</v>
      </c>
      <c r="E19" s="19" t="s">
        <v>470</v>
      </c>
      <c r="F19" s="19"/>
      <c r="G19" s="83">
        <f ca="1" t="shared" si="5"/>
        <v>382.145705</v>
      </c>
      <c r="H19" s="21">
        <f ca="1" t="shared" si="5"/>
        <v>-11.481801</v>
      </c>
      <c r="I19" s="22">
        <f ca="1" t="shared" si="5"/>
        <v>-477.50527</v>
      </c>
      <c r="J19" s="21">
        <f t="shared" si="6"/>
        <v>44.60186900000002</v>
      </c>
      <c r="K19" s="21">
        <f t="shared" si="7"/>
        <v>-1.208857</v>
      </c>
      <c r="L19" s="21">
        <f t="shared" si="8"/>
        <v>36.72471500000006</v>
      </c>
      <c r="M19" s="87">
        <f t="shared" si="1"/>
        <v>57.78834437298616</v>
      </c>
      <c r="N19" s="20">
        <f t="shared" si="2"/>
        <v>0.7718142729980977</v>
      </c>
      <c r="O19" s="20">
        <f t="shared" si="3"/>
        <v>-0.020918699317592743</v>
      </c>
      <c r="P19" s="20">
        <f t="shared" si="4"/>
        <v>0.6355038442175454</v>
      </c>
      <c r="Q19" s="92">
        <f t="shared" si="9"/>
        <v>-0.7708277463979292</v>
      </c>
      <c r="R19" s="20">
        <f t="shared" si="10"/>
        <v>0.005016824775803751</v>
      </c>
      <c r="S19" s="26">
        <f t="shared" si="11"/>
        <v>0.3643692263025704</v>
      </c>
      <c r="T19" s="20">
        <f t="shared" si="12"/>
        <v>0.8526227279542078</v>
      </c>
      <c r="U19" s="92">
        <f t="shared" si="13"/>
        <v>-0.9040666183594022</v>
      </c>
      <c r="V19" s="20">
        <f t="shared" si="14"/>
        <v>0.005883991373114314</v>
      </c>
      <c r="W19" s="26">
        <f t="shared" si="15"/>
        <v>0.42735105968479387</v>
      </c>
      <c r="X19" s="42">
        <f>IF(OR(Flag="Ignore",Flag="Hole",Flag="Det"),"",ACOS((Xnorm*VertexCalc!Xnorm+Ynorm*VertexCalc!Ynorm)/(SQRT(Xnorm^2+Ynorm^2)*SQRT(VertexCalc!Xnorm^2+VertexCalc!Ynorm^2)))*180/PI()*SIGN(Xnorm*Ynorm))</f>
        <v>-179.62710368291468</v>
      </c>
      <c r="Y19" s="96">
        <f>IF(OR(Flag="Ignore",Flag="Hole",Flag="Det"),"",(1-(Xnorm*GutCalc!Xnorm+Ynorm*GutCalc!Ynorm)/(SQRT(Xnorm^2+Ynorm^2)*SQRT(GutCalc!Xnorm^2+GutCalc!Ynorm^2))))</f>
        <v>1.9999788212967284</v>
      </c>
      <c r="Z19" s="42">
        <f>IF(OR(Flag="Ignore",Flag="Hole",Flag="Det"),"",VertexCalc!Xsag*COS(Theta*PI()/180)-VertexCalc!Ysag*SIN(Theta*PI()/180))</f>
        <v>0.0065082225560689835</v>
      </c>
      <c r="AA19" s="42">
        <f>IF(OR(Flag="Ignore",Flag="Hole",Flag="Det"),"",VertexCalc!Xsag*SIN(Theta*PI()/180)+VertexCalc!Ysag*COS(Theta*PI()/180))</f>
        <v>-0.9999788212953115</v>
      </c>
      <c r="AB19" s="42">
        <f>IF(OR(Flag="Ignore",Flag="Hole",Flag="Det"),"",VertexCalc!Zsag)</f>
        <v>1.4905111812031573E-08</v>
      </c>
      <c r="AC19" s="72">
        <f t="shared" si="16"/>
        <v>90.67425666230761</v>
      </c>
    </row>
    <row r="20" spans="3:29" ht="12.75">
      <c r="C20" s="18"/>
      <c r="D20" s="19" t="s">
        <v>456</v>
      </c>
      <c r="E20" s="19" t="s">
        <v>470</v>
      </c>
      <c r="F20" s="19"/>
      <c r="G20" s="83">
        <f ca="1" t="shared" si="5"/>
        <v>382.154575</v>
      </c>
      <c r="H20" s="21">
        <f ca="1" t="shared" si="5"/>
        <v>-11.624777</v>
      </c>
      <c r="I20" s="22">
        <f ca="1" t="shared" si="5"/>
        <v>-468.51527</v>
      </c>
      <c r="J20" s="21">
        <f t="shared" si="6"/>
        <v>0.00887000000000171</v>
      </c>
      <c r="K20" s="21">
        <f t="shared" si="7"/>
        <v>-0.1429759999999991</v>
      </c>
      <c r="L20" s="21">
        <f t="shared" si="8"/>
        <v>8.990000000000009</v>
      </c>
      <c r="M20" s="87">
        <f t="shared" si="1"/>
        <v>8.99114124088128</v>
      </c>
      <c r="N20" s="20">
        <f t="shared" si="2"/>
        <v>0.0009865266001685348</v>
      </c>
      <c r="O20" s="20">
        <f t="shared" si="3"/>
        <v>-0.015901874541788992</v>
      </c>
      <c r="P20" s="20">
        <f t="shared" si="4"/>
        <v>0.9998730705201158</v>
      </c>
      <c r="Q20" s="92">
        <f t="shared" si="9"/>
        <v>-0.3597937211834253</v>
      </c>
      <c r="R20" s="20">
        <f t="shared" si="10"/>
        <v>0.03905451234200011</v>
      </c>
      <c r="S20" s="26">
        <f t="shared" si="11"/>
        <v>-0.0667485598152554</v>
      </c>
      <c r="T20" s="20">
        <f t="shared" si="12"/>
        <v>0.3680110690926273</v>
      </c>
      <c r="U20" s="92">
        <f t="shared" si="13"/>
        <v>-0.9776709218843258</v>
      </c>
      <c r="V20" s="20">
        <f t="shared" si="14"/>
        <v>0.10612320014801023</v>
      </c>
      <c r="W20" s="26">
        <f t="shared" si="15"/>
        <v>-0.18137650038579406</v>
      </c>
      <c r="X20" s="42">
        <f>IF(OR(Flag="Ignore",Flag="Hole",Flag="Det"),"",ACOS((Xnorm*VertexCalc!Xnorm+Ynorm*VertexCalc!Ynorm)/(SQRT(Xnorm^2+Ynorm^2)*SQRT(VertexCalc!Xnorm^2+VertexCalc!Ynorm^2)))*180/PI()*SIGN(Xnorm*Ynorm))</f>
        <v>-173.80497255222275</v>
      </c>
      <c r="Y20" s="96">
        <f>IF(OR(Flag="Ignore",Flag="Hole",Flag="Det"),"",(1-(Xnorm*GutCalc!Xnorm+Ynorm*GutCalc!Ynorm)/(SQRT(Xnorm^2+Ynorm^2)*SQRT(GutCalc!Xnorm^2+GutCalc!Ynorm^2))))</f>
        <v>0.005837642050879888</v>
      </c>
      <c r="Z20" s="42">
        <f>IF(OR(Flag="Ignore",Flag="Hole",Flag="Det"),"",VertexCalc!Xsag*COS(Theta*PI()/180)-VertexCalc!Ysag*SIN(Theta*PI()/180))</f>
        <v>0.10246796336776758</v>
      </c>
      <c r="AA20" s="42">
        <f>IF(OR(Flag="Ignore",Flag="Hole",Flag="Det"),"",VertexCalc!Xsag*SIN(Theta*PI()/180)+VertexCalc!Ysag*COS(Theta*PI()/180))</f>
        <v>-0.9942605445655999</v>
      </c>
      <c r="AB20" s="42">
        <f>IF(OR(Flag="Ignore",Flag="Hole",Flag="Det"),"",VertexCalc!Zsag)</f>
        <v>0.03076176203305844</v>
      </c>
      <c r="AC20" s="72">
        <f t="shared" si="16"/>
        <v>102.19699419283104</v>
      </c>
    </row>
    <row r="21" spans="3:29" ht="12.75">
      <c r="C21" s="18"/>
      <c r="D21" s="19" t="s">
        <v>457</v>
      </c>
      <c r="E21" s="19" t="s">
        <v>470</v>
      </c>
      <c r="F21" s="19"/>
      <c r="G21" s="83">
        <f ca="1" t="shared" si="5"/>
        <v>202</v>
      </c>
      <c r="H21" s="21">
        <f ca="1" t="shared" si="5"/>
        <v>0</v>
      </c>
      <c r="I21" s="22">
        <f ca="1" t="shared" si="5"/>
        <v>0</v>
      </c>
      <c r="J21" s="21">
        <f t="shared" si="6"/>
        <v>-180.15457500000002</v>
      </c>
      <c r="K21" s="21">
        <f t="shared" si="7"/>
        <v>11.624777</v>
      </c>
      <c r="L21" s="21">
        <f t="shared" si="8"/>
        <v>468.51527</v>
      </c>
      <c r="M21" s="87">
        <f t="shared" si="1"/>
        <v>502.0929839749837</v>
      </c>
      <c r="N21" s="20">
        <f t="shared" si="2"/>
        <v>-0.35880719458325677</v>
      </c>
      <c r="O21" s="20">
        <f t="shared" si="3"/>
        <v>0.023152637800211113</v>
      </c>
      <c r="P21" s="20">
        <f t="shared" si="4"/>
        <v>0.9331245107048604</v>
      </c>
      <c r="Q21" s="92" t="e">
        <f t="shared" si="9"/>
        <v>#DIV/0!</v>
      </c>
      <c r="R21" s="20" t="e">
        <f t="shared" si="10"/>
        <v>#DIV/0!</v>
      </c>
      <c r="S21" s="26" t="e">
        <f t="shared" si="11"/>
        <v>#DIV/0!</v>
      </c>
      <c r="T21" s="20" t="e">
        <f t="shared" si="12"/>
        <v>#DIV/0!</v>
      </c>
      <c r="U21" s="92" t="e">
        <f t="shared" si="13"/>
        <v>#DIV/0!</v>
      </c>
      <c r="V21" s="20" t="e">
        <f t="shared" si="14"/>
        <v>#DIV/0!</v>
      </c>
      <c r="W21" s="26" t="e">
        <f t="shared" si="15"/>
        <v>#DIV/0!</v>
      </c>
      <c r="X21" s="42" t="e">
        <f>IF(OR(Flag="Ignore",Flag="Hole",Flag="Det"),"",ACOS((Xnorm*VertexCalc!Xnorm+Ynorm*VertexCalc!Ynorm)/(SQRT(Xnorm^2+Ynorm^2)*SQRT(VertexCalc!Xnorm^2+VertexCalc!Ynorm^2)))*180/PI()*SIGN(Xnorm*Ynorm))</f>
        <v>#DIV/0!</v>
      </c>
      <c r="Y21" s="96" t="e">
        <f>IF(OR(Flag="Ignore",Flag="Hole",Flag="Det"),"",(1-(Xnorm*GutCalc!Xnorm+Ynorm*GutCalc!Ynorm)/(SQRT(Xnorm^2+Ynorm^2)*SQRT(GutCalc!Xnorm^2+GutCalc!Ynorm^2))))</f>
        <v>#DIV/0!</v>
      </c>
      <c r="Z21" s="42" t="e">
        <f>IF(OR(Flag="Ignore",Flag="Hole",Flag="Det"),"",VertexCalc!Xsag*COS(Theta*PI()/180)-VertexCalc!Ysag*SIN(Theta*PI()/180))</f>
        <v>#DIV/0!</v>
      </c>
      <c r="AA21" s="42" t="e">
        <f>IF(OR(Flag="Ignore",Flag="Hole",Flag="Det"),"",VertexCalc!Xsag*SIN(Theta*PI()/180)+VertexCalc!Ysag*COS(Theta*PI()/180))</f>
        <v>#DIV/0!</v>
      </c>
      <c r="AB21" s="42">
        <f>IF(OR(Flag="Ignore",Flag="Hole",Flag="Det"),"",VertexCalc!Zsag)</f>
        <v>-0.12278780396897278</v>
      </c>
      <c r="AC21" s="72" t="e">
        <f t="shared" si="16"/>
        <v>#DIV/0!</v>
      </c>
    </row>
    <row r="22" spans="3:29" ht="13.5" thickBot="1">
      <c r="C22" s="14"/>
      <c r="D22" s="15" t="s">
        <v>458</v>
      </c>
      <c r="E22" s="19" t="s">
        <v>470</v>
      </c>
      <c r="F22" s="15" t="s">
        <v>145</v>
      </c>
      <c r="G22" s="83">
        <f ca="1" t="shared" si="5"/>
        <v>202</v>
      </c>
      <c r="H22" s="21">
        <f ca="1" t="shared" si="5"/>
        <v>0</v>
      </c>
      <c r="I22" s="22">
        <f ca="1" t="shared" si="5"/>
        <v>0</v>
      </c>
      <c r="J22" s="21">
        <f t="shared" si="6"/>
        <v>0</v>
      </c>
      <c r="K22" s="21">
        <f t="shared" si="7"/>
        <v>0</v>
      </c>
      <c r="L22" s="21">
        <f t="shared" si="8"/>
        <v>0</v>
      </c>
      <c r="M22" s="87">
        <f t="shared" si="1"/>
        <v>0</v>
      </c>
      <c r="N22" s="20" t="e">
        <f t="shared" si="2"/>
        <v>#DIV/0!</v>
      </c>
      <c r="O22" s="20" t="e">
        <f t="shared" si="3"/>
        <v>#DIV/0!</v>
      </c>
      <c r="P22" s="20" t="e">
        <f t="shared" si="4"/>
        <v>#DIV/0!</v>
      </c>
      <c r="Q22" s="92">
        <f t="shared" si="9"/>
      </c>
      <c r="R22" s="20">
        <f t="shared" si="10"/>
      </c>
      <c r="S22" s="26">
        <f t="shared" si="11"/>
      </c>
      <c r="T22" s="20">
        <f t="shared" si="12"/>
      </c>
      <c r="U22" s="92">
        <f t="shared" si="13"/>
      </c>
      <c r="V22" s="20">
        <f t="shared" si="14"/>
      </c>
      <c r="W22" s="26">
        <f t="shared" si="15"/>
      </c>
      <c r="X22" s="42">
        <f>IF(OR(Flag="Ignore",Flag="Hole",Flag="Det"),"",ACOS((Xnorm*VertexCalc!Xnorm+Ynorm*VertexCalc!Ynorm)/(SQRT(Xnorm^2+Ynorm^2)*SQRT(VertexCalc!Xnorm^2+VertexCalc!Ynorm^2)))*180/PI()*SIGN(Xnorm*Ynorm))</f>
      </c>
      <c r="Y22" s="96"/>
      <c r="Z22" s="42">
        <f>IF(OR(Flag="Ignore",Flag="Hole",Flag="Det"),"",VertexCalc!Xsag*COS(Theta*PI()/180)-VertexCalc!Ysag*SIN(Theta*PI()/180))</f>
      </c>
      <c r="AA22" s="42">
        <f>IF(OR(Flag="Ignore",Flag="Hole",Flag="Det"),"",VertexCalc!Xsag*SIN(Theta*PI()/180)+VertexCalc!Ysag*COS(Theta*PI()/180))</f>
      </c>
      <c r="AB22" s="42">
        <f>IF(OR(Flag="Ignore",Flag="Hole",Flag="Det"),"",VertexCalc!Zsag)</f>
      </c>
      <c r="AC22" s="72">
        <f t="shared" si="16"/>
      </c>
    </row>
    <row r="23" spans="1:29" ht="13.5" thickBot="1">
      <c r="A23" s="24"/>
      <c r="C23" s="19"/>
      <c r="D23" s="19" t="s">
        <v>447</v>
      </c>
      <c r="E23" s="19" t="s">
        <v>471</v>
      </c>
      <c r="F23" s="19" t="s">
        <v>110</v>
      </c>
      <c r="G23" s="83">
        <f ca="1" t="shared" si="5"/>
        <v>131.35487999999998</v>
      </c>
      <c r="H23" s="21">
        <f ca="1" t="shared" si="5"/>
        <v>-11.004597</v>
      </c>
      <c r="I23" s="22">
        <f ca="1" t="shared" si="5"/>
        <v>-626.732892</v>
      </c>
      <c r="J23" s="21">
        <f aca="true" t="shared" si="17" ref="J23:J33">IF(Flag="Ignore","",G23-G22)</f>
      </c>
      <c r="K23" s="21">
        <f aca="true" t="shared" si="18" ref="K23:K33">IF(Flag="Ignore","",H23-H22)</f>
      </c>
      <c r="L23" s="21">
        <f aca="true" t="shared" si="19" ref="L23:L33">IF(Flag="Ignore","",I23-I22)</f>
      </c>
      <c r="M23" s="87">
        <f t="shared" si="1"/>
      </c>
      <c r="N23" s="20">
        <f t="shared" si="2"/>
      </c>
      <c r="O23" s="20">
        <f t="shared" si="3"/>
      </c>
      <c r="P23" s="20">
        <f t="shared" si="4"/>
      </c>
      <c r="Q23" s="92">
        <f aca="true" t="shared" si="20" ref="Q23:Q33">IF(OR(Flag="Ignore",Flag="Hole",Flag="Det"),"",N24-Xray)</f>
      </c>
      <c r="R23" s="20">
        <f aca="true" t="shared" si="21" ref="R23:R33">IF(OR(Flag="Ignore",Flag="Hole",Flag="Det"),"",O24-Yray)</f>
      </c>
      <c r="S23" s="26">
        <f aca="true" t="shared" si="22" ref="S23:S33">IF(OR(Flag="Ignore",Flag="Hole",Flag="Det"),"",P24-Zray)</f>
      </c>
      <c r="T23" s="20">
        <f t="shared" si="12"/>
      </c>
      <c r="U23" s="92">
        <f t="shared" si="13"/>
      </c>
      <c r="V23" s="20">
        <f t="shared" si="14"/>
      </c>
      <c r="W23" s="26">
        <f t="shared" si="15"/>
      </c>
      <c r="X23" s="42">
        <f>IF(OR(Flag="Ignore",Flag="Hole",Flag="Det"),"",ACOS((Xnorm*VertexCalc!Xnorm+Ynorm*VertexCalc!Ynorm)/(SQRT(Xnorm^2+Ynorm^2)*SQRT(VertexCalc!Xnorm^2+VertexCalc!Ynorm^2)))*180/PI()*SIGN(Xnorm*Ynorm))</f>
      </c>
      <c r="Y23" s="96"/>
      <c r="Z23" s="42">
        <f>IF(OR(Flag="Ignore",Flag="Hole",Flag="Det"),"",VertexCalc!Xsag*COS(Theta*PI()/180)-VertexCalc!Ysag*SIN(Theta*PI()/180))</f>
      </c>
      <c r="AA23" s="42">
        <f>IF(OR(Flag="Ignore",Flag="Hole",Flag="Det"),"",VertexCalc!Xsag*SIN(Theta*PI()/180)+VertexCalc!Ysag*COS(Theta*PI()/180))</f>
      </c>
      <c r="AB23" s="42">
        <f>IF(OR(Flag="Ignore",Flag="Hole",Flag="Det"),"",VertexCalc!Zsag)</f>
      </c>
      <c r="AC23" s="72">
        <f t="shared" si="16"/>
      </c>
    </row>
    <row r="24" spans="3:29" ht="12.75">
      <c r="C24" s="10" t="s">
        <v>459</v>
      </c>
      <c r="D24" s="11" t="s">
        <v>448</v>
      </c>
      <c r="E24" s="11" t="s">
        <v>471</v>
      </c>
      <c r="F24" s="11" t="s">
        <v>144</v>
      </c>
      <c r="G24" s="83">
        <f ca="1" t="shared" si="23" ref="G24:I33">INDIRECT("RayImpacts!"&amp;G$1)</f>
        <v>131.07125100000002</v>
      </c>
      <c r="H24" s="21">
        <f ca="1" t="shared" si="23"/>
        <v>-34.14</v>
      </c>
      <c r="I24" s="22">
        <f ca="1" t="shared" si="23"/>
        <v>-626.968333</v>
      </c>
      <c r="J24" s="21">
        <f t="shared" si="17"/>
        <v>-0.28362899999996216</v>
      </c>
      <c r="K24" s="21">
        <f t="shared" si="18"/>
        <v>-23.135403</v>
      </c>
      <c r="L24" s="21">
        <f t="shared" si="19"/>
        <v>-0.2354410000000371</v>
      </c>
      <c r="M24" s="87">
        <f t="shared" si="1"/>
        <v>23.138339392586733</v>
      </c>
      <c r="N24" s="20">
        <f t="shared" si="2"/>
        <v>-0.012257966969351039</v>
      </c>
      <c r="O24" s="20">
        <f t="shared" si="3"/>
        <v>-0.9998730940653557</v>
      </c>
      <c r="P24" s="20">
        <f t="shared" si="4"/>
        <v>-0.010175362890366703</v>
      </c>
      <c r="Q24" s="92">
        <f t="shared" si="20"/>
      </c>
      <c r="R24" s="20">
        <f t="shared" si="21"/>
      </c>
      <c r="S24" s="26">
        <f t="shared" si="22"/>
      </c>
      <c r="T24" s="20">
        <f t="shared" si="12"/>
      </c>
      <c r="U24" s="92">
        <f t="shared" si="13"/>
      </c>
      <c r="V24" s="20">
        <f t="shared" si="14"/>
      </c>
      <c r="W24" s="26">
        <f t="shared" si="15"/>
      </c>
      <c r="X24" s="42">
        <f>IF(OR(Flag="Ignore",Flag="Hole",Flag="Det"),"",ACOS((Xnorm*VertexCalc!Xnorm+Ynorm*VertexCalc!Ynorm)/(SQRT(Xnorm^2+Ynorm^2)*SQRT(VertexCalc!Xnorm^2+VertexCalc!Ynorm^2)))*180/PI()*SIGN(Xnorm*Ynorm))</f>
      </c>
      <c r="Y24" s="96"/>
      <c r="Z24" s="42">
        <f>IF(OR(Flag="Ignore",Flag="Hole",Flag="Det"),"",VertexCalc!Xsag*COS(Theta*PI()/180)-VertexCalc!Ysag*SIN(Theta*PI()/180))</f>
      </c>
      <c r="AA24" s="42">
        <f>IF(OR(Flag="Ignore",Flag="Hole",Flag="Det"),"",VertexCalc!Xsag*SIN(Theta*PI()/180)+VertexCalc!Ysag*COS(Theta*PI()/180))</f>
      </c>
      <c r="AB24" s="42">
        <f>IF(OR(Flag="Ignore",Flag="Hole",Flag="Det"),"",VertexCalc!Zsag)</f>
      </c>
      <c r="AC24" s="72">
        <f t="shared" si="16"/>
      </c>
    </row>
    <row r="25" spans="3:29" ht="12.75">
      <c r="C25" s="18"/>
      <c r="D25" s="19" t="s">
        <v>460</v>
      </c>
      <c r="E25" s="19" t="s">
        <v>471</v>
      </c>
      <c r="F25" s="19"/>
      <c r="G25" s="83">
        <f ca="1" t="shared" si="23"/>
        <v>139.389571</v>
      </c>
      <c r="H25" s="21">
        <f ca="1" t="shared" si="23"/>
        <v>-10.829581</v>
      </c>
      <c r="I25" s="22">
        <f ca="1" t="shared" si="23"/>
        <v>-619.213249</v>
      </c>
      <c r="J25" s="21">
        <f t="shared" si="17"/>
        <v>8.318319999999972</v>
      </c>
      <c r="K25" s="21">
        <f t="shared" si="18"/>
        <v>23.310419000000003</v>
      </c>
      <c r="L25" s="21">
        <f t="shared" si="19"/>
        <v>7.755084000000011</v>
      </c>
      <c r="M25" s="87">
        <f t="shared" si="1"/>
        <v>25.93668077115915</v>
      </c>
      <c r="N25" s="20">
        <f t="shared" si="2"/>
        <v>0.32071644299411306</v>
      </c>
      <c r="O25" s="20">
        <f t="shared" si="3"/>
        <v>0.8987433359599554</v>
      </c>
      <c r="P25" s="20">
        <f t="shared" si="4"/>
        <v>0.29900063421466955</v>
      </c>
      <c r="Q25" s="92">
        <f t="shared" si="20"/>
        <v>0.566392209922713</v>
      </c>
      <c r="R25" s="20">
        <f t="shared" si="21"/>
        <v>-0.8966456532665045</v>
      </c>
      <c r="S25" s="26">
        <f t="shared" si="22"/>
        <v>0.16255525367693985</v>
      </c>
      <c r="T25" s="20">
        <f t="shared" si="12"/>
        <v>1.0729388489009173</v>
      </c>
      <c r="U25" s="92">
        <f t="shared" si="13"/>
        <v>0.5278886215210739</v>
      </c>
      <c r="V25" s="20">
        <f t="shared" si="14"/>
        <v>-0.8356912923648895</v>
      </c>
      <c r="W25" s="26">
        <f t="shared" si="15"/>
        <v>0.15150467693797837</v>
      </c>
      <c r="X25" s="42">
        <f>IF(OR(Flag="Ignore",Flag="Hole",Flag="Det"),"",ACOS((Xnorm*VertexCalc!Xnorm+Ynorm*VertexCalc!Ynorm)/(SQRT(Xnorm^2+Ynorm^2)*SQRT(VertexCalc!Xnorm^2+VertexCalc!Ynorm^2)))*180/PI()*SIGN(Xnorm*Ynorm))</f>
        <v>-122.27974118325147</v>
      </c>
      <c r="Y25" s="96"/>
      <c r="Z25" s="42">
        <f>IF(OR(Flag="Ignore",Flag="Hole",Flag="Det"),"",VertexCalc!Xsag*COS(Theta*PI()/180)-VertexCalc!Ysag*SIN(Theta*PI()/180))</f>
        <v>0.8454507183162374</v>
      </c>
      <c r="AA25" s="42">
        <f>IF(OR(Flag="Ignore",Flag="Hole",Flag="Det"),"",VertexCalc!Xsag*SIN(Theta*PI()/180)+VertexCalc!Ysag*COS(Theta*PI()/180))</f>
        <v>-0.5340534457323145</v>
      </c>
      <c r="AB25" s="42">
        <f>IF(OR(Flag="Ignore",Flag="Hole",Flag="Det"),"",VertexCalc!Zsag)</f>
        <v>0</v>
      </c>
      <c r="AC25" s="72">
        <f t="shared" si="16"/>
        <v>26.797228328973173</v>
      </c>
    </row>
    <row r="26" spans="3:29" ht="12.75">
      <c r="C26" s="18"/>
      <c r="D26" s="19" t="s">
        <v>461</v>
      </c>
      <c r="E26" s="19" t="s">
        <v>471</v>
      </c>
      <c r="F26" s="19"/>
      <c r="G26" s="83">
        <f ca="1" t="shared" si="23"/>
        <v>342.331781</v>
      </c>
      <c r="H26" s="21">
        <f ca="1" t="shared" si="23"/>
        <v>-10.349698</v>
      </c>
      <c r="I26" s="22">
        <f ca="1" t="shared" si="23"/>
        <v>-513.62396</v>
      </c>
      <c r="J26" s="21">
        <f t="shared" si="17"/>
        <v>202.94221</v>
      </c>
      <c r="K26" s="21">
        <f t="shared" si="18"/>
        <v>0.47988299999999917</v>
      </c>
      <c r="L26" s="21">
        <f t="shared" si="19"/>
        <v>105.58928900000001</v>
      </c>
      <c r="M26" s="87">
        <f t="shared" si="1"/>
        <v>228.76815521156632</v>
      </c>
      <c r="N26" s="20">
        <f t="shared" si="2"/>
        <v>0.8871086529168261</v>
      </c>
      <c r="O26" s="20">
        <f t="shared" si="3"/>
        <v>0.0020976826934509312</v>
      </c>
      <c r="P26" s="20">
        <f t="shared" si="4"/>
        <v>0.4615558878916094</v>
      </c>
      <c r="Q26" s="92">
        <f t="shared" si="20"/>
        <v>-1.5128380858775305</v>
      </c>
      <c r="R26" s="20">
        <f t="shared" si="21"/>
        <v>-0.7782664571199813</v>
      </c>
      <c r="S26" s="26">
        <f t="shared" si="22"/>
        <v>-0.539174895434175</v>
      </c>
      <c r="T26" s="20">
        <f t="shared" si="12"/>
        <v>1.7846812937401826</v>
      </c>
      <c r="U26" s="92">
        <f t="shared" si="13"/>
        <v>-0.8476796900286065</v>
      </c>
      <c r="V26" s="20">
        <f t="shared" si="14"/>
        <v>-0.4360814784408688</v>
      </c>
      <c r="W26" s="26">
        <f t="shared" si="15"/>
        <v>-0.30211270624359954</v>
      </c>
      <c r="X26" s="42">
        <f>IF(OR(Flag="Ignore",Flag="Hole",Flag="Det"),"",ACOS((Xnorm*VertexCalc!Xnorm+Ynorm*VertexCalc!Ynorm)/(SQRT(Xnorm^2+Ynorm^2)*SQRT(VertexCalc!Xnorm^2+VertexCalc!Ynorm^2)))*180/PI()*SIGN(Xnorm*Ynorm))</f>
        <v>27.223162877353754</v>
      </c>
      <c r="Y26" s="96"/>
      <c r="Z26" s="42">
        <f>IF(OR(Flag="Ignore",Flag="Hole",Flag="Det"),"",VertexCalc!Xsag*COS(Theta*PI()/180)-VertexCalc!Ysag*SIN(Theta*PI()/180))</f>
        <v>-0.4574574526964913</v>
      </c>
      <c r="AA26" s="42">
        <f>IF(OR(Flag="Ignore",Flag="Hole",Flag="Det"),"",VertexCalc!Xsag*SIN(Theta*PI()/180)+VertexCalc!Ysag*COS(Theta*PI()/180))</f>
        <v>0.8892315103348719</v>
      </c>
      <c r="AB26" s="42">
        <f>IF(OR(Flag="Ignore",Flag="Hole",Flag="Det"),"",VertexCalc!Zsag)</f>
        <v>0</v>
      </c>
      <c r="AC26" s="72">
        <f t="shared" si="16"/>
        <v>90</v>
      </c>
    </row>
    <row r="27" spans="3:29" ht="12.75">
      <c r="C27" s="18"/>
      <c r="D27" s="19" t="s">
        <v>462</v>
      </c>
      <c r="E27" s="19" t="s">
        <v>471</v>
      </c>
      <c r="F27" s="19"/>
      <c r="G27" s="83">
        <f ca="1" t="shared" si="23"/>
        <v>292.158272</v>
      </c>
      <c r="H27" s="21">
        <f ca="1" t="shared" si="23"/>
        <v>-72.58604</v>
      </c>
      <c r="I27" s="22">
        <f ca="1" t="shared" si="23"/>
        <v>-519.847765</v>
      </c>
      <c r="J27" s="21">
        <f t="shared" si="17"/>
        <v>-50.17350899999997</v>
      </c>
      <c r="K27" s="21">
        <f t="shared" si="18"/>
        <v>-62.23634199999999</v>
      </c>
      <c r="L27" s="21">
        <f t="shared" si="19"/>
        <v>-6.22380499999997</v>
      </c>
      <c r="M27" s="87">
        <f t="shared" si="1"/>
        <v>80.18403219838764</v>
      </c>
      <c r="N27" s="20">
        <f t="shared" si="2"/>
        <v>-0.6257294329607045</v>
      </c>
      <c r="O27" s="20">
        <f t="shared" si="3"/>
        <v>-0.7761687744265304</v>
      </c>
      <c r="P27" s="20">
        <f t="shared" si="4"/>
        <v>-0.07761900754256557</v>
      </c>
      <c r="Q27" s="92">
        <f t="shared" si="20"/>
        <v>1.2514588556050819</v>
      </c>
      <c r="R27" s="20">
        <f t="shared" si="21"/>
        <v>1.5523375538608124</v>
      </c>
      <c r="S27" s="26">
        <f t="shared" si="22"/>
        <v>0.15523804817455814</v>
      </c>
      <c r="T27" s="20">
        <f t="shared" si="12"/>
        <v>1.9999999999999996</v>
      </c>
      <c r="U27" s="92">
        <f t="shared" si="13"/>
        <v>0.625729427802541</v>
      </c>
      <c r="V27" s="20">
        <f t="shared" si="14"/>
        <v>0.7761687769304064</v>
      </c>
      <c r="W27" s="26">
        <f t="shared" si="15"/>
        <v>0.07761902408727908</v>
      </c>
      <c r="X27" s="42">
        <f>IF(OR(Flag="Ignore",Flag="Hole",Flag="Det"),"",ACOS((Xnorm*VertexCalc!Xnorm+Ynorm*VertexCalc!Ynorm)/(SQRT(Xnorm^2+Ynorm^2)*SQRT(VertexCalc!Xnorm^2+VertexCalc!Ynorm^2)))*180/PI()*SIGN(Xnorm*Ynorm))</f>
        <v>3.6105722456665155</v>
      </c>
      <c r="Y27" s="96"/>
      <c r="Z27" s="42">
        <f>IF(OR(Flag="Ignore",Flag="Hole",Flag="Det"),"",VertexCalc!Xsag*COS(Theta*PI()/180)-VertexCalc!Ysag*SIN(Theta*PI()/180))</f>
        <v>-0.5435373822770716</v>
      </c>
      <c r="AA27" s="42">
        <f>IF(OR(Flag="Ignore",Flag="Hole",Flag="Det"),"",VertexCalc!Xsag*SIN(Theta*PI()/180)+VertexCalc!Ysag*COS(Theta*PI()/180))</f>
        <v>0.6742159254032706</v>
      </c>
      <c r="AB27" s="42">
        <f>IF(OR(Flag="Ignore",Flag="Hole",Flag="Det"),"",VertexCalc!Zsag)</f>
        <v>0.5</v>
      </c>
      <c r="AC27" s="72">
        <f t="shared" si="16"/>
        <v>77.1730278686194</v>
      </c>
    </row>
    <row r="28" spans="3:29" ht="12.75">
      <c r="C28" s="18"/>
      <c r="D28" s="19" t="s">
        <v>463</v>
      </c>
      <c r="E28" s="19" t="s">
        <v>471</v>
      </c>
      <c r="F28" s="19"/>
      <c r="G28" s="83">
        <f ca="1" t="shared" si="23"/>
        <v>300.606691</v>
      </c>
      <c r="H28" s="21">
        <f ca="1" t="shared" si="23"/>
        <v>-62.106432</v>
      </c>
      <c r="I28" s="22">
        <f ca="1" t="shared" si="23"/>
        <v>-518.799775</v>
      </c>
      <c r="J28" s="21">
        <f t="shared" si="17"/>
        <v>8.448419000000001</v>
      </c>
      <c r="K28" s="21">
        <f t="shared" si="18"/>
        <v>10.479607999999999</v>
      </c>
      <c r="L28" s="21">
        <f t="shared" si="19"/>
        <v>1.047990000000027</v>
      </c>
      <c r="M28" s="87">
        <f t="shared" si="1"/>
        <v>13.501712871829449</v>
      </c>
      <c r="N28" s="20">
        <f t="shared" si="2"/>
        <v>0.6257294226443775</v>
      </c>
      <c r="O28" s="20">
        <f t="shared" si="3"/>
        <v>0.7761687794342821</v>
      </c>
      <c r="P28" s="20">
        <f t="shared" si="4"/>
        <v>0.07761904063199257</v>
      </c>
      <c r="Q28" s="92">
        <f t="shared" si="20"/>
        <v>-0.046884388547243416</v>
      </c>
      <c r="R28" s="20">
        <f t="shared" si="21"/>
        <v>0.03611806971806564</v>
      </c>
      <c r="S28" s="26">
        <f t="shared" si="22"/>
        <v>-0.006005486082319503</v>
      </c>
      <c r="T28" s="20">
        <f t="shared" si="12"/>
        <v>0.059487197889065785</v>
      </c>
      <c r="U28" s="92">
        <f t="shared" si="13"/>
        <v>-0.788142494704077</v>
      </c>
      <c r="V28" s="20">
        <f t="shared" si="14"/>
        <v>0.6071570186482833</v>
      </c>
      <c r="W28" s="26">
        <f t="shared" si="15"/>
        <v>-0.10095426067166223</v>
      </c>
      <c r="X28" s="42">
        <f>IF(OR(Flag="Ignore",Flag="Hole",Flag="Det"),"",ACOS((Xnorm*VertexCalc!Xnorm+Ynorm*VertexCalc!Ynorm)/(SQRT(Xnorm^2+Ynorm^2)*SQRT(VertexCalc!Xnorm^2+VertexCalc!Ynorm^2)))*180/PI()*SIGN(Xnorm*Ynorm))</f>
        <v>-162.87377029703512</v>
      </c>
      <c r="Y28" s="96"/>
      <c r="Z28" s="42">
        <f>IF(OR(Flag="Ignore",Flag="Hole",Flag="Det"),"",VertexCalc!Xsag*COS(Theta*PI()/180)-VertexCalc!Ysag*SIN(Theta*PI()/180))</f>
        <v>-0.2696018666689374</v>
      </c>
      <c r="AA28" s="42">
        <f>IF(OR(Flag="Ignore",Flag="Hole",Flag="Det"),"",VertexCalc!Xsag*SIN(Theta*PI()/180)+VertexCalc!Ysag*COS(Theta*PI()/180))</f>
        <v>-0.8229913933259718</v>
      </c>
      <c r="AB28" s="42">
        <f>IF(OR(Flag="Ignore",Flag="Hole",Flag="Det"),"",VertexCalc!Zsag)</f>
        <v>-0.5</v>
      </c>
      <c r="AC28" s="72">
        <f t="shared" si="16"/>
        <v>103.69322028685382</v>
      </c>
    </row>
    <row r="29" spans="3:29" ht="12.75">
      <c r="C29" s="18"/>
      <c r="D29" s="19" t="s">
        <v>464</v>
      </c>
      <c r="E29" s="19" t="s">
        <v>471</v>
      </c>
      <c r="F29" s="19"/>
      <c r="G29" s="83">
        <f ca="1" t="shared" si="23"/>
        <v>337.543836</v>
      </c>
      <c r="H29" s="21">
        <f ca="1" t="shared" si="23"/>
        <v>-10.272944</v>
      </c>
      <c r="I29" s="22">
        <f ca="1" t="shared" si="23"/>
        <v>-514.229985</v>
      </c>
      <c r="J29" s="21">
        <f t="shared" si="17"/>
        <v>36.93714499999999</v>
      </c>
      <c r="K29" s="21">
        <f t="shared" si="18"/>
        <v>51.833487999999996</v>
      </c>
      <c r="L29" s="21">
        <f t="shared" si="19"/>
        <v>4.569789999999898</v>
      </c>
      <c r="M29" s="87">
        <f t="shared" si="1"/>
        <v>63.81180251051733</v>
      </c>
      <c r="N29" s="20">
        <f t="shared" si="2"/>
        <v>0.5788450340971341</v>
      </c>
      <c r="O29" s="20">
        <f t="shared" si="3"/>
        <v>0.8122868491523477</v>
      </c>
      <c r="P29" s="20">
        <f t="shared" si="4"/>
        <v>0.07161355454967307</v>
      </c>
      <c r="Q29" s="92">
        <f t="shared" si="20"/>
        <v>0.19296923890096362</v>
      </c>
      <c r="R29" s="20">
        <f t="shared" si="21"/>
        <v>-0.8332055484699404</v>
      </c>
      <c r="S29" s="26">
        <f t="shared" si="22"/>
        <v>0.5638902896678722</v>
      </c>
      <c r="T29" s="20">
        <f t="shared" si="12"/>
        <v>1.024422213711138</v>
      </c>
      <c r="U29" s="92">
        <f t="shared" si="13"/>
        <v>0.18836885448032292</v>
      </c>
      <c r="V29" s="20">
        <f t="shared" si="14"/>
        <v>-0.8133419378436907</v>
      </c>
      <c r="W29" s="26">
        <f t="shared" si="15"/>
        <v>0.5504471516925495</v>
      </c>
      <c r="X29" s="42">
        <f>IF(OR(Flag="Ignore",Flag="Hole",Flag="Det"),"",ACOS((Xnorm*VertexCalc!Xnorm+Ynorm*VertexCalc!Ynorm)/(SQRT(Xnorm^2+Ynorm^2)*SQRT(VertexCalc!Xnorm^2+VertexCalc!Ynorm^2)))*180/PI()*SIGN(Xnorm*Ynorm))</f>
        <v>-76.96027469814504</v>
      </c>
      <c r="Y29" s="96"/>
      <c r="Z29" s="42">
        <f>IF(OR(Flag="Ignore",Flag="Hole",Flag="Det"),"",VertexCalc!Xsag*COS(Theta*PI()/180)-VertexCalc!Ysag*SIN(Theta*PI()/180))</f>
        <v>0.9742138636400566</v>
      </c>
      <c r="AA29" s="42">
        <f>IF(OR(Flag="Ignore",Flag="Hole",Flag="Det"),"",VertexCalc!Xsag*SIN(Theta*PI()/180)+VertexCalc!Ysag*COS(Theta*PI()/180))</f>
        <v>0.22562656734416972</v>
      </c>
      <c r="AB29" s="42">
        <f>IF(OR(Flag="Ignore",Flag="Hole",Flag="Det"),"",VertexCalc!Zsag)</f>
        <v>0</v>
      </c>
      <c r="AC29" s="72">
        <f t="shared" si="16"/>
        <v>90</v>
      </c>
    </row>
    <row r="30" spans="3:29" ht="12.75">
      <c r="C30" s="18"/>
      <c r="D30" s="19" t="s">
        <v>454</v>
      </c>
      <c r="E30" s="19" t="s">
        <v>471</v>
      </c>
      <c r="F30" s="19"/>
      <c r="G30" s="83">
        <f ca="1" t="shared" si="23"/>
        <v>382.145705</v>
      </c>
      <c r="H30" s="21">
        <f ca="1" t="shared" si="23"/>
        <v>-11.481801</v>
      </c>
      <c r="I30" s="22">
        <f ca="1" t="shared" si="23"/>
        <v>-477.50527</v>
      </c>
      <c r="J30" s="21">
        <f t="shared" si="17"/>
        <v>44.60186900000002</v>
      </c>
      <c r="K30" s="21">
        <f t="shared" si="18"/>
        <v>-1.208857</v>
      </c>
      <c r="L30" s="21">
        <f t="shared" si="19"/>
        <v>36.72471500000006</v>
      </c>
      <c r="M30" s="87">
        <f t="shared" si="1"/>
        <v>57.78834437298616</v>
      </c>
      <c r="N30" s="20">
        <f t="shared" si="2"/>
        <v>0.7718142729980977</v>
      </c>
      <c r="O30" s="20">
        <f t="shared" si="3"/>
        <v>-0.020918699317592743</v>
      </c>
      <c r="P30" s="20">
        <f t="shared" si="4"/>
        <v>0.6355038442175454</v>
      </c>
      <c r="Q30" s="92">
        <f t="shared" si="20"/>
        <v>-0.7708277463979292</v>
      </c>
      <c r="R30" s="20">
        <f t="shared" si="21"/>
        <v>0.005016824775803751</v>
      </c>
      <c r="S30" s="26">
        <f t="shared" si="22"/>
        <v>0.3643692263025704</v>
      </c>
      <c r="T30" s="20">
        <f t="shared" si="12"/>
        <v>0.8526227279542078</v>
      </c>
      <c r="U30" s="92">
        <f t="shared" si="13"/>
        <v>-0.9040666183594022</v>
      </c>
      <c r="V30" s="20">
        <f t="shared" si="14"/>
        <v>0.005883991373114314</v>
      </c>
      <c r="W30" s="26">
        <f t="shared" si="15"/>
        <v>0.42735105968479387</v>
      </c>
      <c r="X30" s="42">
        <f>IF(OR(Flag="Ignore",Flag="Hole",Flag="Det"),"",ACOS((Xnorm*VertexCalc!Xnorm+Ynorm*VertexCalc!Ynorm)/(SQRT(Xnorm^2+Ynorm^2)*SQRT(VertexCalc!Xnorm^2+VertexCalc!Ynorm^2)))*180/PI()*SIGN(Xnorm*Ynorm))</f>
        <v>-179.62710368291468</v>
      </c>
      <c r="Y30" s="96"/>
      <c r="Z30" s="42">
        <f>IF(OR(Flag="Ignore",Flag="Hole",Flag="Det"),"",VertexCalc!Xsag*COS(Theta*PI()/180)-VertexCalc!Ysag*SIN(Theta*PI()/180))</f>
        <v>0.0065082225560689835</v>
      </c>
      <c r="AA30" s="42">
        <f>IF(OR(Flag="Ignore",Flag="Hole",Flag="Det"),"",VertexCalc!Xsag*SIN(Theta*PI()/180)+VertexCalc!Ysag*COS(Theta*PI()/180))</f>
        <v>-0.9999788212953115</v>
      </c>
      <c r="AB30" s="42">
        <f>IF(OR(Flag="Ignore",Flag="Hole",Flag="Det"),"",VertexCalc!Zsag)</f>
        <v>1.4905111812031573E-08</v>
      </c>
      <c r="AC30" s="72">
        <f t="shared" si="16"/>
        <v>90.67425666230761</v>
      </c>
    </row>
    <row r="31" spans="3:29" ht="12.75">
      <c r="C31" s="18"/>
      <c r="D31" s="19" t="s">
        <v>465</v>
      </c>
      <c r="E31" s="19" t="s">
        <v>471</v>
      </c>
      <c r="F31" s="19"/>
      <c r="G31" s="83">
        <f ca="1" t="shared" si="23"/>
        <v>382.154575</v>
      </c>
      <c r="H31" s="21">
        <f ca="1" t="shared" si="23"/>
        <v>-11.624777</v>
      </c>
      <c r="I31" s="22">
        <f ca="1" t="shared" si="23"/>
        <v>-468.51527</v>
      </c>
      <c r="J31" s="21">
        <f t="shared" si="17"/>
        <v>0.00887000000000171</v>
      </c>
      <c r="K31" s="21">
        <f t="shared" si="18"/>
        <v>-0.1429759999999991</v>
      </c>
      <c r="L31" s="21">
        <f t="shared" si="19"/>
        <v>8.990000000000009</v>
      </c>
      <c r="M31" s="87">
        <f t="shared" si="1"/>
        <v>8.99114124088128</v>
      </c>
      <c r="N31" s="20">
        <f t="shared" si="2"/>
        <v>0.0009865266001685348</v>
      </c>
      <c r="O31" s="20">
        <f t="shared" si="3"/>
        <v>-0.015901874541788992</v>
      </c>
      <c r="P31" s="20">
        <f t="shared" si="4"/>
        <v>0.9998730705201158</v>
      </c>
      <c r="Q31" s="92">
        <f t="shared" si="20"/>
        <v>-0.3597937211834253</v>
      </c>
      <c r="R31" s="20">
        <f t="shared" si="21"/>
        <v>0.03905451234200011</v>
      </c>
      <c r="S31" s="26">
        <f t="shared" si="22"/>
        <v>-0.0667485598152554</v>
      </c>
      <c r="T31" s="20">
        <f t="shared" si="12"/>
        <v>0.3680110690926273</v>
      </c>
      <c r="U31" s="92">
        <f t="shared" si="13"/>
        <v>-0.9776709218843258</v>
      </c>
      <c r="V31" s="20">
        <f t="shared" si="14"/>
        <v>0.10612320014801023</v>
      </c>
      <c r="W31" s="26">
        <f t="shared" si="15"/>
        <v>-0.18137650038579406</v>
      </c>
      <c r="X31" s="42">
        <f>IF(OR(Flag="Ignore",Flag="Hole",Flag="Det"),"",ACOS((Xnorm*VertexCalc!Xnorm+Ynorm*VertexCalc!Ynorm)/(SQRT(Xnorm^2+Ynorm^2)*SQRT(VertexCalc!Xnorm^2+VertexCalc!Ynorm^2)))*180/PI()*SIGN(Xnorm*Ynorm))</f>
        <v>-173.80497255222275</v>
      </c>
      <c r="Y31" s="96"/>
      <c r="Z31" s="42">
        <f>IF(OR(Flag="Ignore",Flag="Hole",Flag="Det"),"",VertexCalc!Xsag*COS(Theta*PI()/180)-VertexCalc!Ysag*SIN(Theta*PI()/180))</f>
        <v>0.11325287040137737</v>
      </c>
      <c r="AA31" s="42">
        <f>IF(OR(Flag="Ignore",Flag="Hole",Flag="Det"),"",VertexCalc!Xsag*SIN(Theta*PI()/180)+VertexCalc!Ysag*COS(Theta*PI()/180))</f>
        <v>-0.993089875762748</v>
      </c>
      <c r="AB31" s="42">
        <f>IF(OR(Flag="Ignore",Flag="Hole",Flag="Det"),"",VertexCalc!Zsag)</f>
        <v>0.03076176203305844</v>
      </c>
      <c r="AC31" s="72">
        <f t="shared" si="16"/>
        <v>102.8085125216156</v>
      </c>
    </row>
    <row r="32" spans="3:29" ht="12.75">
      <c r="C32" s="18"/>
      <c r="D32" s="19" t="s">
        <v>466</v>
      </c>
      <c r="E32" s="19" t="s">
        <v>471</v>
      </c>
      <c r="F32" s="19"/>
      <c r="G32" s="83">
        <f ca="1" t="shared" si="23"/>
        <v>202</v>
      </c>
      <c r="H32" s="21">
        <f ca="1" t="shared" si="23"/>
        <v>0</v>
      </c>
      <c r="I32" s="22">
        <f ca="1" t="shared" si="23"/>
        <v>0</v>
      </c>
      <c r="J32" s="21">
        <f t="shared" si="17"/>
        <v>-180.15457500000002</v>
      </c>
      <c r="K32" s="21">
        <f t="shared" si="18"/>
        <v>11.624777</v>
      </c>
      <c r="L32" s="21">
        <f t="shared" si="19"/>
        <v>468.51527</v>
      </c>
      <c r="M32" s="87">
        <f t="shared" si="1"/>
        <v>502.0929839749837</v>
      </c>
      <c r="N32" s="20">
        <f t="shared" si="2"/>
        <v>-0.35880719458325677</v>
      </c>
      <c r="O32" s="20">
        <f t="shared" si="3"/>
        <v>0.023152637800211113</v>
      </c>
      <c r="P32" s="20">
        <f t="shared" si="4"/>
        <v>0.9331245107048604</v>
      </c>
      <c r="Q32" s="92" t="e">
        <f t="shared" si="20"/>
        <v>#DIV/0!</v>
      </c>
      <c r="R32" s="20" t="e">
        <f t="shared" si="21"/>
        <v>#DIV/0!</v>
      </c>
      <c r="S32" s="26" t="e">
        <f t="shared" si="22"/>
        <v>#DIV/0!</v>
      </c>
      <c r="T32" s="20" t="e">
        <f t="shared" si="12"/>
        <v>#DIV/0!</v>
      </c>
      <c r="U32" s="92" t="e">
        <f t="shared" si="13"/>
        <v>#DIV/0!</v>
      </c>
      <c r="V32" s="20" t="e">
        <f t="shared" si="14"/>
        <v>#DIV/0!</v>
      </c>
      <c r="W32" s="26" t="e">
        <f t="shared" si="15"/>
        <v>#DIV/0!</v>
      </c>
      <c r="X32" s="42" t="e">
        <f>IF(OR(Flag="Ignore",Flag="Hole",Flag="Det"),"",ACOS((Xnorm*VertexCalc!Xnorm+Ynorm*VertexCalc!Ynorm)/(SQRT(Xnorm^2+Ynorm^2)*SQRT(VertexCalc!Xnorm^2+VertexCalc!Ynorm^2)))*180/PI()*SIGN(Xnorm*Ynorm))</f>
        <v>#DIV/0!</v>
      </c>
      <c r="Y32" s="96"/>
      <c r="Z32" s="42" t="e">
        <f>IF(OR(Flag="Ignore",Flag="Hole",Flag="Det"),"",VertexCalc!Xsag*COS(Theta*PI()/180)-VertexCalc!Ysag*SIN(Theta*PI()/180))</f>
        <v>#DIV/0!</v>
      </c>
      <c r="AA32" s="42" t="e">
        <f>IF(OR(Flag="Ignore",Flag="Hole",Flag="Det"),"",VertexCalc!Xsag*SIN(Theta*PI()/180)+VertexCalc!Ysag*COS(Theta*PI()/180))</f>
        <v>#DIV/0!</v>
      </c>
      <c r="AB32" s="42">
        <f>IF(OR(Flag="Ignore",Flag="Hole",Flag="Det"),"",VertexCalc!Zsag)</f>
        <v>-0.12278780396897278</v>
      </c>
      <c r="AC32" s="72" t="e">
        <f t="shared" si="16"/>
        <v>#DIV/0!</v>
      </c>
    </row>
    <row r="33" spans="3:29" ht="13.5" thickBot="1">
      <c r="C33" s="14"/>
      <c r="D33" s="15" t="s">
        <v>467</v>
      </c>
      <c r="E33" s="15" t="s">
        <v>471</v>
      </c>
      <c r="F33" s="15" t="s">
        <v>145</v>
      </c>
      <c r="G33" s="83">
        <f ca="1" t="shared" si="23"/>
        <v>202</v>
      </c>
      <c r="H33" s="21">
        <f ca="1" t="shared" si="23"/>
        <v>0</v>
      </c>
      <c r="I33" s="22">
        <f ca="1" t="shared" si="23"/>
        <v>0</v>
      </c>
      <c r="J33" s="21">
        <f t="shared" si="17"/>
        <v>0</v>
      </c>
      <c r="K33" s="21">
        <f t="shared" si="18"/>
        <v>0</v>
      </c>
      <c r="L33" s="21">
        <f t="shared" si="19"/>
        <v>0</v>
      </c>
      <c r="M33" s="87">
        <f t="shared" si="1"/>
        <v>0</v>
      </c>
      <c r="N33" s="20" t="e">
        <f t="shared" si="2"/>
        <v>#DIV/0!</v>
      </c>
      <c r="O33" s="20" t="e">
        <f t="shared" si="3"/>
        <v>#DIV/0!</v>
      </c>
      <c r="P33" s="20" t="e">
        <f t="shared" si="4"/>
        <v>#DIV/0!</v>
      </c>
      <c r="Q33" s="92">
        <f t="shared" si="20"/>
      </c>
      <c r="R33" s="20">
        <f t="shared" si="21"/>
      </c>
      <c r="S33" s="26">
        <f t="shared" si="22"/>
      </c>
      <c r="T33" s="20">
        <f t="shared" si="12"/>
      </c>
      <c r="U33" s="92">
        <f t="shared" si="13"/>
      </c>
      <c r="V33" s="20">
        <f t="shared" si="14"/>
      </c>
      <c r="W33" s="26">
        <f t="shared" si="15"/>
      </c>
      <c r="X33" s="42">
        <f>IF(OR(Flag="Ignore",Flag="Hole",Flag="Det"),"",ACOS((Xnorm*VertexCalc!Xnorm+Ynorm*VertexCalc!Ynorm)/(SQRT(Xnorm^2+Ynorm^2)*SQRT(VertexCalc!Xnorm^2+VertexCalc!Ynorm^2)))*180/PI()*SIGN(Xnorm*Ynorm))</f>
      </c>
      <c r="Y33" s="96"/>
      <c r="Z33" s="42">
        <f>IF(OR(Flag="Ignore",Flag="Hole",Flag="Det"),"",VertexCalc!Xsag*COS(Theta*PI()/180)-VertexCalc!Ysag*SIN(Theta*PI()/180))</f>
      </c>
      <c r="AA33" s="42">
        <f>IF(OR(Flag="Ignore",Flag="Hole",Flag="Det"),"",VertexCalc!Xsag*SIN(Theta*PI()/180)+VertexCalc!Ysag*COS(Theta*PI()/180))</f>
      </c>
      <c r="AB33" s="42">
        <f>IF(OR(Flag="Ignore",Flag="Hole",Flag="Det"),"",VertexCalc!Zsag)</f>
      </c>
      <c r="AC33" s="72">
        <f t="shared" si="16"/>
      </c>
    </row>
    <row r="34" spans="3:6" ht="12.75">
      <c r="C34" s="19"/>
      <c r="D34" s="19"/>
      <c r="E34" s="19"/>
      <c r="F34" s="19"/>
    </row>
    <row r="35" spans="3:6" ht="12.75">
      <c r="C35" s="19"/>
      <c r="D35" s="19"/>
      <c r="E35" s="19"/>
      <c r="F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6" ht="12.75">
      <c r="C40" s="19"/>
      <c r="D40" s="19"/>
      <c r="E40" s="19"/>
      <c r="F40" s="19"/>
    </row>
    <row r="41" spans="3:6" ht="12.75">
      <c r="C41" s="31" t="s">
        <v>46</v>
      </c>
      <c r="D41" s="31" t="s">
        <v>375</v>
      </c>
      <c r="E41" s="31" t="s">
        <v>268</v>
      </c>
      <c r="F41" s="31" t="s">
        <v>376</v>
      </c>
    </row>
    <row r="42" spans="3:6" ht="12.75">
      <c r="C42" s="19" t="s">
        <v>17</v>
      </c>
      <c r="D42" s="19" t="str">
        <f>"-Zsyno"</f>
        <v>-Zsyno</v>
      </c>
      <c r="E42" s="19" t="s">
        <v>372</v>
      </c>
      <c r="F42" s="19" t="s">
        <v>112</v>
      </c>
    </row>
    <row r="43" spans="3:6" ht="12.75">
      <c r="C43" s="19" t="s">
        <v>80</v>
      </c>
      <c r="D43" s="19" t="s">
        <v>118</v>
      </c>
      <c r="E43" s="19" t="s">
        <v>373</v>
      </c>
      <c r="F43" s="19" t="s">
        <v>113</v>
      </c>
    </row>
    <row r="44" spans="3:6" ht="12.75">
      <c r="C44" s="19" t="s">
        <v>81</v>
      </c>
      <c r="D44" s="19" t="s">
        <v>119</v>
      </c>
      <c r="E44" s="19" t="s">
        <v>374</v>
      </c>
      <c r="F44" s="19" t="s">
        <v>114</v>
      </c>
    </row>
    <row r="45" spans="3:6" ht="12.75">
      <c r="C45" s="19"/>
      <c r="D45" s="19"/>
      <c r="E45" s="19"/>
      <c r="F45" s="19"/>
    </row>
    <row r="46" spans="3:6" ht="12.75">
      <c r="C46" s="19" t="s">
        <v>366</v>
      </c>
      <c r="D46" s="19">
        <v>-1</v>
      </c>
      <c r="E46" s="19"/>
      <c r="F46" s="19"/>
    </row>
    <row r="47" spans="3:6" ht="12.75">
      <c r="C47" s="19" t="s">
        <v>367</v>
      </c>
      <c r="D47" s="19">
        <v>-1</v>
      </c>
      <c r="E47" s="19"/>
      <c r="F47" s="19"/>
    </row>
    <row r="48" spans="3:6" ht="12.75">
      <c r="C48" s="19"/>
      <c r="D48" s="19"/>
      <c r="E48" s="19"/>
      <c r="F48" s="19"/>
    </row>
  </sheetData>
  <printOptions/>
  <pageMargins left="0.25" right="0.34"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Y48"/>
  <sheetViews>
    <sheetView zoomScale="70" zoomScaleNormal="70" workbookViewId="0" topLeftCell="B1">
      <selection activeCell="M2" sqref="M2"/>
    </sheetView>
  </sheetViews>
  <sheetFormatPr defaultColWidth="12" defaultRowHeight="12.75"/>
  <cols>
    <col min="1" max="1" width="12" style="19" customWidth="1"/>
    <col min="2" max="2" width="17.16015625" style="19" customWidth="1"/>
    <col min="3" max="3" width="20.16015625" style="1" customWidth="1"/>
    <col min="4" max="6" width="12" style="1" customWidth="1"/>
    <col min="7" max="9" width="10.83203125" style="21" customWidth="1"/>
    <col min="10" max="12" width="12" style="19" customWidth="1"/>
    <col min="13" max="13" width="12.33203125" style="19" bestFit="1" customWidth="1"/>
    <col min="14" max="19" width="12" style="19" customWidth="1"/>
    <col min="20" max="20" width="12" style="42" customWidth="1"/>
    <col min="21" max="21" width="12" style="60" customWidth="1"/>
    <col min="22" max="22" width="12" style="42" customWidth="1"/>
    <col min="23" max="23" width="12" style="60" customWidth="1"/>
    <col min="24" max="24" width="12" style="42" customWidth="1"/>
    <col min="25" max="25" width="12" style="60" customWidth="1"/>
    <col min="26" max="16384" width="12" style="19" customWidth="1"/>
  </cols>
  <sheetData>
    <row r="1" spans="3:25" s="27" customFormat="1" ht="12.75">
      <c r="C1" s="5" t="s">
        <v>111</v>
      </c>
      <c r="D1" s="5" t="s">
        <v>2</v>
      </c>
      <c r="E1" s="5" t="s">
        <v>469</v>
      </c>
      <c r="F1" s="5" t="s">
        <v>143</v>
      </c>
      <c r="G1" s="29" t="s">
        <v>18</v>
      </c>
      <c r="H1" s="29" t="s">
        <v>19</v>
      </c>
      <c r="I1" s="29" t="s">
        <v>20</v>
      </c>
      <c r="J1" s="29" t="s">
        <v>14</v>
      </c>
      <c r="K1" s="29" t="s">
        <v>15</v>
      </c>
      <c r="L1" s="29" t="s">
        <v>16</v>
      </c>
      <c r="M1" s="29" t="s">
        <v>497</v>
      </c>
      <c r="N1" s="29" t="s">
        <v>21</v>
      </c>
      <c r="O1" s="29" t="s">
        <v>22</v>
      </c>
      <c r="P1" s="29" t="s">
        <v>23</v>
      </c>
      <c r="Q1" s="29" t="s">
        <v>323</v>
      </c>
      <c r="R1" s="29" t="s">
        <v>322</v>
      </c>
      <c r="S1" s="29" t="s">
        <v>324</v>
      </c>
      <c r="T1" s="42" t="s">
        <v>349</v>
      </c>
      <c r="U1" s="60"/>
      <c r="V1" s="42" t="s">
        <v>350</v>
      </c>
      <c r="W1" s="60"/>
      <c r="X1" s="42" t="s">
        <v>351</v>
      </c>
      <c r="Y1" s="60"/>
    </row>
    <row r="2" spans="1:25" ht="13.5" thickBot="1">
      <c r="A2" s="52" t="s">
        <v>483</v>
      </c>
      <c r="B2" s="52" t="str">
        <f>SpecGlobUp!J4</f>
        <v>(BOLSP501G)</v>
      </c>
      <c r="D2" s="1" t="s">
        <v>91</v>
      </c>
      <c r="E2" s="1" t="s">
        <v>470</v>
      </c>
      <c r="F2" s="1" t="s">
        <v>110</v>
      </c>
      <c r="G2" s="21">
        <f>X0-VerticesSyno!Zvert</f>
        <v>3252.162</v>
      </c>
      <c r="H2" s="21">
        <f>Y0+VerticesSyno!Xvert</f>
        <v>0</v>
      </c>
      <c r="I2" s="21">
        <f>Z0+VerticesSyno!Yvert</f>
        <v>0</v>
      </c>
      <c r="J2" s="21">
        <f>IF(Flag="Ignore","",LeftHandCorr*VerticesSyno!zNorm)</f>
      </c>
      <c r="K2" s="21">
        <f>IF(Flag="Ignore","",VerticesSyno!xNorm)</f>
      </c>
      <c r="L2" s="21">
        <f>IF(Flag="Ignore","",VerticesSyno!yNorm)</f>
      </c>
      <c r="M2" s="21">
        <f>IF(Flag="Ignore","",IF(OR(Flag="Hole",Flag="Det"),1,Xnorm*GutCalc!Xnorm+Ynorm*GutCalc!Ynorm+Znorm*GutCalc!Znorm))</f>
      </c>
      <c r="N2" s="21">
        <f>LeftHandCorr*VerticesSyno!zSag</f>
        <v>0</v>
      </c>
      <c r="O2" s="21">
        <f>VerticesSyno!xSag</f>
        <v>1</v>
      </c>
      <c r="P2" s="21">
        <f>VerticesSyno!ySag</f>
        <v>0</v>
      </c>
      <c r="Q2" s="21">
        <f>IF(OR(Flag="Ignore",Flag="Hole",Flag="det"),1,GutCalc!UpFlag)*LeftHandCorr*VerticesSyno!zTang</f>
        <v>0</v>
      </c>
      <c r="R2" s="21">
        <f>IF(OR(Flag="Ignore",Flag="Hole",Flag="det"),1,GutCalc!UpFlag)*VerticesSyno!xTang</f>
        <v>0</v>
      </c>
      <c r="S2" s="21">
        <f>IF(OR(Flag="Ignore",Flag="Hole",Flag="det"),1,GutCalc!UpFlag)*VerticesSyno!yTang</f>
        <v>1</v>
      </c>
      <c r="T2" s="42" t="e">
        <f>Xtang*Xnorm+Ytang*Ynorm+Ztang*Znorm</f>
        <v>#VALUE!</v>
      </c>
      <c r="U2" s="60" t="e">
        <f>ACOS(T2)*180/PI()</f>
        <v>#VALUE!</v>
      </c>
      <c r="V2" s="42" t="e">
        <f>Xsag*Xnorm+Ysag*Ynorm+Zsag*Znorm</f>
        <v>#VALUE!</v>
      </c>
      <c r="W2" s="60" t="e">
        <f>ACOS(V2)*180/PI()</f>
        <v>#VALUE!</v>
      </c>
      <c r="X2" s="42">
        <f>Xsag*Xtang+Ysag*Ytang+Zsag*Ztang</f>
        <v>0</v>
      </c>
      <c r="Y2" s="60">
        <f aca="true" t="shared" si="0" ref="Y2:Y33">ACOS(X2)*180/PI()</f>
        <v>90</v>
      </c>
    </row>
    <row r="3" spans="1:25" ht="12.75">
      <c r="A3" s="52" t="s">
        <v>482</v>
      </c>
      <c r="B3" s="52" t="str">
        <f>SpecGlobLo!J4</f>
        <v>(BOLSP501F_LO)</v>
      </c>
      <c r="C3" s="10" t="s">
        <v>108</v>
      </c>
      <c r="D3" s="11" t="s">
        <v>92</v>
      </c>
      <c r="E3" s="11" t="s">
        <v>470</v>
      </c>
      <c r="F3" s="11"/>
      <c r="G3" s="21">
        <f>X0-VerticesSyno!Zvert</f>
        <v>1252.162</v>
      </c>
      <c r="H3" s="21">
        <f>Y0+VerticesSyno!Xvert</f>
        <v>0</v>
      </c>
      <c r="I3" s="21">
        <f>Z0+VerticesSyno!Yvert</f>
        <v>0</v>
      </c>
      <c r="J3" s="21">
        <f>IF(Flag="Ignore","",LeftHandCorr*VerticesSyno!zNorm)</f>
        <v>-1</v>
      </c>
      <c r="K3" s="21">
        <f>IF(Flag="Ignore","",VerticesSyno!xNorm)</f>
        <v>0</v>
      </c>
      <c r="L3" s="21">
        <f>IF(Flag="Ignore","",VerticesSyno!yNorm)</f>
        <v>0</v>
      </c>
      <c r="M3" s="21">
        <f>IF(Flag="Ignore","",IF(OR(Flag="Hole",Flag="Det"),1,Xnorm*GutCalc!Xnorm+Ynorm*GutCalc!Ynorm+Znorm*GutCalc!Znorm))</f>
        <v>-0.9998220371853628</v>
      </c>
      <c r="N3" s="21">
        <f>LeftHandCorr*VerticesSyno!zSag</f>
        <v>0</v>
      </c>
      <c r="O3" s="21">
        <f>VerticesSyno!xSag</f>
        <v>1</v>
      </c>
      <c r="P3" s="21">
        <f>VerticesSyno!ySag</f>
        <v>0</v>
      </c>
      <c r="Q3" s="21">
        <f>IF(OR(Flag="Ignore",Flag="Hole",Flag="det"),1,GutCalc!UpFlag)*LeftHandCorr*VerticesSyno!zTang</f>
        <v>0</v>
      </c>
      <c r="R3" s="21">
        <f>IF(OR(Flag="Ignore",Flag="Hole",Flag="det"),1,GutCalc!UpFlag)*VerticesSyno!xTang</f>
        <v>0</v>
      </c>
      <c r="S3" s="21">
        <f>IF(OR(Flag="Ignore",Flag="Hole",Flag="det"),1,GutCalc!UpFlag)*VerticesSyno!yTang</f>
        <v>1</v>
      </c>
      <c r="T3" s="42">
        <f aca="true" t="shared" si="1" ref="T3:T33">Xtang*Xnorm+Ytang*Ynorm+Ztang*Znorm</f>
        <v>0</v>
      </c>
      <c r="U3" s="60">
        <f aca="true" t="shared" si="2" ref="U3:U33">ACOS(T3)*180/PI()</f>
        <v>90</v>
      </c>
      <c r="V3" s="42">
        <f aca="true" t="shared" si="3" ref="V3:V33">Xsag*Xnorm+Ysag*Ynorm+Zsag*Znorm</f>
        <v>0</v>
      </c>
      <c r="W3" s="60">
        <f aca="true" t="shared" si="4" ref="W3:W33">ACOS(V3)*180/PI()</f>
        <v>90</v>
      </c>
      <c r="X3" s="42">
        <f aca="true" t="shared" si="5" ref="X3:X33">Xsag*Xtang+Ysag*Ytang+Zsag*Ztang</f>
        <v>0</v>
      </c>
      <c r="Y3" s="60">
        <f t="shared" si="0"/>
        <v>90</v>
      </c>
    </row>
    <row r="4" spans="3:25" ht="13.5" thickBot="1">
      <c r="C4" s="14"/>
      <c r="D4" s="15" t="s">
        <v>93</v>
      </c>
      <c r="E4" s="15" t="s">
        <v>470</v>
      </c>
      <c r="F4" s="15"/>
      <c r="G4" s="21">
        <f>X0-VerticesSyno!Zvert</f>
        <v>2840.131</v>
      </c>
      <c r="H4" s="21">
        <f>Y0+VerticesSyno!Xvert</f>
        <v>0</v>
      </c>
      <c r="I4" s="21">
        <f>Z0+VerticesSyno!Yvert</f>
        <v>0</v>
      </c>
      <c r="J4" s="21">
        <f>IF(Flag="Ignore","",LeftHandCorr*VerticesSyno!zNorm)</f>
        <v>-1</v>
      </c>
      <c r="K4" s="21">
        <f>IF(Flag="Ignore","",VerticesSyno!xNorm)</f>
        <v>0</v>
      </c>
      <c r="L4" s="21">
        <f>IF(Flag="Ignore","",VerticesSyno!yNorm)</f>
        <v>0</v>
      </c>
      <c r="M4" s="21">
        <f>IF(Flag="Ignore","",IF(OR(Flag="Hole",Flag="Det"),1,Xnorm*GutCalc!Xnorm+Ynorm*GutCalc!Ynorm+Znorm*GutCalc!Znorm))</f>
        <v>1</v>
      </c>
      <c r="N4" s="21">
        <f>LeftHandCorr*VerticesSyno!zSag</f>
        <v>0</v>
      </c>
      <c r="O4" s="21">
        <f>VerticesSyno!xSag</f>
        <v>1</v>
      </c>
      <c r="P4" s="21">
        <f>VerticesSyno!ySag</f>
        <v>0</v>
      </c>
      <c r="Q4" s="21">
        <f>IF(OR(Flag="Ignore",Flag="Hole",Flag="det"),1,GutCalc!UpFlag)*LeftHandCorr*VerticesSyno!zTang</f>
        <v>0</v>
      </c>
      <c r="R4" s="21">
        <f>IF(OR(Flag="Ignore",Flag="Hole",Flag="det"),1,GutCalc!UpFlag)*VerticesSyno!xTang</f>
        <v>0</v>
      </c>
      <c r="S4" s="21">
        <f>IF(OR(Flag="Ignore",Flag="Hole",Flag="det"),1,GutCalc!UpFlag)*VerticesSyno!yTang</f>
        <v>-1</v>
      </c>
      <c r="T4" s="42">
        <f t="shared" si="1"/>
        <v>0</v>
      </c>
      <c r="U4" s="60">
        <f t="shared" si="2"/>
        <v>90</v>
      </c>
      <c r="V4" s="42">
        <f t="shared" si="3"/>
        <v>0</v>
      </c>
      <c r="W4" s="60">
        <f t="shared" si="4"/>
        <v>90</v>
      </c>
      <c r="X4" s="42">
        <f t="shared" si="5"/>
        <v>0</v>
      </c>
      <c r="Y4" s="60">
        <f t="shared" si="0"/>
        <v>90</v>
      </c>
    </row>
    <row r="5" spans="3:25" ht="12.75">
      <c r="C5" s="10" t="s">
        <v>109</v>
      </c>
      <c r="D5" s="11" t="s">
        <v>94</v>
      </c>
      <c r="E5" s="11" t="s">
        <v>470</v>
      </c>
      <c r="F5" s="11" t="s">
        <v>144</v>
      </c>
      <c r="G5" s="21">
        <f>X0-VerticesSyno!Zvert</f>
        <v>202</v>
      </c>
      <c r="H5" s="21">
        <f>Y0+VerticesSyno!Xvert</f>
        <v>0</v>
      </c>
      <c r="I5" s="21">
        <f>Z0+VerticesSyno!Yvert</f>
        <v>0</v>
      </c>
      <c r="J5" s="21">
        <f>IF(Flag="Ignore","",LeftHandCorr*VerticesSyno!zNorm)</f>
        <v>-1</v>
      </c>
      <c r="K5" s="21">
        <f>IF(Flag="Ignore","",VerticesSyno!xNorm)</f>
        <v>0</v>
      </c>
      <c r="L5" s="21">
        <f>IF(Flag="Ignore","",VerticesSyno!yNorm)</f>
        <v>0</v>
      </c>
      <c r="M5" s="21">
        <f>IF(Flag="Ignore","",IF(OR(Flag="Hole",Flag="Det"),1,Xnorm*GutCalc!Xnorm+Ynorm*GutCalc!Ynorm+Znorm*GutCalc!Znorm))</f>
        <v>1</v>
      </c>
      <c r="N5" s="21">
        <f>LeftHandCorr*VerticesSyno!zSag</f>
        <v>0</v>
      </c>
      <c r="O5" s="21">
        <f>VerticesSyno!xSag</f>
        <v>1</v>
      </c>
      <c r="P5" s="21">
        <f>VerticesSyno!ySag</f>
        <v>0</v>
      </c>
      <c r="Q5" s="21">
        <f>IF(OR(Flag="Ignore",Flag="Hole",Flag="det"),1,GutCalc!UpFlag)*LeftHandCorr*VerticesSyno!zTang</f>
        <v>0</v>
      </c>
      <c r="R5" s="21">
        <f>IF(OR(Flag="Ignore",Flag="Hole",Flag="det"),1,GutCalc!UpFlag)*VerticesSyno!xTang</f>
        <v>0</v>
      </c>
      <c r="S5" s="21">
        <f>IF(OR(Flag="Ignore",Flag="Hole",Flag="det"),1,GutCalc!UpFlag)*VerticesSyno!yTang</f>
        <v>1</v>
      </c>
      <c r="T5" s="42">
        <f t="shared" si="1"/>
        <v>0</v>
      </c>
      <c r="U5" s="60">
        <f t="shared" si="2"/>
        <v>90</v>
      </c>
      <c r="V5" s="42">
        <f t="shared" si="3"/>
        <v>0</v>
      </c>
      <c r="W5" s="60">
        <f t="shared" si="4"/>
        <v>90</v>
      </c>
      <c r="X5" s="42">
        <f t="shared" si="5"/>
        <v>0</v>
      </c>
      <c r="Y5" s="60">
        <f t="shared" si="0"/>
        <v>90</v>
      </c>
    </row>
    <row r="6" spans="1:25" ht="12.75">
      <c r="A6" s="24" t="s">
        <v>120</v>
      </c>
      <c r="B6" s="1"/>
      <c r="C6" s="18"/>
      <c r="D6" s="19" t="s">
        <v>95</v>
      </c>
      <c r="E6" s="19" t="s">
        <v>470</v>
      </c>
      <c r="F6" s="19"/>
      <c r="G6" s="21">
        <f>X0-VerticesSyno!Zvert</f>
        <v>123.620663</v>
      </c>
      <c r="H6" s="21">
        <f>Y0+VerticesSyno!Xvert</f>
        <v>0</v>
      </c>
      <c r="I6" s="21">
        <f>Z0+VerticesSyno!Yvert</f>
        <v>-243.065859</v>
      </c>
      <c r="J6" s="21">
        <f>IF(Flag="Ignore","",LeftHandCorr*VerticesSyno!zNorm)</f>
        <v>-0.9885381963040137</v>
      </c>
      <c r="K6" s="21">
        <f>IF(Flag="Ignore","",VerticesSyno!xNorm)</f>
        <v>0</v>
      </c>
      <c r="L6" s="21">
        <f>IF(Flag="Ignore","",VerticesSyno!yNorm)</f>
        <v>-0.15097097220329236</v>
      </c>
      <c r="M6" s="21">
        <f>IF(Flag="Ignore","",IF(OR(Flag="Hole",Flag="Det"),1,Xnorm*GutCalc!Xnorm+Ynorm*GutCalc!Ynorm+Znorm*GutCalc!Znorm))</f>
        <v>-0.9098647161266825</v>
      </c>
      <c r="N6" s="21">
        <f>LeftHandCorr*VerticesSyno!zSag</f>
        <v>0</v>
      </c>
      <c r="O6" s="21">
        <f>VerticesSyno!xSag</f>
        <v>1</v>
      </c>
      <c r="P6" s="21">
        <f>VerticesSyno!ySag</f>
        <v>0</v>
      </c>
      <c r="Q6" s="21">
        <f>IF(OR(Flag="Ignore",Flag="Hole",Flag="det"),1,GutCalc!UpFlag)*LeftHandCorr*VerticesSyno!zTang</f>
        <v>-0.15097097220329236</v>
      </c>
      <c r="R6" s="21">
        <f>IF(OR(Flag="Ignore",Flag="Hole",Flag="det"),1,GutCalc!UpFlag)*VerticesSyno!xTang</f>
        <v>0</v>
      </c>
      <c r="S6" s="21">
        <f>IF(OR(Flag="Ignore",Flag="Hole",Flag="det"),1,GutCalc!UpFlag)*VerticesSyno!yTang</f>
        <v>0.9885381963040137</v>
      </c>
      <c r="T6" s="42">
        <f t="shared" si="1"/>
        <v>0</v>
      </c>
      <c r="U6" s="60">
        <f t="shared" si="2"/>
        <v>90</v>
      </c>
      <c r="V6" s="42">
        <f t="shared" si="3"/>
        <v>0</v>
      </c>
      <c r="W6" s="60">
        <f t="shared" si="4"/>
        <v>90</v>
      </c>
      <c r="X6" s="42">
        <f t="shared" si="5"/>
        <v>0</v>
      </c>
      <c r="Y6" s="60">
        <f t="shared" si="0"/>
        <v>90</v>
      </c>
    </row>
    <row r="7" spans="1:25" ht="12.75">
      <c r="A7" s="1" t="s">
        <v>115</v>
      </c>
      <c r="B7" s="1"/>
      <c r="C7" s="18"/>
      <c r="D7" s="19" t="s">
        <v>97</v>
      </c>
      <c r="E7" s="19" t="s">
        <v>470</v>
      </c>
      <c r="F7" s="19"/>
      <c r="G7" s="21">
        <f>X0-VerticesSyno!Zvert</f>
        <v>316.125371</v>
      </c>
      <c r="H7" s="21">
        <f>Y0+VerticesSyno!Xvert</f>
        <v>0</v>
      </c>
      <c r="I7" s="21">
        <f>Z0+VerticesSyno!Yvert</f>
        <v>-200.09302</v>
      </c>
      <c r="J7" s="21">
        <f>IF(Flag="Ignore","",LeftHandCorr*VerticesSyno!zNorm)</f>
        <v>-0.9513613165986495</v>
      </c>
      <c r="K7" s="21">
        <f>IF(Flag="Ignore","",VerticesSyno!xNorm)</f>
        <v>0</v>
      </c>
      <c r="L7" s="21">
        <f>IF(Flag="Ignore","",VerticesSyno!yNorm)</f>
        <v>0.3080773365239388</v>
      </c>
      <c r="M7" s="21">
        <f>IF(Flag="Ignore","",IF(OR(Flag="Hole",Flag="Det"),1,Xnorm*GutCalc!Xnorm+Ynorm*GutCalc!Ynorm+Znorm*GutCalc!Znorm))</f>
        <v>1.0000000000000002</v>
      </c>
      <c r="N7" s="21">
        <f>LeftHandCorr*VerticesSyno!zSag</f>
        <v>0</v>
      </c>
      <c r="O7" s="21">
        <f>VerticesSyno!xSag</f>
        <v>1</v>
      </c>
      <c r="P7" s="21">
        <f>VerticesSyno!ySag</f>
        <v>0</v>
      </c>
      <c r="Q7" s="21">
        <f>IF(OR(Flag="Ignore",Flag="Hole",Flag="det"),1,GutCalc!UpFlag)*LeftHandCorr*VerticesSyno!zTang</f>
        <v>-0.3080773365239388</v>
      </c>
      <c r="R7" s="21">
        <f>IF(OR(Flag="Ignore",Flag="Hole",Flag="det"),1,GutCalc!UpFlag)*VerticesSyno!xTang</f>
        <v>0</v>
      </c>
      <c r="S7" s="21">
        <f>IF(OR(Flag="Ignore",Flag="Hole",Flag="det"),1,GutCalc!UpFlag)*VerticesSyno!yTang</f>
        <v>-0.9513613165986495</v>
      </c>
      <c r="T7" s="42">
        <f t="shared" si="1"/>
        <v>0</v>
      </c>
      <c r="U7" s="60">
        <f t="shared" si="2"/>
        <v>90</v>
      </c>
      <c r="V7" s="42">
        <f t="shared" si="3"/>
        <v>0</v>
      </c>
      <c r="W7" s="60">
        <f t="shared" si="4"/>
        <v>90</v>
      </c>
      <c r="X7" s="42">
        <f t="shared" si="5"/>
        <v>0</v>
      </c>
      <c r="Y7" s="60">
        <f t="shared" si="0"/>
        <v>90</v>
      </c>
    </row>
    <row r="8" spans="1:25" ht="13.5" thickBot="1">
      <c r="A8" s="1" t="s">
        <v>117</v>
      </c>
      <c r="B8" s="1"/>
      <c r="C8" s="14"/>
      <c r="D8" s="15" t="s">
        <v>98</v>
      </c>
      <c r="E8" s="15" t="s">
        <v>470</v>
      </c>
      <c r="F8" s="15"/>
      <c r="G8" s="21">
        <f>X0-VerticesSyno!Zvert</f>
        <v>119.782896</v>
      </c>
      <c r="H8" s="21">
        <f>Y0+VerticesSyno!Xvert</f>
        <v>0</v>
      </c>
      <c r="I8" s="21">
        <f>Z0+VerticesSyno!Yvert</f>
        <v>-179.687314</v>
      </c>
      <c r="J8" s="21">
        <f>IF(Flag="Ignore","",LeftHandCorr*VerticesSyno!zNorm)</f>
        <v>-0.9652659093802869</v>
      </c>
      <c r="K8" s="21">
        <f>IF(Flag="Ignore","",VerticesSyno!xNorm)</f>
        <v>0</v>
      </c>
      <c r="L8" s="21">
        <f>IF(Flag="Ignore","",VerticesSyno!yNorm)</f>
        <v>0.26126944748333636</v>
      </c>
      <c r="M8" s="21">
        <f>IF(Flag="Ignore","",IF(OR(Flag="Hole",Flag="Det"),1,Xnorm*GutCalc!Xnorm+Ynorm*GutCalc!Ynorm+Znorm*GutCalc!Znorm))</f>
        <v>-0.9780313425684769</v>
      </c>
      <c r="N8" s="21">
        <f>LeftHandCorr*VerticesSyno!zSag</f>
        <v>0</v>
      </c>
      <c r="O8" s="21">
        <f>VerticesSyno!xSag</f>
        <v>1</v>
      </c>
      <c r="P8" s="21">
        <f>VerticesSyno!ySag</f>
        <v>0</v>
      </c>
      <c r="Q8" s="21">
        <f>IF(OR(Flag="Ignore",Flag="Hole",Flag="det"),1,GutCalc!UpFlag)*LeftHandCorr*VerticesSyno!zTang</f>
        <v>0.26126944748333636</v>
      </c>
      <c r="R8" s="21">
        <f>IF(OR(Flag="Ignore",Flag="Hole",Flag="det"),1,GutCalc!UpFlag)*VerticesSyno!xTang</f>
        <v>0</v>
      </c>
      <c r="S8" s="21">
        <f>IF(OR(Flag="Ignore",Flag="Hole",Flag="det"),1,GutCalc!UpFlag)*VerticesSyno!yTang</f>
        <v>0.9652659093802869</v>
      </c>
      <c r="T8" s="42">
        <f t="shared" si="1"/>
        <v>0</v>
      </c>
      <c r="U8" s="60">
        <f t="shared" si="2"/>
        <v>90</v>
      </c>
      <c r="V8" s="42">
        <f t="shared" si="3"/>
        <v>0</v>
      </c>
      <c r="W8" s="60">
        <f t="shared" si="4"/>
        <v>90</v>
      </c>
      <c r="X8" s="42">
        <f t="shared" si="5"/>
        <v>0</v>
      </c>
      <c r="Y8" s="60">
        <f t="shared" si="0"/>
        <v>90</v>
      </c>
    </row>
    <row r="9" spans="1:25" ht="12.75">
      <c r="A9" s="1" t="s">
        <v>116</v>
      </c>
      <c r="B9" s="1"/>
      <c r="C9" s="10" t="s">
        <v>443</v>
      </c>
      <c r="D9" s="11" t="s">
        <v>444</v>
      </c>
      <c r="E9" s="11" t="s">
        <v>470</v>
      </c>
      <c r="F9" s="11"/>
      <c r="G9" s="21">
        <f>X0-VerticesSyno!Zvert</f>
        <v>306.150668</v>
      </c>
      <c r="H9" s="21">
        <f>Y0+VerticesSyno!Xvert</f>
        <v>33.82</v>
      </c>
      <c r="I9" s="21">
        <f>Z0+VerticesSyno!Yvert</f>
        <v>-263.975222</v>
      </c>
      <c r="J9" s="21">
        <f>IF(Flag="Ignore","",LeftHandCorr*VerticesSyno!zNorm)</f>
        <v>-0.5448036271387428</v>
      </c>
      <c r="K9" s="21">
        <f>IF(Flag="Ignore","",VerticesSyno!xNorm)</f>
        <v>0.7099523681147767</v>
      </c>
      <c r="L9" s="21">
        <f>IF(Flag="Ignore","",VerticesSyno!yNorm)</f>
        <v>0.4462696974528858</v>
      </c>
      <c r="M9" s="21">
        <f>IF(Flag="Ignore","",IF(OR(Flag="Hole",Flag="Det"),1,Xnorm*GutCalc!Xnorm+Ynorm*GutCalc!Ynorm+Znorm*GutCalc!Znorm))</f>
        <v>0.9999999998893911</v>
      </c>
      <c r="N9" s="21">
        <f>LeftHandCorr*VerticesSyno!zSag</f>
        <v>0.3774163324386196</v>
      </c>
      <c r="O9" s="21">
        <f>VerticesSyno!xSag</f>
        <v>0.6828304098612817</v>
      </c>
      <c r="P9" s="21">
        <f>VerticesSyno!ySag</f>
        <v>-0.6255394019382434</v>
      </c>
      <c r="Q9" s="21">
        <f>IF(OR(Flag="Ignore",Flag="Hole",Flag="det"),1,GutCalc!UpFlag)*LeftHandCorr*VerticesSyno!zTang</f>
        <v>-0.7488297001755813</v>
      </c>
      <c r="R9" s="21">
        <f>IF(OR(Flag="Ignore",Flag="Hole",Flag="det"),1,GutCalc!UpFlag)*VerticesSyno!xTang</f>
        <v>-0.17236666260299444</v>
      </c>
      <c r="S9" s="21">
        <f>IF(OR(Flag="Ignore",Flag="Hole",Flag="det"),1,GutCalc!UpFlag)*VerticesSyno!yTang</f>
        <v>-0.6399561029930524</v>
      </c>
      <c r="T9" s="42">
        <f t="shared" si="1"/>
        <v>0</v>
      </c>
      <c r="U9" s="60">
        <f t="shared" si="2"/>
        <v>90</v>
      </c>
      <c r="V9" s="42">
        <f t="shared" si="3"/>
        <v>0</v>
      </c>
      <c r="W9" s="60">
        <f t="shared" si="4"/>
        <v>90</v>
      </c>
      <c r="X9" s="42">
        <f t="shared" si="5"/>
        <v>0</v>
      </c>
      <c r="Y9" s="60">
        <f t="shared" si="0"/>
        <v>90</v>
      </c>
    </row>
    <row r="10" spans="1:25" ht="12.75">
      <c r="A10" s="24" t="s">
        <v>121</v>
      </c>
      <c r="B10" s="1"/>
      <c r="C10" s="18"/>
      <c r="D10" s="19" t="s">
        <v>445</v>
      </c>
      <c r="E10" s="19" t="s">
        <v>470</v>
      </c>
      <c r="F10" s="19" t="s">
        <v>144</v>
      </c>
      <c r="G10" s="21">
        <f>X0-VerticesSyno!Zvert</f>
        <v>314.982809</v>
      </c>
      <c r="H10" s="21">
        <f>Y0+VerticesSyno!Xvert</f>
        <v>141.695656</v>
      </c>
      <c r="I10" s="21">
        <f>Z0+VerticesSyno!Yvert</f>
        <v>-233.042376</v>
      </c>
      <c r="J10" s="21">
        <f>IF(Flag="Ignore","",LeftHandCorr*VerticesSyno!zNorm)</f>
        <v>0.49644749895141155</v>
      </c>
      <c r="K10" s="21">
        <f>IF(Flag="Ignore","",VerticesSyno!xNorm)</f>
        <v>0.7528435614080758</v>
      </c>
      <c r="L10" s="21">
        <f>IF(Flag="Ignore","",VerticesSyno!yNorm)</f>
        <v>0.4321648445110881</v>
      </c>
      <c r="M10" s="21">
        <f>IF(Flag="Ignore","",IF(OR(Flag="Hole",Flag="Det"),1,Xnorm*GutCalc!Xnorm+Ynorm*GutCalc!Ynorm+Znorm*GutCalc!Znorm))</f>
        <v>1</v>
      </c>
      <c r="N10" s="21">
        <f>LeftHandCorr*VerticesSyno!zSag</f>
        <v>-0.8678400032081006</v>
      </c>
      <c r="O10" s="21">
        <f>VerticesSyno!xSag</f>
        <v>0.4418171429276573</v>
      </c>
      <c r="P10" s="21">
        <f>VerticesSyno!ySag</f>
        <v>0.2272693139141449</v>
      </c>
      <c r="Q10" s="21">
        <f>IF(OR(Flag="Ignore",Flag="Hole",Flag="det"),1,GutCalc!UpFlag)*LeftHandCorr*VerticesSyno!zTang</f>
        <v>0.01983959718976941</v>
      </c>
      <c r="R10" s="21">
        <f>IF(OR(Flag="Ignore",Flag="Hole",Flag="det"),1,GutCalc!UpFlag)*VerticesSyno!xTang</f>
        <v>0.4878772225280114</v>
      </c>
      <c r="S10" s="21">
        <f>IF(OR(Flag="Ignore",Flag="Hole",Flag="det"),1,GutCalc!UpFlag)*VerticesSyno!yTang</f>
        <v>-0.8726867743478761</v>
      </c>
      <c r="T10" s="42">
        <f t="shared" si="1"/>
        <v>0</v>
      </c>
      <c r="U10" s="60">
        <f t="shared" si="2"/>
        <v>90</v>
      </c>
      <c r="V10" s="42">
        <f t="shared" si="3"/>
        <v>0</v>
      </c>
      <c r="W10" s="60">
        <f t="shared" si="4"/>
        <v>90</v>
      </c>
      <c r="X10" s="42">
        <f t="shared" si="5"/>
        <v>0</v>
      </c>
      <c r="Y10" s="60">
        <f t="shared" si="0"/>
        <v>90</v>
      </c>
    </row>
    <row r="11" spans="1:25" ht="12.75">
      <c r="A11" s="23" t="s">
        <v>105</v>
      </c>
      <c r="B11" s="23">
        <v>202</v>
      </c>
      <c r="C11" s="18"/>
      <c r="D11" s="19" t="s">
        <v>446</v>
      </c>
      <c r="E11" s="19" t="s">
        <v>470</v>
      </c>
      <c r="F11" s="19"/>
      <c r="G11" s="21">
        <f>X0-VerticesSyno!Zvert</f>
        <v>317.370319</v>
      </c>
      <c r="H11" s="21">
        <f>Y0+VerticesSyno!Xvert</f>
        <v>170.856678</v>
      </c>
      <c r="I11" s="21">
        <f>Z0+VerticesSyno!Yvert</f>
        <v>-224.680587</v>
      </c>
      <c r="J11" s="21">
        <f>IF(Flag="Ignore","",LeftHandCorr*VerticesSyno!zNorm)</f>
        <v>0.6505602727317011</v>
      </c>
      <c r="K11" s="21">
        <f>IF(Flag="Ignore","",VerticesSyno!xNorm)</f>
        <v>-0.6878624431607016</v>
      </c>
      <c r="L11" s="21">
        <f>IF(Flag="Ignore","",VerticesSyno!yNorm)</f>
        <v>-0.32189531036075236</v>
      </c>
      <c r="M11" s="21">
        <f>IF(Flag="Ignore","",IF(OR(Flag="Hole",Flag="Det"),1,Xnorm*GutCalc!Xnorm+Ynorm*GutCalc!Ynorm+Znorm*GutCalc!Znorm))</f>
        <v>0.9999999999999959</v>
      </c>
      <c r="N11" s="21">
        <f>LeftHandCorr*VerticesSyno!zSag</f>
        <v>0.3146691628566174</v>
      </c>
      <c r="O11" s="21">
        <f>VerticesSyno!xSag</f>
        <v>0.6298970733282109</v>
      </c>
      <c r="P11" s="21">
        <f>VerticesSyno!ySag</f>
        <v>-0.7100795694565997</v>
      </c>
      <c r="Q11" s="21">
        <f>IF(OR(Flag="Ignore",Flag="Hole",Flag="det"),1,GutCalc!UpFlag)*LeftHandCorr*VerticesSyno!zTang</f>
        <v>-0.6911979813992297</v>
      </c>
      <c r="R11" s="21">
        <f>IF(OR(Flag="Ignore",Flag="Hole",Flag="det"),1,GutCalc!UpFlag)*VerticesSyno!xTang</f>
        <v>-0.36065903052820547</v>
      </c>
      <c r="S11" s="21">
        <f>IF(OR(Flag="Ignore",Flag="Hole",Flag="det"),1,GutCalc!UpFlag)*VerticesSyno!yTang</f>
        <v>-0.6262351109671869</v>
      </c>
      <c r="T11" s="42">
        <f t="shared" si="1"/>
        <v>0</v>
      </c>
      <c r="U11" s="60">
        <f t="shared" si="2"/>
        <v>90</v>
      </c>
      <c r="V11" s="42">
        <f t="shared" si="3"/>
        <v>0</v>
      </c>
      <c r="W11" s="60">
        <f t="shared" si="4"/>
        <v>90</v>
      </c>
      <c r="X11" s="42">
        <f t="shared" si="5"/>
        <v>0</v>
      </c>
      <c r="Y11" s="60">
        <f t="shared" si="0"/>
        <v>90</v>
      </c>
    </row>
    <row r="12" spans="1:25" ht="13.5" thickBot="1">
      <c r="A12" s="23" t="s">
        <v>106</v>
      </c>
      <c r="B12" s="23">
        <v>0</v>
      </c>
      <c r="C12" s="14"/>
      <c r="D12" s="15" t="s">
        <v>447</v>
      </c>
      <c r="E12" s="15" t="s">
        <v>470</v>
      </c>
      <c r="F12" s="15"/>
      <c r="G12" s="21">
        <f>X0-VerticesSyno!Zvert</f>
        <v>373.504361</v>
      </c>
      <c r="H12" s="21">
        <f>Y0+VerticesSyno!Xvert</f>
        <v>170.856678</v>
      </c>
      <c r="I12" s="21">
        <f>Z0+VerticesSyno!Yvert</f>
        <v>-234.578533</v>
      </c>
      <c r="J12" s="21">
        <f>IF(Flag="Ignore","",LeftHandCorr*VerticesSyno!zNorm)</f>
        <v>-0.984807753012208</v>
      </c>
      <c r="K12" s="21">
        <f>IF(Flag="Ignore","",VerticesSyno!xNorm)</f>
        <v>0</v>
      </c>
      <c r="L12" s="21">
        <f>IF(Flag="Ignore","",VerticesSyno!yNorm)</f>
        <v>-0.17364817766693033</v>
      </c>
      <c r="M12" s="21">
        <f>IF(Flag="Ignore","",IF(OR(Flag="Hole",Flag="Det"),1,Xnorm*GutCalc!Xnorm+Ynorm*GutCalc!Ynorm+Znorm*GutCalc!Znorm))</f>
        <v>0.9999999998729163</v>
      </c>
      <c r="N12" s="21">
        <f>LeftHandCorr*VerticesSyno!zSag</f>
        <v>0.018814150275320164</v>
      </c>
      <c r="O12" s="21">
        <f>VerticesSyno!xSag</f>
        <v>0.9941132045189992</v>
      </c>
      <c r="P12" s="21">
        <f>VerticesSyno!ySag</f>
        <v>-0.10670034840797878</v>
      </c>
      <c r="Q12" s="21">
        <f>IF(OR(Flag="Ignore",Flag="Hole",Flag="det"),1,GutCalc!UpFlag)*LeftHandCorr*VerticesSyno!zTang</f>
        <v>0.17262594635935663</v>
      </c>
      <c r="R12" s="21">
        <f>IF(OR(Flag="Ignore",Flag="Hole",Flag="det"),1,GutCalc!UpFlag)*VerticesSyno!xTang</f>
        <v>-0.10834637327094243</v>
      </c>
      <c r="S12" s="21">
        <f>IF(OR(Flag="Ignore",Flag="Hole",Flag="det"),1,GutCalc!UpFlag)*VerticesSyno!yTang</f>
        <v>-0.9790103911821212</v>
      </c>
      <c r="T12" s="42">
        <f t="shared" si="1"/>
        <v>0</v>
      </c>
      <c r="U12" s="60">
        <f t="shared" si="2"/>
        <v>90</v>
      </c>
      <c r="V12" s="42">
        <f t="shared" si="3"/>
        <v>0</v>
      </c>
      <c r="W12" s="60">
        <f t="shared" si="4"/>
        <v>90</v>
      </c>
      <c r="X12" s="42">
        <f t="shared" si="5"/>
        <v>0</v>
      </c>
      <c r="Y12" s="60">
        <f t="shared" si="0"/>
        <v>90</v>
      </c>
    </row>
    <row r="13" spans="1:25" ht="12.75">
      <c r="A13" s="23" t="s">
        <v>107</v>
      </c>
      <c r="B13" s="23">
        <v>0</v>
      </c>
      <c r="C13" s="10" t="s">
        <v>449</v>
      </c>
      <c r="D13" s="11" t="s">
        <v>448</v>
      </c>
      <c r="E13" s="11" t="s">
        <v>470</v>
      </c>
      <c r="F13" s="11"/>
      <c r="G13" s="21">
        <f>X0-VerticesSyno!Zvert</f>
        <v>223.12771</v>
      </c>
      <c r="H13" s="21">
        <f>Y0+VerticesSyno!Xvert</f>
        <v>170.856678</v>
      </c>
      <c r="I13" s="21">
        <f>Z0+VerticesSyno!Yvert</f>
        <v>-321.398533</v>
      </c>
      <c r="J13" s="21">
        <f>IF(Flag="Ignore","",LeftHandCorr*VerticesSyno!zNorm)</f>
        <v>-1</v>
      </c>
      <c r="K13" s="21">
        <f>IF(Flag="Ignore","",VerticesSyno!xNorm)</f>
        <v>0</v>
      </c>
      <c r="L13" s="21">
        <f>IF(Flag="Ignore","",VerticesSyno!yNorm)</f>
        <v>0</v>
      </c>
      <c r="M13" s="21">
        <f>IF(Flag="Ignore","",IF(OR(Flag="Hole",Flag="Det"),1,Xnorm*GutCalc!Xnorm+Ynorm*GutCalc!Ynorm+Znorm*GutCalc!Znorm))</f>
        <v>-1</v>
      </c>
      <c r="N13" s="21">
        <f>LeftHandCorr*VerticesSyno!zSag</f>
        <v>0</v>
      </c>
      <c r="O13" s="21">
        <f>VerticesSyno!xSag</f>
        <v>1</v>
      </c>
      <c r="P13" s="21">
        <f>VerticesSyno!ySag</f>
        <v>0</v>
      </c>
      <c r="Q13" s="21">
        <f>IF(OR(Flag="Ignore",Flag="Hole",Flag="det"),1,GutCalc!UpFlag)*LeftHandCorr*VerticesSyno!zTang</f>
        <v>0</v>
      </c>
      <c r="R13" s="21">
        <f>IF(OR(Flag="Ignore",Flag="Hole",Flag="det"),1,GutCalc!UpFlag)*VerticesSyno!xTang</f>
        <v>0</v>
      </c>
      <c r="S13" s="21">
        <f>IF(OR(Flag="Ignore",Flag="Hole",Flag="det"),1,GutCalc!UpFlag)*VerticesSyno!yTang</f>
        <v>1</v>
      </c>
      <c r="T13" s="42">
        <f t="shared" si="1"/>
        <v>0</v>
      </c>
      <c r="U13" s="60">
        <f t="shared" si="2"/>
        <v>90</v>
      </c>
      <c r="V13" s="42">
        <f t="shared" si="3"/>
        <v>0</v>
      </c>
      <c r="W13" s="60">
        <f t="shared" si="4"/>
        <v>90</v>
      </c>
      <c r="X13" s="42">
        <f t="shared" si="5"/>
        <v>0</v>
      </c>
      <c r="Y13" s="60">
        <f t="shared" si="0"/>
        <v>90</v>
      </c>
    </row>
    <row r="14" spans="1:25" ht="12.75">
      <c r="A14" s="30"/>
      <c r="B14" s="30"/>
      <c r="C14" s="18"/>
      <c r="D14" s="19" t="s">
        <v>450</v>
      </c>
      <c r="E14" s="19" t="s">
        <v>470</v>
      </c>
      <c r="F14" s="19"/>
      <c r="G14" s="21">
        <f>X0-VerticesSyno!Zvert</f>
        <v>373.12331</v>
      </c>
      <c r="H14" s="21">
        <f>Y0+VerticesSyno!Xvert</f>
        <v>170.856678</v>
      </c>
      <c r="I14" s="21">
        <f>Z0+VerticesSyno!Yvert</f>
        <v>-407.998533</v>
      </c>
      <c r="J14" s="21">
        <f>IF(Flag="Ignore","",LeftHandCorr*VerticesSyno!zNorm)</f>
        <v>-0.9659258262890683</v>
      </c>
      <c r="K14" s="21">
        <f>IF(Flag="Ignore","",VerticesSyno!xNorm)</f>
        <v>0</v>
      </c>
      <c r="L14" s="21">
        <f>IF(Flag="Ignore","",VerticesSyno!yNorm)</f>
        <v>0.25881904510252074</v>
      </c>
      <c r="M14" s="21">
        <f>IF(Flag="Ignore","",IF(OR(Flag="Hole",Flag="Det"),1,Xnorm*GutCalc!Xnorm+Ynorm*GutCalc!Ynorm+Znorm*GutCalc!Znorm))</f>
        <v>0.9999999999510673</v>
      </c>
      <c r="N14" s="21">
        <f>LeftHandCorr*VerticesSyno!zSag</f>
        <v>0</v>
      </c>
      <c r="O14" s="21">
        <f>VerticesSyno!xSag</f>
        <v>1</v>
      </c>
      <c r="P14" s="21">
        <f>VerticesSyno!ySag</f>
        <v>0</v>
      </c>
      <c r="Q14" s="21">
        <f>IF(OR(Flag="Ignore",Flag="Hole",Flag="det"),1,GutCalc!UpFlag)*LeftHandCorr*VerticesSyno!zTang</f>
        <v>-0.25881904510252074</v>
      </c>
      <c r="R14" s="21">
        <f>IF(OR(Flag="Ignore",Flag="Hole",Flag="det"),1,GutCalc!UpFlag)*VerticesSyno!xTang</f>
        <v>0</v>
      </c>
      <c r="S14" s="21">
        <f>IF(OR(Flag="Ignore",Flag="Hole",Flag="det"),1,GutCalc!UpFlag)*VerticesSyno!yTang</f>
        <v>-0.9659258262890683</v>
      </c>
      <c r="T14" s="42">
        <f t="shared" si="1"/>
        <v>0</v>
      </c>
      <c r="U14" s="60">
        <f t="shared" si="2"/>
        <v>90</v>
      </c>
      <c r="V14" s="42">
        <f t="shared" si="3"/>
        <v>0</v>
      </c>
      <c r="W14" s="60">
        <f t="shared" si="4"/>
        <v>90</v>
      </c>
      <c r="X14" s="42">
        <f t="shared" si="5"/>
        <v>0</v>
      </c>
      <c r="Y14" s="60">
        <f t="shared" si="0"/>
        <v>90</v>
      </c>
    </row>
    <row r="15" spans="1:25" ht="12.75">
      <c r="A15" s="31"/>
      <c r="C15" s="18"/>
      <c r="D15" s="19" t="s">
        <v>451</v>
      </c>
      <c r="E15" s="19" t="s">
        <v>470</v>
      </c>
      <c r="F15" s="19"/>
      <c r="G15" s="21">
        <f>X0-VerticesSyno!Zvert</f>
        <v>248.12331</v>
      </c>
      <c r="H15" s="21">
        <f>Y0+VerticesSyno!Xvert</f>
        <v>170.856678</v>
      </c>
      <c r="I15" s="21">
        <f>Z0+VerticesSyno!Yvert</f>
        <v>-407.998533</v>
      </c>
      <c r="J15" s="21">
        <f>IF(Flag="Ignore","",LeftHandCorr*VerticesSyno!zNorm)</f>
        <v>-0.7071067811865476</v>
      </c>
      <c r="K15" s="21">
        <f>IF(Flag="Ignore","",VerticesSyno!xNorm)</f>
        <v>0</v>
      </c>
      <c r="L15" s="21">
        <f>IF(Flag="Ignore","",VerticesSyno!yNorm)</f>
        <v>0.7071067811865475</v>
      </c>
      <c r="M15" s="21">
        <f>IF(Flag="Ignore","",IF(OR(Flag="Hole",Flag="Det"),1,Xnorm*GutCalc!Xnorm+Ynorm*GutCalc!Ynorm+Znorm*GutCalc!Znorm))</f>
        <v>-0.9999999978348189</v>
      </c>
      <c r="N15" s="21">
        <f>LeftHandCorr*VerticesSyno!zSag</f>
        <v>0</v>
      </c>
      <c r="O15" s="21">
        <f>VerticesSyno!xSag</f>
        <v>1</v>
      </c>
      <c r="P15" s="21">
        <f>VerticesSyno!ySag</f>
        <v>0</v>
      </c>
      <c r="Q15" s="21">
        <f>IF(OR(Flag="Ignore",Flag="Hole",Flag="det"),1,GutCalc!UpFlag)*LeftHandCorr*VerticesSyno!zTang</f>
        <v>0.7071067811865475</v>
      </c>
      <c r="R15" s="21">
        <f>IF(OR(Flag="Ignore",Flag="Hole",Flag="det"),1,GutCalc!UpFlag)*VerticesSyno!xTang</f>
        <v>0</v>
      </c>
      <c r="S15" s="21">
        <f>IF(OR(Flag="Ignore",Flag="Hole",Flag="det"),1,GutCalc!UpFlag)*VerticesSyno!yTang</f>
        <v>0.7071067811865476</v>
      </c>
      <c r="T15" s="42">
        <f t="shared" si="1"/>
        <v>0</v>
      </c>
      <c r="U15" s="60">
        <f t="shared" si="2"/>
        <v>90</v>
      </c>
      <c r="V15" s="42">
        <f t="shared" si="3"/>
        <v>0</v>
      </c>
      <c r="W15" s="60">
        <f t="shared" si="4"/>
        <v>90</v>
      </c>
      <c r="X15" s="42">
        <f t="shared" si="5"/>
        <v>0</v>
      </c>
      <c r="Y15" s="60">
        <f t="shared" si="0"/>
        <v>90</v>
      </c>
    </row>
    <row r="16" spans="3:25" ht="12.75">
      <c r="C16" s="18"/>
      <c r="D16" s="19" t="s">
        <v>452</v>
      </c>
      <c r="E16" s="19" t="s">
        <v>470</v>
      </c>
      <c r="F16" s="19"/>
      <c r="G16" s="21">
        <f>X0-VerticesSyno!Zvert</f>
        <v>248.12331</v>
      </c>
      <c r="H16" s="21">
        <f>Y0+VerticesSyno!Xvert</f>
        <v>170.856678</v>
      </c>
      <c r="I16" s="21">
        <f>Z0+VerticesSyno!Yvert</f>
        <v>-457.998533</v>
      </c>
      <c r="J16" s="21">
        <f>IF(Flag="Ignore","",LeftHandCorr*VerticesSyno!zNorm)</f>
        <v>0.5</v>
      </c>
      <c r="K16" s="21">
        <f>IF(Flag="Ignore","",VerticesSyno!xNorm)</f>
        <v>-0.7071067811865475</v>
      </c>
      <c r="L16" s="21">
        <f>IF(Flag="Ignore","",VerticesSyno!yNorm)</f>
        <v>0.5000000000000001</v>
      </c>
      <c r="M16" s="21">
        <f>IF(Flag="Ignore","",IF(OR(Flag="Hole",Flag="Det"),1,Xnorm*GutCalc!Xnorm+Ynorm*GutCalc!Ynorm+Znorm*GutCalc!Znorm))</f>
        <v>0.5772854303956114</v>
      </c>
      <c r="N16" s="21">
        <f>LeftHandCorr*VerticesSyno!zSag</f>
        <v>0.4999999999999999</v>
      </c>
      <c r="O16" s="21">
        <f>VerticesSyno!xSag</f>
        <v>0.7071067811865476</v>
      </c>
      <c r="P16" s="21">
        <f>VerticesSyno!ySag</f>
        <v>0.5</v>
      </c>
      <c r="Q16" s="21">
        <f>IF(OR(Flag="Ignore",Flag="Hole",Flag="det"),1,GutCalc!UpFlag)*LeftHandCorr*VerticesSyno!zTang</f>
        <v>-0.7071067811865476</v>
      </c>
      <c r="R16" s="21">
        <f>IF(OR(Flag="Ignore",Flag="Hole",Flag="det"),1,GutCalc!UpFlag)*VerticesSyno!xTang</f>
        <v>0</v>
      </c>
      <c r="S16" s="21">
        <f>IF(OR(Flag="Ignore",Flag="Hole",Flag="det"),1,GutCalc!UpFlag)*VerticesSyno!yTang</f>
        <v>0.7071067811865475</v>
      </c>
      <c r="T16" s="42">
        <f t="shared" si="1"/>
        <v>0</v>
      </c>
      <c r="U16" s="60">
        <f t="shared" si="2"/>
        <v>90</v>
      </c>
      <c r="V16" s="42">
        <f t="shared" si="3"/>
        <v>0</v>
      </c>
      <c r="W16" s="60">
        <f t="shared" si="4"/>
        <v>90</v>
      </c>
      <c r="X16" s="42">
        <f t="shared" si="5"/>
        <v>0</v>
      </c>
      <c r="Y16" s="60">
        <f t="shared" si="0"/>
        <v>90</v>
      </c>
    </row>
    <row r="17" spans="3:25" ht="12.75">
      <c r="C17" s="18"/>
      <c r="D17" s="19" t="s">
        <v>453</v>
      </c>
      <c r="E17" s="19" t="s">
        <v>470</v>
      </c>
      <c r="F17" s="19"/>
      <c r="G17" s="21">
        <f>X0-VerticesSyno!Zvert</f>
        <v>248.12331</v>
      </c>
      <c r="H17" s="21">
        <f>Y0+VerticesSyno!Xvert</f>
        <v>170.856678</v>
      </c>
      <c r="I17" s="21">
        <f>Z0+VerticesSyno!Yvert</f>
        <v>-457.998533</v>
      </c>
      <c r="J17" s="21">
        <f>IF(Flag="Ignore","",LeftHandCorr*VerticesSyno!zNorm)</f>
        <v>0.5</v>
      </c>
      <c r="K17" s="21">
        <f>IF(Flag="Ignore","",VerticesSyno!xNorm)</f>
        <v>0.7071067811865475</v>
      </c>
      <c r="L17" s="21">
        <f>IF(Flag="Ignore","",VerticesSyno!yNorm)</f>
        <v>0.5000000000000001</v>
      </c>
      <c r="M17" s="21">
        <f>IF(Flag="Ignore","",IF(OR(Flag="Hole",Flag="Det"),1,Xnorm*GutCalc!Xnorm+Ynorm*GutCalc!Ynorm+Znorm*GutCalc!Znorm))</f>
        <v>0.5772847458272825</v>
      </c>
      <c r="N17" s="21">
        <f>LeftHandCorr*VerticesSyno!zSag</f>
        <v>-0.4999999999999999</v>
      </c>
      <c r="O17" s="21">
        <f>VerticesSyno!xSag</f>
        <v>0.7071067811865476</v>
      </c>
      <c r="P17" s="21">
        <f>VerticesSyno!ySag</f>
        <v>-0.5</v>
      </c>
      <c r="Q17" s="21">
        <f>IF(OR(Flag="Ignore",Flag="Hole",Flag="det"),1,GutCalc!UpFlag)*LeftHandCorr*VerticesSyno!zTang</f>
        <v>0.7071067811865476</v>
      </c>
      <c r="R17" s="21">
        <f>IF(OR(Flag="Ignore",Flag="Hole",Flag="det"),1,GutCalc!UpFlag)*VerticesSyno!xTang</f>
        <v>0</v>
      </c>
      <c r="S17" s="21">
        <f>IF(OR(Flag="Ignore",Flag="Hole",Flag="det"),1,GutCalc!UpFlag)*VerticesSyno!yTang</f>
        <v>-0.7071067811865475</v>
      </c>
      <c r="T17" s="42">
        <f t="shared" si="1"/>
        <v>0</v>
      </c>
      <c r="U17" s="60">
        <f t="shared" si="2"/>
        <v>90</v>
      </c>
      <c r="V17" s="42">
        <f t="shared" si="3"/>
        <v>0</v>
      </c>
      <c r="W17" s="60">
        <f t="shared" si="4"/>
        <v>90</v>
      </c>
      <c r="X17" s="42">
        <f t="shared" si="5"/>
        <v>0</v>
      </c>
      <c r="Y17" s="60">
        <f t="shared" si="0"/>
        <v>90</v>
      </c>
    </row>
    <row r="18" spans="3:25" ht="12.75">
      <c r="C18" s="18"/>
      <c r="D18" s="19" t="s">
        <v>455</v>
      </c>
      <c r="E18" s="19" t="s">
        <v>470</v>
      </c>
      <c r="F18" s="19"/>
      <c r="G18" s="21">
        <f>X0-VerticesSyno!Zvert</f>
        <v>373.12331</v>
      </c>
      <c r="H18" s="21">
        <f>Y0+VerticesSyno!Xvert</f>
        <v>170.856678</v>
      </c>
      <c r="I18" s="21">
        <f>Z0+VerticesSyno!Yvert</f>
        <v>-457.998533</v>
      </c>
      <c r="J18" s="21">
        <f>IF(Flag="Ignore","",LeftHandCorr*VerticesSyno!zNorm)</f>
        <v>0.9659258262890682</v>
      </c>
      <c r="K18" s="21">
        <f>IF(Flag="Ignore","",VerticesSyno!xNorm)</f>
        <v>0</v>
      </c>
      <c r="L18" s="21">
        <f>IF(Flag="Ignore","",VerticesSyno!yNorm)</f>
        <v>0.258819045102521</v>
      </c>
      <c r="M18" s="21">
        <f>IF(Flag="Ignore","",IF(OR(Flag="Hole",Flag="Det"),1,Xnorm*GutCalc!Xnorm+Ynorm*GutCalc!Ynorm+Znorm*GutCalc!Znorm))</f>
        <v>-0.9999999996345592</v>
      </c>
      <c r="N18" s="21">
        <f>LeftHandCorr*VerticesSyno!zSag</f>
        <v>0</v>
      </c>
      <c r="O18" s="21">
        <f>VerticesSyno!xSag</f>
        <v>1</v>
      </c>
      <c r="P18" s="21">
        <f>VerticesSyno!ySag</f>
        <v>0</v>
      </c>
      <c r="Q18" s="21">
        <f>IF(OR(Flag="Ignore",Flag="Hole",Flag="det"),1,GutCalc!UpFlag)*LeftHandCorr*VerticesSyno!zTang</f>
        <v>-0.258819045102521</v>
      </c>
      <c r="R18" s="21">
        <f>IF(OR(Flag="Ignore",Flag="Hole",Flag="det"),1,GutCalc!UpFlag)*VerticesSyno!xTang</f>
        <v>0</v>
      </c>
      <c r="S18" s="21">
        <f>IF(OR(Flag="Ignore",Flag="Hole",Flag="det"),1,GutCalc!UpFlag)*VerticesSyno!yTang</f>
        <v>0.9659258262890682</v>
      </c>
      <c r="T18" s="42">
        <f t="shared" si="1"/>
        <v>0</v>
      </c>
      <c r="U18" s="60">
        <f t="shared" si="2"/>
        <v>90</v>
      </c>
      <c r="V18" s="42">
        <f t="shared" si="3"/>
        <v>0</v>
      </c>
      <c r="W18" s="60">
        <f t="shared" si="4"/>
        <v>90</v>
      </c>
      <c r="X18" s="42">
        <f t="shared" si="5"/>
        <v>0</v>
      </c>
      <c r="Y18" s="60">
        <f t="shared" si="0"/>
        <v>90</v>
      </c>
    </row>
    <row r="19" spans="3:25" ht="12.75">
      <c r="C19" s="18"/>
      <c r="D19" s="19" t="s">
        <v>454</v>
      </c>
      <c r="E19" s="19" t="s">
        <v>470</v>
      </c>
      <c r="F19" s="19"/>
      <c r="G19" s="21">
        <f>X0-VerticesSyno!Zvert</f>
        <v>223.12771</v>
      </c>
      <c r="H19" s="21">
        <f>Y0+VerticesSyno!Xvert</f>
        <v>170.856678</v>
      </c>
      <c r="I19" s="21">
        <f>Z0+VerticesSyno!Yvert</f>
        <v>-544.598533</v>
      </c>
      <c r="J19" s="21">
        <f>IF(Flag="Ignore","",LeftHandCorr*VerticesSyno!zNorm)</f>
        <v>1</v>
      </c>
      <c r="K19" s="21">
        <f>IF(Flag="Ignore","",VerticesSyno!xNorm)</f>
        <v>0</v>
      </c>
      <c r="L19" s="21">
        <f>IF(Flag="Ignore","",VerticesSyno!yNorm)</f>
        <v>1.22514845490862E-16</v>
      </c>
      <c r="M19" s="21">
        <f>IF(Flag="Ignore","",IF(OR(Flag="Hole",Flag="Det"),1,Xnorm*GutCalc!Xnorm+Ynorm*GutCalc!Ynorm+Znorm*GutCalc!Znorm))</f>
        <v>1</v>
      </c>
      <c r="N19" s="21">
        <f>LeftHandCorr*VerticesSyno!zSag</f>
        <v>-1.8260974706750705E-24</v>
      </c>
      <c r="O19" s="21">
        <f>VerticesSyno!xSag</f>
        <v>0.9999999999999999</v>
      </c>
      <c r="P19" s="21">
        <f>VerticesSyno!ySag</f>
        <v>1.4905111812031573E-08</v>
      </c>
      <c r="Q19" s="21">
        <f>IF(OR(Flag="Ignore",Flag="Hole",Flag="det"),1,GutCalc!UpFlag)*LeftHandCorr*VerticesSyno!zTang</f>
        <v>1.2251484549086198E-16</v>
      </c>
      <c r="R19" s="21">
        <f>IF(OR(Flag="Ignore",Flag="Hole",Flag="det"),1,GutCalc!UpFlag)*VerticesSyno!xTang</f>
        <v>1.4905111812031573E-08</v>
      </c>
      <c r="S19" s="21">
        <f>IF(OR(Flag="Ignore",Flag="Hole",Flag="det"),1,GutCalc!UpFlag)*VerticesSyno!yTang</f>
        <v>-0.9999999999999999</v>
      </c>
      <c r="T19" s="42">
        <f t="shared" si="1"/>
        <v>0</v>
      </c>
      <c r="U19" s="60">
        <f t="shared" si="2"/>
        <v>90</v>
      </c>
      <c r="V19" s="42">
        <f t="shared" si="3"/>
        <v>0</v>
      </c>
      <c r="W19" s="60">
        <f t="shared" si="4"/>
        <v>90</v>
      </c>
      <c r="X19" s="42">
        <f t="shared" si="5"/>
        <v>0</v>
      </c>
      <c r="Y19" s="60">
        <f t="shared" si="0"/>
        <v>90</v>
      </c>
    </row>
    <row r="20" spans="3:25" ht="12.75">
      <c r="C20" s="18"/>
      <c r="D20" s="19" t="s">
        <v>456</v>
      </c>
      <c r="E20" s="19" t="s">
        <v>470</v>
      </c>
      <c r="F20" s="19"/>
      <c r="G20" s="21">
        <f>X0-VerticesSyno!Zvert</f>
        <v>354.74625000000003</v>
      </c>
      <c r="H20" s="21">
        <f>Y0+VerticesSyno!Xvert</f>
        <v>170.856678</v>
      </c>
      <c r="I20" s="21">
        <f>Z0+VerticesSyno!Yvert</f>
        <v>-620.588533</v>
      </c>
      <c r="J20" s="21">
        <f>IF(Flag="Ignore","",LeftHandCorr*VerticesSyno!zNorm)</f>
        <v>0.984807753012208</v>
      </c>
      <c r="K20" s="21">
        <f>IF(Flag="Ignore","",VerticesSyno!xNorm)</f>
        <v>0</v>
      </c>
      <c r="L20" s="21">
        <f>IF(Flag="Ignore","",VerticesSyno!yNorm)</f>
        <v>-0.17364817766693028</v>
      </c>
      <c r="M20" s="21">
        <f>IF(Flag="Ignore","",IF(OR(Flag="Hole",Flag="Det"),1,Xnorm*GutCalc!Xnorm+Ynorm*GutCalc!Ynorm+Znorm*GutCalc!Znorm))</f>
        <v>-0.9999999998109236</v>
      </c>
      <c r="N20" s="21">
        <f>LeftHandCorr*VerticesSyno!zSag</f>
        <v>0.0054241286205614836</v>
      </c>
      <c r="O20" s="21">
        <f>VerticesSyno!xSag</f>
        <v>0.9995120273540129</v>
      </c>
      <c r="P20" s="21">
        <f>VerticesSyno!ySag</f>
        <v>0.03076176203305844</v>
      </c>
      <c r="Q20" s="21">
        <f>IF(OR(Flag="Ignore",Flag="Hole",Flag="det"),1,GutCalc!UpFlag)*LeftHandCorr*VerticesSyno!zTang</f>
        <v>0.1735634421062033</v>
      </c>
      <c r="R20" s="21">
        <f>IF(OR(Flag="Ignore",Flag="Hole",Flag="det"),1,GutCalc!UpFlag)*VerticesSyno!xTang</f>
        <v>-0.031236311796864077</v>
      </c>
      <c r="S20" s="21">
        <f>IF(OR(Flag="Ignore",Flag="Hole",Flag="det"),1,GutCalc!UpFlag)*VerticesSyno!yTang</f>
        <v>0.984327193767182</v>
      </c>
      <c r="T20" s="42">
        <f t="shared" si="1"/>
        <v>0</v>
      </c>
      <c r="U20" s="60">
        <f t="shared" si="2"/>
        <v>90</v>
      </c>
      <c r="V20" s="42">
        <f t="shared" si="3"/>
        <v>0</v>
      </c>
      <c r="W20" s="60">
        <f t="shared" si="4"/>
        <v>90</v>
      </c>
      <c r="X20" s="42">
        <f t="shared" si="5"/>
        <v>0</v>
      </c>
      <c r="Y20" s="60">
        <f t="shared" si="0"/>
        <v>90</v>
      </c>
    </row>
    <row r="21" spans="3:25" ht="12.75">
      <c r="C21" s="18"/>
      <c r="D21" s="19" t="s">
        <v>457</v>
      </c>
      <c r="E21" s="19" t="s">
        <v>470</v>
      </c>
      <c r="F21" s="19"/>
      <c r="G21" s="21">
        <f>X0-VerticesSyno!Zvert</f>
        <v>263.582597</v>
      </c>
      <c r="H21" s="21">
        <f>Y0+VerticesSyno!Xvert</f>
        <v>170.856678</v>
      </c>
      <c r="I21" s="21">
        <f>Z0+VerticesSyno!Yvert</f>
        <v>-636.663145</v>
      </c>
      <c r="J21" s="21">
        <f>IF(Flag="Ignore","",LeftHandCorr*VerticesSyno!zNorm)</f>
        <v>0.696364240320019</v>
      </c>
      <c r="K21" s="21">
        <f>IF(Flag="Ignore","",VerticesSyno!xNorm)</f>
        <v>0.7071067811865475</v>
      </c>
      <c r="L21" s="21">
        <f>IF(Flag="Ignore","",VerticesSyno!yNorm)</f>
        <v>0.1227878039689728</v>
      </c>
      <c r="M21" s="21">
        <f>IF(Flag="Ignore","",IF(OR(Flag="Hole",Flag="Det"),1,Xnorm*GutCalc!Xnorm+Ynorm*GutCalc!Ynorm+Znorm*GutCalc!Znorm))</f>
        <v>1</v>
      </c>
      <c r="N21" s="21">
        <f>LeftHandCorr*VerticesSyno!zSag</f>
        <v>-0.6963642403200189</v>
      </c>
      <c r="O21" s="21">
        <f>VerticesSyno!xSag</f>
        <v>0.7071067811865476</v>
      </c>
      <c r="P21" s="21">
        <f>VerticesSyno!ySag</f>
        <v>-0.12278780396897278</v>
      </c>
      <c r="Q21" s="21">
        <f>IF(OR(Flag="Ignore",Flag="Hole",Flag="det"),1,GutCalc!UpFlag)*LeftHandCorr*VerticesSyno!zTang</f>
        <v>0.17364817766693028</v>
      </c>
      <c r="R21" s="21">
        <f>IF(OR(Flag="Ignore",Flag="Hole",Flag="det"),1,GutCalc!UpFlag)*VerticesSyno!xTang</f>
        <v>0</v>
      </c>
      <c r="S21" s="21">
        <f>IF(OR(Flag="Ignore",Flag="Hole",Flag="det"),1,GutCalc!UpFlag)*VerticesSyno!yTang</f>
        <v>-0.984807753012208</v>
      </c>
      <c r="T21" s="42">
        <f t="shared" si="1"/>
        <v>0</v>
      </c>
      <c r="U21" s="60">
        <f t="shared" si="2"/>
        <v>90</v>
      </c>
      <c r="V21" s="42">
        <f t="shared" si="3"/>
        <v>5.724587470723463E-17</v>
      </c>
      <c r="W21" s="60">
        <f t="shared" si="4"/>
        <v>90</v>
      </c>
      <c r="X21" s="42">
        <f t="shared" si="5"/>
        <v>0</v>
      </c>
      <c r="Y21" s="60">
        <f t="shared" si="0"/>
        <v>90</v>
      </c>
    </row>
    <row r="22" spans="3:25" ht="13.5" thickBot="1">
      <c r="C22" s="14"/>
      <c r="D22" s="15" t="s">
        <v>458</v>
      </c>
      <c r="E22" s="19" t="s">
        <v>470</v>
      </c>
      <c r="F22" s="15" t="s">
        <v>145</v>
      </c>
      <c r="G22" s="21">
        <f>X0-VerticesSyno!Zvert</f>
        <v>263.582597</v>
      </c>
      <c r="H22" s="21">
        <f>Y0+VerticesSyno!Xvert</f>
        <v>250.856678</v>
      </c>
      <c r="I22" s="21">
        <f>Z0+VerticesSyno!Yvert</f>
        <v>-636.663145</v>
      </c>
      <c r="J22" s="21">
        <f>IF(Flag="Ignore","",LeftHandCorr*VerticesSyno!zNorm)</f>
        <v>4.6786126596009E-17</v>
      </c>
      <c r="K22" s="21">
        <f>IF(Flag="Ignore","",VerticesSyno!xNorm)</f>
        <v>1</v>
      </c>
      <c r="L22" s="21">
        <f>IF(Flag="Ignore","",VerticesSyno!yNorm)</f>
        <v>-3.954149971301882E-17</v>
      </c>
      <c r="M22" s="21">
        <f>IF(Flag="Ignore","",IF(OR(Flag="Hole",Flag="Det"),1,Xnorm*GutCalc!Xnorm+Ynorm*GutCalc!Ynorm+Znorm*GutCalc!Znorm))</f>
        <v>1</v>
      </c>
      <c r="N22" s="21">
        <f>LeftHandCorr*VerticesSyno!zSag</f>
        <v>1.6653345369377348E-16</v>
      </c>
      <c r="O22" s="21">
        <f>VerticesSyno!xSag</f>
        <v>3.954149971301881E-17</v>
      </c>
      <c r="P22" s="21">
        <f>VerticesSyno!ySag</f>
        <v>1</v>
      </c>
      <c r="Q22" s="21">
        <f>IF(OR(Flag="Ignore",Flag="Hole",Flag="det"),1,GutCalc!UpFlag)*LeftHandCorr*VerticesSyno!zTang</f>
        <v>-1</v>
      </c>
      <c r="R22" s="21">
        <f>IF(OR(Flag="Ignore",Flag="Hole",Flag="det"),1,GutCalc!UpFlag)*VerticesSyno!xTang</f>
        <v>4.6786126596009005E-17</v>
      </c>
      <c r="S22" s="21">
        <f>IF(OR(Flag="Ignore",Flag="Hole",Flag="det"),1,GutCalc!UpFlag)*VerticesSyno!yTang</f>
        <v>1.6653345369377348E-16</v>
      </c>
      <c r="T22" s="42">
        <f t="shared" si="1"/>
        <v>-4.220066894012222E-34</v>
      </c>
      <c r="U22" s="60">
        <f t="shared" si="2"/>
        <v>90</v>
      </c>
      <c r="V22" s="42">
        <f t="shared" si="3"/>
        <v>0</v>
      </c>
      <c r="W22" s="60">
        <f t="shared" si="4"/>
        <v>90</v>
      </c>
      <c r="X22" s="42">
        <f t="shared" si="5"/>
        <v>0</v>
      </c>
      <c r="Y22" s="60">
        <f t="shared" si="0"/>
        <v>90</v>
      </c>
    </row>
    <row r="23" spans="3:25" ht="13.5" thickBot="1">
      <c r="C23" s="19"/>
      <c r="D23" s="19" t="s">
        <v>447</v>
      </c>
      <c r="E23" s="19" t="s">
        <v>471</v>
      </c>
      <c r="F23" s="19" t="s">
        <v>110</v>
      </c>
      <c r="G23" s="21">
        <f>X0-VerticesSyno!Zvert</f>
        <v>373.504361</v>
      </c>
      <c r="H23" s="21">
        <f>Y0+VerticesSyno!Xvert</f>
        <v>170.856678</v>
      </c>
      <c r="I23" s="21">
        <f>Z0+VerticesSyno!Yvert</f>
        <v>-234.578533</v>
      </c>
      <c r="J23" s="21">
        <f>IF(Flag="Ignore","",LeftHandCorr*VerticesSyno!zNorm)</f>
      </c>
      <c r="K23" s="21">
        <f>IF(Flag="Ignore","",VerticesSyno!xNorm)</f>
      </c>
      <c r="L23" s="21">
        <f>IF(Flag="Ignore","",VerticesSyno!yNorm)</f>
      </c>
      <c r="M23" s="21">
        <f>IF(Flag="Ignore","",IF(OR(Flag="Hole",Flag="Det"),1,Xnorm*GutCalc!Xnorm+Ynorm*GutCalc!Ynorm+Znorm*GutCalc!Znorm))</f>
      </c>
      <c r="N23" s="21">
        <f>LeftHandCorr*VerticesSyno!zSag</f>
        <v>0.018814150275320164</v>
      </c>
      <c r="O23" s="21">
        <f>VerticesSyno!xSag</f>
        <v>0.9941132045189992</v>
      </c>
      <c r="P23" s="21">
        <f>VerticesSyno!ySag</f>
        <v>-0.10670034840797878</v>
      </c>
      <c r="Q23" s="21">
        <f>IF(OR(Flag="Ignore",Flag="Hole",Flag="det"),1,GutCalc!UpFlag)*LeftHandCorr*VerticesSyno!zTang</f>
        <v>-0.17262594635935663</v>
      </c>
      <c r="R23" s="21">
        <f>IF(OR(Flag="Ignore",Flag="Hole",Flag="det"),1,GutCalc!UpFlag)*VerticesSyno!xTang</f>
        <v>0.10834637327094243</v>
      </c>
      <c r="S23" s="21">
        <f>IF(OR(Flag="Ignore",Flag="Hole",Flag="det"),1,GutCalc!UpFlag)*VerticesSyno!yTang</f>
        <v>0.9790103911821212</v>
      </c>
      <c r="T23" s="42" t="e">
        <f t="shared" si="1"/>
        <v>#VALUE!</v>
      </c>
      <c r="U23" s="60" t="e">
        <f t="shared" si="2"/>
        <v>#VALUE!</v>
      </c>
      <c r="V23" s="42" t="e">
        <f t="shared" si="3"/>
        <v>#VALUE!</v>
      </c>
      <c r="W23" s="60" t="e">
        <f t="shared" si="4"/>
        <v>#VALUE!</v>
      </c>
      <c r="X23" s="42">
        <f t="shared" si="5"/>
        <v>0</v>
      </c>
      <c r="Y23" s="60">
        <f t="shared" si="0"/>
        <v>90</v>
      </c>
    </row>
    <row r="24" spans="3:25" ht="12.75">
      <c r="C24" s="10" t="s">
        <v>459</v>
      </c>
      <c r="D24" s="11" t="s">
        <v>448</v>
      </c>
      <c r="E24" s="11" t="s">
        <v>471</v>
      </c>
      <c r="F24" s="11" t="s">
        <v>144</v>
      </c>
      <c r="G24" s="21">
        <f>X0-VerticesSyno!Zvert</f>
        <v>223.12771</v>
      </c>
      <c r="H24" s="21">
        <f>Y0+VerticesSyno!Xvert</f>
        <v>170.856678</v>
      </c>
      <c r="I24" s="21">
        <f>Z0+VerticesSyno!Yvert</f>
        <v>-321.398533</v>
      </c>
      <c r="J24" s="21">
        <f>IF(Flag="Ignore","",LeftHandCorr*VerticesSyno!zNorm)</f>
        <v>-1</v>
      </c>
      <c r="K24" s="21">
        <f>IF(Flag="Ignore","",VerticesSyno!xNorm)</f>
        <v>0</v>
      </c>
      <c r="L24" s="21">
        <f>IF(Flag="Ignore","",VerticesSyno!yNorm)</f>
        <v>0</v>
      </c>
      <c r="M24" s="21">
        <f>IF(Flag="Ignore","",IF(OR(Flag="Hole",Flag="Det"),1,Xnorm*GutCalc!Xnorm+Ynorm*GutCalc!Ynorm+Znorm*GutCalc!Znorm))</f>
        <v>1</v>
      </c>
      <c r="N24" s="21">
        <f>LeftHandCorr*VerticesSyno!zSag</f>
        <v>0</v>
      </c>
      <c r="O24" s="21">
        <f>VerticesSyno!xSag</f>
        <v>1</v>
      </c>
      <c r="P24" s="21">
        <f>VerticesSyno!ySag</f>
        <v>0</v>
      </c>
      <c r="Q24" s="21">
        <f>IF(OR(Flag="Ignore",Flag="Hole",Flag="det"),1,GutCalc!UpFlag)*LeftHandCorr*VerticesSyno!zTang</f>
        <v>0</v>
      </c>
      <c r="R24" s="21">
        <f>IF(OR(Flag="Ignore",Flag="Hole",Flag="det"),1,GutCalc!UpFlag)*VerticesSyno!xTang</f>
        <v>0</v>
      </c>
      <c r="S24" s="21">
        <f>IF(OR(Flag="Ignore",Flag="Hole",Flag="det"),1,GutCalc!UpFlag)*VerticesSyno!yTang</f>
        <v>1</v>
      </c>
      <c r="T24" s="42">
        <f t="shared" si="1"/>
        <v>0</v>
      </c>
      <c r="U24" s="60">
        <f t="shared" si="2"/>
        <v>90</v>
      </c>
      <c r="V24" s="42">
        <f t="shared" si="3"/>
        <v>0</v>
      </c>
      <c r="W24" s="60">
        <f t="shared" si="4"/>
        <v>90</v>
      </c>
      <c r="X24" s="42">
        <f t="shared" si="5"/>
        <v>0</v>
      </c>
      <c r="Y24" s="60">
        <f t="shared" si="0"/>
        <v>90</v>
      </c>
    </row>
    <row r="25" spans="3:25" ht="12.75">
      <c r="C25" s="18"/>
      <c r="D25" s="19" t="s">
        <v>460</v>
      </c>
      <c r="E25" s="19" t="s">
        <v>471</v>
      </c>
      <c r="F25" s="19"/>
      <c r="G25" s="21">
        <f>X0-VerticesSyno!Zvert</f>
        <v>73.13211000000001</v>
      </c>
      <c r="H25" s="21">
        <f>Y0+VerticesSyno!Xvert</f>
        <v>170.856678</v>
      </c>
      <c r="I25" s="21">
        <f>Z0+VerticesSyno!Yvert</f>
        <v>-407.998533</v>
      </c>
      <c r="J25" s="21">
        <f>IF(Flag="Ignore","",LeftHandCorr*VerticesSyno!zNorm)</f>
        <v>-0.9659258262890683</v>
      </c>
      <c r="K25" s="21">
        <f>IF(Flag="Ignore","",VerticesSyno!xNorm)</f>
        <v>0</v>
      </c>
      <c r="L25" s="21">
        <f>IF(Flag="Ignore","",VerticesSyno!yNorm)</f>
        <v>-0.25881904510252074</v>
      </c>
      <c r="M25" s="21">
        <f>IF(Flag="Ignore","",IF(OR(Flag="Hole",Flag="Det"),1,Xnorm*GutCalc!Xnorm+Ynorm*GutCalc!Ynorm+Znorm*GutCalc!Znorm))</f>
        <v>-0.999999999951061</v>
      </c>
      <c r="N25" s="21">
        <f>LeftHandCorr*VerticesSyno!zSag</f>
        <v>0</v>
      </c>
      <c r="O25" s="21">
        <f>VerticesSyno!xSag</f>
        <v>1</v>
      </c>
      <c r="P25" s="21">
        <f>VerticesSyno!ySag</f>
        <v>0</v>
      </c>
      <c r="Q25" s="21">
        <f>IF(OR(Flag="Ignore",Flag="Hole",Flag="det"),1,GutCalc!UpFlag)*LeftHandCorr*VerticesSyno!zTang</f>
        <v>-0.25881904510252074</v>
      </c>
      <c r="R25" s="21">
        <f>IF(OR(Flag="Ignore",Flag="Hole",Flag="det"),1,GutCalc!UpFlag)*VerticesSyno!xTang</f>
        <v>0</v>
      </c>
      <c r="S25" s="21">
        <f>IF(OR(Flag="Ignore",Flag="Hole",Flag="det"),1,GutCalc!UpFlag)*VerticesSyno!yTang</f>
        <v>0.9659258262890683</v>
      </c>
      <c r="T25" s="42">
        <f t="shared" si="1"/>
        <v>0</v>
      </c>
      <c r="U25" s="60">
        <f t="shared" si="2"/>
        <v>90</v>
      </c>
      <c r="V25" s="42">
        <f t="shared" si="3"/>
        <v>0</v>
      </c>
      <c r="W25" s="60">
        <f t="shared" si="4"/>
        <v>90</v>
      </c>
      <c r="X25" s="42">
        <f t="shared" si="5"/>
        <v>0</v>
      </c>
      <c r="Y25" s="60">
        <f t="shared" si="0"/>
        <v>90</v>
      </c>
    </row>
    <row r="26" spans="3:25" ht="12.75">
      <c r="C26" s="18"/>
      <c r="D26" s="19" t="s">
        <v>461</v>
      </c>
      <c r="E26" s="19" t="s">
        <v>471</v>
      </c>
      <c r="F26" s="19"/>
      <c r="G26" s="21">
        <f>X0-VerticesSyno!Zvert</f>
        <v>198.13211</v>
      </c>
      <c r="H26" s="21">
        <f>Y0+VerticesSyno!Xvert</f>
        <v>170.856678</v>
      </c>
      <c r="I26" s="21">
        <f>Z0+VerticesSyno!Yvert</f>
        <v>-407.998533</v>
      </c>
      <c r="J26" s="21">
        <f>IF(Flag="Ignore","",LeftHandCorr*VerticesSyno!zNorm)</f>
        <v>-0.7071067811865476</v>
      </c>
      <c r="K26" s="21">
        <f>IF(Flag="Ignore","",VerticesSyno!xNorm)</f>
        <v>0</v>
      </c>
      <c r="L26" s="21">
        <f>IF(Flag="Ignore","",VerticesSyno!yNorm)</f>
        <v>-0.7071067811865475</v>
      </c>
      <c r="M26" s="21">
        <f>IF(Flag="Ignore","",IF(OR(Flag="Hole",Flag="Det"),1,Xnorm*GutCalc!Xnorm+Ynorm*GutCalc!Ynorm+Znorm*GutCalc!Znorm))</f>
        <v>0.9999999978348186</v>
      </c>
      <c r="N26" s="21">
        <f>LeftHandCorr*VerticesSyno!zSag</f>
        <v>0</v>
      </c>
      <c r="O26" s="21">
        <f>VerticesSyno!xSag</f>
        <v>1</v>
      </c>
      <c r="P26" s="21">
        <f>VerticesSyno!ySag</f>
        <v>0</v>
      </c>
      <c r="Q26" s="21">
        <f>IF(OR(Flag="Ignore",Flag="Hole",Flag="det"),1,GutCalc!UpFlag)*LeftHandCorr*VerticesSyno!zTang</f>
        <v>0.7071067811865475</v>
      </c>
      <c r="R26" s="21">
        <f>IF(OR(Flag="Ignore",Flag="Hole",Flag="det"),1,GutCalc!UpFlag)*VerticesSyno!xTang</f>
        <v>0</v>
      </c>
      <c r="S26" s="21">
        <f>IF(OR(Flag="Ignore",Flag="Hole",Flag="det"),1,GutCalc!UpFlag)*VerticesSyno!yTang</f>
        <v>-0.7071067811865476</v>
      </c>
      <c r="T26" s="42">
        <f t="shared" si="1"/>
        <v>0</v>
      </c>
      <c r="U26" s="60">
        <f t="shared" si="2"/>
        <v>90</v>
      </c>
      <c r="V26" s="42">
        <f t="shared" si="3"/>
        <v>0</v>
      </c>
      <c r="W26" s="60">
        <f t="shared" si="4"/>
        <v>90</v>
      </c>
      <c r="X26" s="42">
        <f t="shared" si="5"/>
        <v>0</v>
      </c>
      <c r="Y26" s="60">
        <f t="shared" si="0"/>
        <v>90</v>
      </c>
    </row>
    <row r="27" spans="3:25" ht="12.75">
      <c r="C27" s="18"/>
      <c r="D27" s="19" t="s">
        <v>462</v>
      </c>
      <c r="E27" s="19" t="s">
        <v>471</v>
      </c>
      <c r="F27" s="19"/>
      <c r="G27" s="21">
        <f>X0-VerticesSyno!Zvert</f>
        <v>198.13211</v>
      </c>
      <c r="H27" s="21">
        <f>Y0+VerticesSyno!Xvert</f>
        <v>170.856678</v>
      </c>
      <c r="I27" s="21">
        <f>Z0+VerticesSyno!Yvert</f>
        <v>-457.998533</v>
      </c>
      <c r="J27" s="21">
        <f>IF(Flag="Ignore","",LeftHandCorr*VerticesSyno!zNorm)</f>
        <v>0.5</v>
      </c>
      <c r="K27" s="21">
        <f>IF(Flag="Ignore","",VerticesSyno!xNorm)</f>
        <v>0.7071067811865475</v>
      </c>
      <c r="L27" s="21">
        <f>IF(Flag="Ignore","",VerticesSyno!yNorm)</f>
        <v>-0.5000000000000001</v>
      </c>
      <c r="M27" s="21">
        <f>IF(Flag="Ignore","",IF(OR(Flag="Hole",Flag="Det"),1,Xnorm*GutCalc!Xnorm+Ynorm*GutCalc!Ynorm+Znorm*GutCalc!Znorm))</f>
        <v>-0.5773508097485991</v>
      </c>
      <c r="N27" s="21">
        <f>LeftHandCorr*VerticesSyno!zSag</f>
        <v>-0.4999999999999999</v>
      </c>
      <c r="O27" s="21">
        <f>VerticesSyno!xSag</f>
        <v>0.7071067811865476</v>
      </c>
      <c r="P27" s="21">
        <f>VerticesSyno!ySag</f>
        <v>0.5</v>
      </c>
      <c r="Q27" s="21">
        <f>IF(OR(Flag="Ignore",Flag="Hole",Flag="det"),1,GutCalc!UpFlag)*LeftHandCorr*VerticesSyno!zTang</f>
        <v>-0.7071067811865476</v>
      </c>
      <c r="R27" s="21">
        <f>IF(OR(Flag="Ignore",Flag="Hole",Flag="det"),1,GutCalc!UpFlag)*VerticesSyno!xTang</f>
        <v>0</v>
      </c>
      <c r="S27" s="21">
        <f>IF(OR(Flag="Ignore",Flag="Hole",Flag="det"),1,GutCalc!UpFlag)*VerticesSyno!yTang</f>
        <v>-0.7071067811865475</v>
      </c>
      <c r="T27" s="42">
        <f t="shared" si="1"/>
        <v>0</v>
      </c>
      <c r="U27" s="60">
        <f t="shared" si="2"/>
        <v>90</v>
      </c>
      <c r="V27" s="42">
        <f t="shared" si="3"/>
        <v>0</v>
      </c>
      <c r="W27" s="60">
        <f t="shared" si="4"/>
        <v>90</v>
      </c>
      <c r="X27" s="42">
        <f t="shared" si="5"/>
        <v>0</v>
      </c>
      <c r="Y27" s="60">
        <f t="shared" si="0"/>
        <v>90</v>
      </c>
    </row>
    <row r="28" spans="3:25" ht="12.75">
      <c r="C28" s="18"/>
      <c r="D28" s="19" t="s">
        <v>463</v>
      </c>
      <c r="E28" s="19" t="s">
        <v>471</v>
      </c>
      <c r="F28" s="19"/>
      <c r="G28" s="21">
        <f>X0-VerticesSyno!Zvert</f>
        <v>198.13211</v>
      </c>
      <c r="H28" s="21">
        <f>Y0+VerticesSyno!Xvert</f>
        <v>170.856678</v>
      </c>
      <c r="I28" s="21">
        <f>Z0+VerticesSyno!Yvert</f>
        <v>-457.998533</v>
      </c>
      <c r="J28" s="21">
        <f>IF(Flag="Ignore","",LeftHandCorr*VerticesSyno!zNorm)</f>
        <v>0.5</v>
      </c>
      <c r="K28" s="21">
        <f>IF(Flag="Ignore","",VerticesSyno!xNorm)</f>
        <v>-0.7071067811865475</v>
      </c>
      <c r="L28" s="21">
        <f>IF(Flag="Ignore","",VerticesSyno!yNorm)</f>
        <v>-0.5000000000000001</v>
      </c>
      <c r="M28" s="21">
        <f>IF(Flag="Ignore","",IF(OR(Flag="Hole",Flag="Det"),1,Xnorm*GutCalc!Xnorm+Ynorm*GutCalc!Ynorm+Znorm*GutCalc!Znorm))</f>
        <v>-0.5772847371435559</v>
      </c>
      <c r="N28" s="21">
        <f>LeftHandCorr*VerticesSyno!zSag</f>
        <v>0.4999999999999999</v>
      </c>
      <c r="O28" s="21">
        <f>VerticesSyno!xSag</f>
        <v>0.7071067811865476</v>
      </c>
      <c r="P28" s="21">
        <f>VerticesSyno!ySag</f>
        <v>-0.5</v>
      </c>
      <c r="Q28" s="21">
        <f>IF(OR(Flag="Ignore",Flag="Hole",Flag="det"),1,GutCalc!UpFlag)*LeftHandCorr*VerticesSyno!zTang</f>
        <v>0.7071067811865476</v>
      </c>
      <c r="R28" s="21">
        <f>IF(OR(Flag="Ignore",Flag="Hole",Flag="det"),1,GutCalc!UpFlag)*VerticesSyno!xTang</f>
        <v>0</v>
      </c>
      <c r="S28" s="21">
        <f>IF(OR(Flag="Ignore",Flag="Hole",Flag="det"),1,GutCalc!UpFlag)*VerticesSyno!yTang</f>
        <v>0.7071067811865475</v>
      </c>
      <c r="T28" s="42">
        <f t="shared" si="1"/>
        <v>0</v>
      </c>
      <c r="U28" s="60">
        <f t="shared" si="2"/>
        <v>90</v>
      </c>
      <c r="V28" s="42">
        <f t="shared" si="3"/>
        <v>0</v>
      </c>
      <c r="W28" s="60">
        <f t="shared" si="4"/>
        <v>90</v>
      </c>
      <c r="X28" s="42">
        <f t="shared" si="5"/>
        <v>0</v>
      </c>
      <c r="Y28" s="60">
        <f t="shared" si="0"/>
        <v>90</v>
      </c>
    </row>
    <row r="29" spans="3:25" ht="12.75">
      <c r="C29" s="18"/>
      <c r="D29" s="19" t="s">
        <v>464</v>
      </c>
      <c r="E29" s="19" t="s">
        <v>471</v>
      </c>
      <c r="F29" s="19"/>
      <c r="G29" s="21">
        <f>X0-VerticesSyno!Zvert</f>
        <v>73.13211000000001</v>
      </c>
      <c r="H29" s="21">
        <f>Y0+VerticesSyno!Xvert</f>
        <v>170.856678</v>
      </c>
      <c r="I29" s="21">
        <f>Z0+VerticesSyno!Yvert</f>
        <v>-457.998533</v>
      </c>
      <c r="J29" s="21">
        <f>IF(Flag="Ignore","",LeftHandCorr*VerticesSyno!zNorm)</f>
        <v>0.9659258262890682</v>
      </c>
      <c r="K29" s="21">
        <f>IF(Flag="Ignore","",VerticesSyno!xNorm)</f>
        <v>0</v>
      </c>
      <c r="L29" s="21">
        <f>IF(Flag="Ignore","",VerticesSyno!yNorm)</f>
        <v>-0.258819045102521</v>
      </c>
      <c r="M29" s="21">
        <f>IF(Flag="Ignore","",IF(OR(Flag="Hole",Flag="Det"),1,Xnorm*GutCalc!Xnorm+Ynorm*GutCalc!Ynorm+Znorm*GutCalc!Znorm))</f>
        <v>0.9999999996345433</v>
      </c>
      <c r="N29" s="21">
        <f>LeftHandCorr*VerticesSyno!zSag</f>
        <v>0</v>
      </c>
      <c r="O29" s="21">
        <f>VerticesSyno!xSag</f>
        <v>1</v>
      </c>
      <c r="P29" s="21">
        <f>VerticesSyno!ySag</f>
        <v>0</v>
      </c>
      <c r="Q29" s="21">
        <f>IF(OR(Flag="Ignore",Flag="Hole",Flag="det"),1,GutCalc!UpFlag)*LeftHandCorr*VerticesSyno!zTang</f>
        <v>-0.258819045102521</v>
      </c>
      <c r="R29" s="21">
        <f>IF(OR(Flag="Ignore",Flag="Hole",Flag="det"),1,GutCalc!UpFlag)*VerticesSyno!xTang</f>
        <v>0</v>
      </c>
      <c r="S29" s="21">
        <f>IF(OR(Flag="Ignore",Flag="Hole",Flag="det"),1,GutCalc!UpFlag)*VerticesSyno!yTang</f>
        <v>-0.9659258262890682</v>
      </c>
      <c r="T29" s="42">
        <f t="shared" si="1"/>
        <v>0</v>
      </c>
      <c r="U29" s="60">
        <f t="shared" si="2"/>
        <v>90</v>
      </c>
      <c r="V29" s="42">
        <f t="shared" si="3"/>
        <v>0</v>
      </c>
      <c r="W29" s="60">
        <f t="shared" si="4"/>
        <v>90</v>
      </c>
      <c r="X29" s="42">
        <f t="shared" si="5"/>
        <v>0</v>
      </c>
      <c r="Y29" s="60">
        <f t="shared" si="0"/>
        <v>90</v>
      </c>
    </row>
    <row r="30" spans="3:25" ht="12.75">
      <c r="C30" s="18"/>
      <c r="D30" s="19" t="s">
        <v>454</v>
      </c>
      <c r="E30" s="19" t="s">
        <v>471</v>
      </c>
      <c r="F30" s="19"/>
      <c r="G30" s="21">
        <f>X0-VerticesSyno!Zvert</f>
        <v>223.12771</v>
      </c>
      <c r="H30" s="21">
        <f>Y0+VerticesSyno!Xvert</f>
        <v>170.856678</v>
      </c>
      <c r="I30" s="21">
        <f>Z0+VerticesSyno!Yvert</f>
        <v>-544.598533</v>
      </c>
      <c r="J30" s="21">
        <f>IF(Flag="Ignore","",LeftHandCorr*VerticesSyno!zNorm)</f>
        <v>1</v>
      </c>
      <c r="K30" s="21">
        <f>IF(Flag="Ignore","",VerticesSyno!xNorm)</f>
        <v>0</v>
      </c>
      <c r="L30" s="21">
        <f>IF(Flag="Ignore","",VerticesSyno!yNorm)</f>
        <v>1.22514845490862E-16</v>
      </c>
      <c r="M30" s="21">
        <f>IF(Flag="Ignore","",IF(OR(Flag="Hole",Flag="Det"),1,Xnorm*GutCalc!Xnorm+Ynorm*GutCalc!Ynorm+Znorm*GutCalc!Znorm))</f>
        <v>-1</v>
      </c>
      <c r="N30" s="21">
        <f>LeftHandCorr*VerticesSyno!zSag</f>
        <v>-1.8260974706750705E-24</v>
      </c>
      <c r="O30" s="21">
        <f>VerticesSyno!xSag</f>
        <v>0.9999999999999999</v>
      </c>
      <c r="P30" s="21">
        <f>VerticesSyno!ySag</f>
        <v>1.4905111812031573E-08</v>
      </c>
      <c r="Q30" s="21">
        <f>IF(OR(Flag="Ignore",Flag="Hole",Flag="det"),1,GutCalc!UpFlag)*LeftHandCorr*VerticesSyno!zTang</f>
        <v>-1.2251484549086198E-16</v>
      </c>
      <c r="R30" s="21">
        <f>IF(OR(Flag="Ignore",Flag="Hole",Flag="det"),1,GutCalc!UpFlag)*VerticesSyno!xTang</f>
        <v>-1.4905111812031573E-08</v>
      </c>
      <c r="S30" s="21">
        <f>IF(OR(Flag="Ignore",Flag="Hole",Flag="det"),1,GutCalc!UpFlag)*VerticesSyno!yTang</f>
        <v>0.9999999999999999</v>
      </c>
      <c r="T30" s="42">
        <f t="shared" si="1"/>
        <v>0</v>
      </c>
      <c r="U30" s="60">
        <f t="shared" si="2"/>
        <v>90</v>
      </c>
      <c r="V30" s="42">
        <f t="shared" si="3"/>
        <v>0</v>
      </c>
      <c r="W30" s="60">
        <f t="shared" si="4"/>
        <v>90</v>
      </c>
      <c r="X30" s="42">
        <f t="shared" si="5"/>
        <v>0</v>
      </c>
      <c r="Y30" s="60">
        <f t="shared" si="0"/>
        <v>90</v>
      </c>
    </row>
    <row r="31" spans="3:25" ht="12.75">
      <c r="C31" s="18"/>
      <c r="D31" s="19" t="s">
        <v>465</v>
      </c>
      <c r="E31" s="19" t="s">
        <v>471</v>
      </c>
      <c r="F31" s="19"/>
      <c r="G31" s="21">
        <f>X0-VerticesSyno!Zvert</f>
        <v>91.509169</v>
      </c>
      <c r="H31" s="21">
        <f>Y0+VerticesSyno!Xvert</f>
        <v>170.856678</v>
      </c>
      <c r="I31" s="21">
        <f>Z0+VerticesSyno!Yvert</f>
        <v>-620.588533</v>
      </c>
      <c r="J31" s="21">
        <f>IF(Flag="Ignore","",LeftHandCorr*VerticesSyno!zNorm)</f>
        <v>0.984807753012208</v>
      </c>
      <c r="K31" s="21">
        <f>IF(Flag="Ignore","",VerticesSyno!xNorm)</f>
        <v>0</v>
      </c>
      <c r="L31" s="21">
        <f>IF(Flag="Ignore","",VerticesSyno!yNorm)</f>
        <v>0.17364817766693028</v>
      </c>
      <c r="M31" s="21">
        <f>IF(Flag="Ignore","",IF(OR(Flag="Hole",Flag="Det"),1,Xnorm*GutCalc!Xnorm+Ynorm*GutCalc!Ynorm+Znorm*GutCalc!Znorm))</f>
        <v>0.9999999998109236</v>
      </c>
      <c r="N31" s="21">
        <f>LeftHandCorr*VerticesSyno!zSag</f>
        <v>-0.0054241286205614836</v>
      </c>
      <c r="O31" s="21">
        <f>VerticesSyno!xSag</f>
        <v>0.9995120273540129</v>
      </c>
      <c r="P31" s="21">
        <f>VerticesSyno!ySag</f>
        <v>0.03076176203305844</v>
      </c>
      <c r="Q31" s="21">
        <f>IF(OR(Flag="Ignore",Flag="Hole",Flag="det"),1,GutCalc!UpFlag)*LeftHandCorr*VerticesSyno!zTang</f>
        <v>0.1735634421062033</v>
      </c>
      <c r="R31" s="21">
        <f>IF(OR(Flag="Ignore",Flag="Hole",Flag="det"),1,GutCalc!UpFlag)*VerticesSyno!xTang</f>
        <v>0.031236311796864077</v>
      </c>
      <c r="S31" s="21">
        <f>IF(OR(Flag="Ignore",Flag="Hole",Flag="det"),1,GutCalc!UpFlag)*VerticesSyno!yTang</f>
        <v>-0.984327193767182</v>
      </c>
      <c r="T31" s="42">
        <f t="shared" si="1"/>
        <v>0</v>
      </c>
      <c r="U31" s="60">
        <f t="shared" si="2"/>
        <v>90</v>
      </c>
      <c r="V31" s="42">
        <f t="shared" si="3"/>
        <v>0</v>
      </c>
      <c r="W31" s="60">
        <f t="shared" si="4"/>
        <v>90</v>
      </c>
      <c r="X31" s="42">
        <f t="shared" si="5"/>
        <v>0</v>
      </c>
      <c r="Y31" s="60">
        <f t="shared" si="0"/>
        <v>90</v>
      </c>
    </row>
    <row r="32" spans="3:25" ht="12.75">
      <c r="C32" s="18"/>
      <c r="D32" s="19" t="s">
        <v>466</v>
      </c>
      <c r="E32" s="19" t="s">
        <v>471</v>
      </c>
      <c r="F32" s="19"/>
      <c r="G32" s="21">
        <f>X0-VerticesSyno!Zvert</f>
        <v>182.672823</v>
      </c>
      <c r="H32" s="21">
        <f>Y0+VerticesSyno!Xvert</f>
        <v>170.856678</v>
      </c>
      <c r="I32" s="21">
        <f>Z0+VerticesSyno!Yvert</f>
        <v>-636.663145</v>
      </c>
      <c r="J32" s="21">
        <f>IF(Flag="Ignore","",LeftHandCorr*VerticesSyno!zNorm)</f>
        <v>0.696364240320019</v>
      </c>
      <c r="K32" s="21">
        <f>IF(Flag="Ignore","",VerticesSyno!xNorm)</f>
        <v>-0.7071067811865475</v>
      </c>
      <c r="L32" s="21">
        <f>IF(Flag="Ignore","",VerticesSyno!yNorm)</f>
        <v>-0.1227878039689728</v>
      </c>
      <c r="M32" s="21">
        <f>IF(Flag="Ignore","",IF(OR(Flag="Hole",Flag="Det"),1,Xnorm*GutCalc!Xnorm+Ynorm*GutCalc!Ynorm+Znorm*GutCalc!Znorm))</f>
        <v>-0.9999999999999999</v>
      </c>
      <c r="N32" s="21">
        <f>LeftHandCorr*VerticesSyno!zSag</f>
        <v>0.6963642403200189</v>
      </c>
      <c r="O32" s="21">
        <f>VerticesSyno!xSag</f>
        <v>0.7071067811865476</v>
      </c>
      <c r="P32" s="21">
        <f>VerticesSyno!ySag</f>
        <v>-0.12278780396897278</v>
      </c>
      <c r="Q32" s="21">
        <f>IF(OR(Flag="Ignore",Flag="Hole",Flag="det"),1,GutCalc!UpFlag)*LeftHandCorr*VerticesSyno!zTang</f>
        <v>0.17364817766693028</v>
      </c>
      <c r="R32" s="21">
        <f>IF(OR(Flag="Ignore",Flag="Hole",Flag="det"),1,GutCalc!UpFlag)*VerticesSyno!xTang</f>
        <v>0</v>
      </c>
      <c r="S32" s="21">
        <f>IF(OR(Flag="Ignore",Flag="Hole",Flag="det"),1,GutCalc!UpFlag)*VerticesSyno!yTang</f>
        <v>0.984807753012208</v>
      </c>
      <c r="T32" s="42">
        <f t="shared" si="1"/>
        <v>0</v>
      </c>
      <c r="U32" s="60">
        <f t="shared" si="2"/>
        <v>90</v>
      </c>
      <c r="V32" s="42">
        <f t="shared" si="3"/>
        <v>-5.724587470723463E-17</v>
      </c>
      <c r="W32" s="60">
        <f t="shared" si="4"/>
        <v>90</v>
      </c>
      <c r="X32" s="42">
        <f t="shared" si="5"/>
        <v>0</v>
      </c>
      <c r="Y32" s="60">
        <f t="shared" si="0"/>
        <v>90</v>
      </c>
    </row>
    <row r="33" spans="3:25" ht="13.5" thickBot="1">
      <c r="C33" s="14"/>
      <c r="D33" s="15" t="s">
        <v>467</v>
      </c>
      <c r="E33" s="15" t="s">
        <v>471</v>
      </c>
      <c r="F33" s="15" t="s">
        <v>145</v>
      </c>
      <c r="G33" s="21">
        <f>X0-VerticesSyno!Zvert</f>
        <v>182.672823</v>
      </c>
      <c r="H33" s="21">
        <f>Y0+VerticesSyno!Xvert</f>
        <v>250.856678</v>
      </c>
      <c r="I33" s="21">
        <f>Z0+VerticesSyno!Yvert</f>
        <v>-636.663145</v>
      </c>
      <c r="J33" s="21">
        <f>IF(Flag="Ignore","",LeftHandCorr*VerticesSyno!zNorm)</f>
        <v>-8.06859895435232E-18</v>
      </c>
      <c r="K33" s="21">
        <f>IF(Flag="Ignore","",VerticesSyno!xNorm)</f>
        <v>-1</v>
      </c>
      <c r="L33" s="21">
        <f>IF(Flag="Ignore","",VerticesSyno!yNorm)</f>
        <v>6.072371490880867E-17</v>
      </c>
      <c r="M33" s="21">
        <f>IF(Flag="Ignore","",IF(OR(Flag="Hole",Flag="Det"),1,Xnorm*GutCalc!Xnorm+Ynorm*GutCalc!Ynorm+Znorm*GutCalc!Znorm))</f>
        <v>1</v>
      </c>
      <c r="N33" s="21">
        <f>LeftHandCorr*VerticesSyno!zSag</f>
        <v>-0.8992184088829943</v>
      </c>
      <c r="O33" s="21">
        <f>VerticesSyno!xSag</f>
        <v>-1.9311192775891474E-17</v>
      </c>
      <c r="P33" s="21">
        <f>VerticesSyno!ySag</f>
        <v>-0.4375000035724983</v>
      </c>
      <c r="Q33" s="21">
        <f>IF(OR(Flag="Ignore",Flag="Hole",Flag="det"),1,GutCalc!UpFlag)*LeftHandCorr*VerticesSyno!zTang</f>
        <v>-0.4375000035724983</v>
      </c>
      <c r="R33" s="21">
        <f>IF(OR(Flag="Ignore",Flag="Hole",Flag="det"),1,GutCalc!UpFlag)*VerticesSyno!xTang</f>
        <v>5.813389437311769E-17</v>
      </c>
      <c r="S33" s="21">
        <f>IF(OR(Flag="Ignore",Flag="Hole",Flag="det"),1,GutCalc!UpFlag)*VerticesSyno!yTang</f>
        <v>0.8992184088829943</v>
      </c>
      <c r="T33" s="42">
        <f t="shared" si="1"/>
        <v>0</v>
      </c>
      <c r="U33" s="60">
        <f t="shared" si="2"/>
        <v>90</v>
      </c>
      <c r="V33" s="42">
        <f t="shared" si="3"/>
        <v>0</v>
      </c>
      <c r="W33" s="60">
        <f t="shared" si="4"/>
        <v>90</v>
      </c>
      <c r="X33" s="42">
        <f t="shared" si="5"/>
        <v>0</v>
      </c>
      <c r="Y33" s="60">
        <f t="shared" si="0"/>
        <v>90</v>
      </c>
    </row>
    <row r="34" spans="3:6" ht="12.75">
      <c r="C34" s="19"/>
      <c r="D34" s="19"/>
      <c r="E34" s="19"/>
      <c r="F34" s="19"/>
    </row>
    <row r="35" spans="3:6" ht="12.75">
      <c r="C35" s="19"/>
      <c r="D35" s="19"/>
      <c r="E35" s="19"/>
      <c r="F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6" ht="12.75">
      <c r="C40" s="19"/>
      <c r="D40" s="19"/>
      <c r="E40" s="19"/>
      <c r="F40" s="19"/>
    </row>
    <row r="41" spans="3:6" ht="12.75">
      <c r="C41" s="31" t="s">
        <v>46</v>
      </c>
      <c r="D41" s="31" t="s">
        <v>375</v>
      </c>
      <c r="E41" s="31" t="s">
        <v>268</v>
      </c>
      <c r="F41" s="31" t="s">
        <v>376</v>
      </c>
    </row>
    <row r="42" spans="3:6" ht="12.75">
      <c r="C42" s="19" t="s">
        <v>17</v>
      </c>
      <c r="D42" s="19" t="str">
        <f>"-Zsyno"</f>
        <v>-Zsyno</v>
      </c>
      <c r="E42" s="19" t="s">
        <v>372</v>
      </c>
      <c r="F42" s="19" t="s">
        <v>112</v>
      </c>
    </row>
    <row r="43" spans="3:6" ht="12.75">
      <c r="C43" s="19" t="s">
        <v>80</v>
      </c>
      <c r="D43" s="19" t="s">
        <v>118</v>
      </c>
      <c r="E43" s="19" t="s">
        <v>373</v>
      </c>
      <c r="F43" s="19" t="s">
        <v>113</v>
      </c>
    </row>
    <row r="44" spans="3:6" ht="12.75">
      <c r="C44" s="19" t="s">
        <v>81</v>
      </c>
      <c r="D44" s="19" t="s">
        <v>119</v>
      </c>
      <c r="E44" s="19" t="s">
        <v>374</v>
      </c>
      <c r="F44" s="19" t="s">
        <v>114</v>
      </c>
    </row>
    <row r="45" spans="3:6" ht="12.75">
      <c r="C45" s="19"/>
      <c r="D45" s="19"/>
      <c r="E45" s="19"/>
      <c r="F45" s="19"/>
    </row>
    <row r="46" spans="3:6" ht="12.75">
      <c r="C46" s="19" t="s">
        <v>366</v>
      </c>
      <c r="D46" s="19">
        <v>-1</v>
      </c>
      <c r="E46" s="19"/>
      <c r="F46" s="19"/>
    </row>
    <row r="47" spans="3:6" ht="12.75">
      <c r="C47" s="19" t="s">
        <v>367</v>
      </c>
      <c r="D47" s="19">
        <v>-1</v>
      </c>
      <c r="E47" s="19"/>
      <c r="F47" s="19"/>
    </row>
    <row r="48" spans="3:6" ht="12.75">
      <c r="C48" s="19"/>
      <c r="D48" s="19"/>
      <c r="E48" s="19"/>
      <c r="F48" s="19"/>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AC48"/>
  <sheetViews>
    <sheetView workbookViewId="0" topLeftCell="A1">
      <selection activeCell="N1" activeCellId="1" sqref="D1:D33 N1:N33"/>
    </sheetView>
  </sheetViews>
  <sheetFormatPr defaultColWidth="12" defaultRowHeight="12.75"/>
  <cols>
    <col min="1" max="1" width="7.83203125" style="19" customWidth="1"/>
    <col min="2" max="2" width="7.5" style="19" customWidth="1"/>
    <col min="3" max="3" width="20.16015625" style="1" customWidth="1"/>
    <col min="4" max="6" width="12" style="1" customWidth="1"/>
    <col min="7" max="7" width="12" style="20" customWidth="1"/>
    <col min="8" max="8" width="8.16015625" style="20" customWidth="1"/>
    <col min="9" max="11" width="10" style="42" customWidth="1"/>
    <col min="12" max="12" width="11.16015625" style="106" customWidth="1"/>
    <col min="13" max="13" width="11" style="106" customWidth="1"/>
    <col min="14" max="14" width="10" style="106" customWidth="1"/>
    <col min="15" max="16" width="10" style="54" customWidth="1"/>
    <col min="17" max="23" width="10" style="52" customWidth="1"/>
    <col min="24" max="24" width="10" style="32" customWidth="1"/>
    <col min="25" max="25" width="10" style="33" customWidth="1"/>
    <col min="26" max="26" width="10" style="32" customWidth="1"/>
    <col min="27" max="27" width="10" style="33" customWidth="1"/>
    <col min="28" max="28" width="10" style="32" customWidth="1"/>
    <col min="29" max="29" width="10" style="33" customWidth="1"/>
    <col min="30" max="16384" width="12" style="19" customWidth="1"/>
  </cols>
  <sheetData>
    <row r="1" spans="3:29" s="27" customFormat="1" ht="12.75">
      <c r="C1" s="5" t="s">
        <v>111</v>
      </c>
      <c r="D1" s="5" t="s">
        <v>2</v>
      </c>
      <c r="E1" s="5" t="s">
        <v>469</v>
      </c>
      <c r="F1" s="5" t="s">
        <v>143</v>
      </c>
      <c r="G1" s="28" t="s">
        <v>89</v>
      </c>
      <c r="H1" s="28" t="s">
        <v>90</v>
      </c>
      <c r="I1" s="51" t="s">
        <v>7</v>
      </c>
      <c r="J1" s="51" t="s">
        <v>8</v>
      </c>
      <c r="K1" s="51" t="s">
        <v>9</v>
      </c>
      <c r="L1" s="104" t="s">
        <v>331</v>
      </c>
      <c r="M1" s="104" t="s">
        <v>332</v>
      </c>
      <c r="N1" s="104" t="s">
        <v>333</v>
      </c>
      <c r="O1" s="51" t="s">
        <v>341</v>
      </c>
      <c r="P1" s="51" t="s">
        <v>342</v>
      </c>
      <c r="Q1" s="34" t="s">
        <v>343</v>
      </c>
      <c r="R1" s="34" t="s">
        <v>321</v>
      </c>
      <c r="S1" s="34" t="s">
        <v>344</v>
      </c>
      <c r="T1" s="34" t="s">
        <v>345</v>
      </c>
      <c r="U1" s="34" t="s">
        <v>346</v>
      </c>
      <c r="V1" s="34" t="s">
        <v>347</v>
      </c>
      <c r="W1" s="34" t="s">
        <v>348</v>
      </c>
      <c r="X1" s="32" t="s">
        <v>349</v>
      </c>
      <c r="Y1" s="33"/>
      <c r="Z1" s="32" t="s">
        <v>350</v>
      </c>
      <c r="AA1" s="33"/>
      <c r="AB1" s="32" t="s">
        <v>351</v>
      </c>
      <c r="AC1" s="33"/>
    </row>
    <row r="2" spans="4:29" ht="13.5" thickBot="1">
      <c r="D2" s="1" t="s">
        <v>91</v>
      </c>
      <c r="E2" s="1" t="s">
        <v>470</v>
      </c>
      <c r="F2" s="1" t="s">
        <v>110</v>
      </c>
      <c r="G2" s="20">
        <v>5</v>
      </c>
      <c r="H2" s="20">
        <f ca="1">SurfNum+INDIRECT("Line0"&amp;Arm)</f>
        <v>248</v>
      </c>
      <c r="I2" s="42">
        <f ca="1" t="shared" si="0" ref="I2:I22">INDIRECT("SpecGlob"&amp;Arm&amp;"!"&amp;Xcol&amp;FIXED(Line,0))</f>
        <v>0</v>
      </c>
      <c r="J2" s="42">
        <f ca="1" t="shared" si="1" ref="J2:J22">INDIRECT("SpecGlob"&amp;Arm&amp;"!"&amp;Ycol&amp;FIXED(Line,0))</f>
        <v>0</v>
      </c>
      <c r="K2" s="42">
        <f ca="1" t="shared" si="2" ref="K2:K22">INDIRECT("SpecGlob"&amp;Arm&amp;"!"&amp;Zcol&amp;FIXED(Line,0))</f>
        <v>-3050.162</v>
      </c>
      <c r="L2" s="106">
        <f ca="1" t="shared" si="3" ref="L2:L22">INDIRECT("SpecGlob"&amp;Arm&amp;"!"&amp;aCol&amp;FIXED(Line,0))</f>
        <v>0</v>
      </c>
      <c r="M2" s="106">
        <f ca="1" t="shared" si="4" ref="M2:M22">INDIRECT("SpecGlob"&amp;Arm&amp;"!"&amp;bCol&amp;FIXED(Line,0))</f>
        <v>0</v>
      </c>
      <c r="N2" s="106">
        <f ca="1" t="shared" si="5" ref="N2:N22">INDIRECT("SpecGlob"&amp;Arm&amp;"!"&amp;cCol&amp;FIXED(Line,0))</f>
        <v>0</v>
      </c>
      <c r="O2" s="42">
        <f>-SIN(bEuler*PI()/180)</f>
        <v>0</v>
      </c>
      <c r="P2" s="42">
        <f>SIN(aEuler*PI()/180)*COS(bEuler*PI()/180)</f>
        <v>0</v>
      </c>
      <c r="Q2" s="32">
        <f>COS(aEuler*PI()/180)*COS(bEuler*PI()/180)</f>
        <v>1</v>
      </c>
      <c r="R2" s="32">
        <f>(COS(bEuler*PI()/180)*SIN(-cEuler*PI()/180))</f>
        <v>0</v>
      </c>
      <c r="S2" s="32">
        <f>(SIN(aEuler*PI()/180)*SIN(bEuler*PI()/180)*SIN(-cEuler*PI()/180)+COS(aEuler*PI()/180)*COS(-cEuler*PI()/180))</f>
        <v>1</v>
      </c>
      <c r="T2" s="32">
        <f>(COS(aEuler*PI()/180)*SIN(bEuler*PI()/180)*SIN(-cEuler*PI()/180)-SIN(aEuler*PI()/180)*COS(-cEuler*PI()/180))</f>
        <v>0</v>
      </c>
      <c r="U2" s="32">
        <f>COS(bEuler*PI()/180)*COS(-cEuler*PI()/180)</f>
        <v>1</v>
      </c>
      <c r="V2" s="32">
        <f>(SIN(aEuler*PI()/180)*SIN(bEuler*PI()/180)*COS(-cEuler*PI()/180)-COS(aEuler*PI()/180)*SIN(-cEuler*PI()/180))</f>
        <v>0</v>
      </c>
      <c r="W2" s="32">
        <f>(COS(aEuler*PI()/180)*SIN(bEuler*PI()/180)*COS(-cEuler*PI()/180)+SIN(aEuler*PI()/180)*SIN(-cEuler*PI()/180))</f>
        <v>0</v>
      </c>
      <c r="X2" s="32">
        <f>xTang*xNorm+yTang*yNorm+zTang*zNorm</f>
        <v>0</v>
      </c>
      <c r="Y2" s="33">
        <f>ACOS(X2)*180/PI()</f>
        <v>90</v>
      </c>
      <c r="Z2" s="32">
        <f>xSag*xNorm+ySag*yNorm+zSag*zNorm</f>
        <v>0</v>
      </c>
      <c r="AA2" s="33">
        <f>ACOS(Z2)*180/PI()</f>
        <v>90</v>
      </c>
      <c r="AB2" s="32">
        <f>xSag*xTang+ySag*yTang+zSag*zTang</f>
        <v>0</v>
      </c>
      <c r="AC2" s="33">
        <f aca="true" t="shared" si="6" ref="AC2:AC33">ACOS(AB2)*180/PI()</f>
        <v>90</v>
      </c>
    </row>
    <row r="3" spans="3:29" ht="12.75">
      <c r="C3" s="10" t="s">
        <v>108</v>
      </c>
      <c r="D3" s="11" t="s">
        <v>92</v>
      </c>
      <c r="E3" s="11" t="s">
        <v>470</v>
      </c>
      <c r="F3" s="11"/>
      <c r="G3" s="20">
        <v>6</v>
      </c>
      <c r="H3" s="20">
        <f aca="true" ca="1" t="shared" si="7" ref="H3:H33">SurfNum+INDIRECT("Line0"&amp;Arm)</f>
        <v>249</v>
      </c>
      <c r="I3" s="42">
        <f ca="1" t="shared" si="0"/>
        <v>0</v>
      </c>
      <c r="J3" s="42">
        <f ca="1" t="shared" si="1"/>
        <v>0</v>
      </c>
      <c r="K3" s="42">
        <f ca="1" t="shared" si="2"/>
        <v>-1050.162</v>
      </c>
      <c r="L3" s="106">
        <f ca="1" t="shared" si="3"/>
        <v>0</v>
      </c>
      <c r="M3" s="106">
        <f ca="1" t="shared" si="4"/>
        <v>0</v>
      </c>
      <c r="N3" s="106">
        <f ca="1" t="shared" si="5"/>
        <v>0</v>
      </c>
      <c r="O3" s="42">
        <f aca="true" t="shared" si="8" ref="O3:O33">-SIN(bEuler*PI()/180)</f>
        <v>0</v>
      </c>
      <c r="P3" s="42">
        <f aca="true" t="shared" si="9" ref="P3:P33">SIN(aEuler*PI()/180)*COS(bEuler*PI()/180)</f>
        <v>0</v>
      </c>
      <c r="Q3" s="32">
        <f aca="true" t="shared" si="10" ref="Q3:Q33">COS(aEuler*PI()/180)*COS(bEuler*PI()/180)</f>
        <v>1</v>
      </c>
      <c r="R3" s="32">
        <f aca="true" t="shared" si="11" ref="R3:R33">(COS(bEuler*PI()/180)*SIN(-cEuler*PI()/180))</f>
        <v>0</v>
      </c>
      <c r="S3" s="32">
        <f aca="true" t="shared" si="12" ref="S3:S33">(SIN(aEuler*PI()/180)*SIN(bEuler*PI()/180)*SIN(-cEuler*PI()/180)+COS(aEuler*PI()/180)*COS(-cEuler*PI()/180))</f>
        <v>1</v>
      </c>
      <c r="T3" s="32">
        <f aca="true" t="shared" si="13" ref="T3:T33">(COS(aEuler*PI()/180)*SIN(bEuler*PI()/180)*SIN(-cEuler*PI()/180)-SIN(aEuler*PI()/180)*COS(-cEuler*PI()/180))</f>
        <v>0</v>
      </c>
      <c r="U3" s="32">
        <f aca="true" t="shared" si="14" ref="U3:U33">COS(bEuler*PI()/180)*COS(-cEuler*PI()/180)</f>
        <v>1</v>
      </c>
      <c r="V3" s="32">
        <f aca="true" t="shared" si="15" ref="V3:V33">(SIN(aEuler*PI()/180)*SIN(bEuler*PI()/180)*COS(-cEuler*PI()/180)-COS(aEuler*PI()/180)*SIN(-cEuler*PI()/180))</f>
        <v>0</v>
      </c>
      <c r="W3" s="32">
        <f aca="true" t="shared" si="16" ref="W3:W33">(COS(aEuler*PI()/180)*SIN(bEuler*PI()/180)*COS(-cEuler*PI()/180)+SIN(aEuler*PI()/180)*SIN(-cEuler*PI()/180))</f>
        <v>0</v>
      </c>
      <c r="X3" s="32">
        <f aca="true" t="shared" si="17" ref="X3:X33">xTang*xNorm+yTang*yNorm+zTang*zNorm</f>
        <v>0</v>
      </c>
      <c r="Y3" s="33">
        <f aca="true" t="shared" si="18" ref="Y3:Y33">ACOS(X3)*180/PI()</f>
        <v>90</v>
      </c>
      <c r="Z3" s="32">
        <f aca="true" t="shared" si="19" ref="Z3:Z33">xSag*xNorm+ySag*yNorm+zSag*zNorm</f>
        <v>0</v>
      </c>
      <c r="AA3" s="33">
        <f aca="true" t="shared" si="20" ref="AA3:AA33">ACOS(Z3)*180/PI()</f>
        <v>90</v>
      </c>
      <c r="AB3" s="32">
        <f aca="true" t="shared" si="21" ref="AB3:AB33">xSag*xTang+ySag*yTang+zSag*zTang</f>
        <v>0</v>
      </c>
      <c r="AC3" s="33">
        <f t="shared" si="6"/>
        <v>90</v>
      </c>
    </row>
    <row r="4" spans="3:29" ht="13.5" thickBot="1">
      <c r="C4" s="14"/>
      <c r="D4" s="15" t="s">
        <v>93</v>
      </c>
      <c r="E4" s="15" t="s">
        <v>470</v>
      </c>
      <c r="F4" s="15"/>
      <c r="G4" s="20">
        <v>7</v>
      </c>
      <c r="H4" s="20">
        <f ca="1" t="shared" si="7"/>
        <v>250</v>
      </c>
      <c r="I4" s="42">
        <f ca="1" t="shared" si="0"/>
        <v>0</v>
      </c>
      <c r="J4" s="42">
        <f ca="1" t="shared" si="1"/>
        <v>0</v>
      </c>
      <c r="K4" s="42">
        <f ca="1" t="shared" si="2"/>
        <v>-2638.131</v>
      </c>
      <c r="L4" s="106">
        <f ca="1" t="shared" si="3"/>
        <v>0</v>
      </c>
      <c r="M4" s="106">
        <f ca="1" t="shared" si="4"/>
        <v>0</v>
      </c>
      <c r="N4" s="106">
        <f ca="1" t="shared" si="5"/>
        <v>0</v>
      </c>
      <c r="O4" s="42">
        <f t="shared" si="8"/>
        <v>0</v>
      </c>
      <c r="P4" s="42">
        <f t="shared" si="9"/>
        <v>0</v>
      </c>
      <c r="Q4" s="32">
        <f t="shared" si="10"/>
        <v>1</v>
      </c>
      <c r="R4" s="32">
        <f t="shared" si="11"/>
        <v>0</v>
      </c>
      <c r="S4" s="32">
        <f t="shared" si="12"/>
        <v>1</v>
      </c>
      <c r="T4" s="32">
        <f t="shared" si="13"/>
        <v>0</v>
      </c>
      <c r="U4" s="32">
        <f t="shared" si="14"/>
        <v>1</v>
      </c>
      <c r="V4" s="32">
        <f t="shared" si="15"/>
        <v>0</v>
      </c>
      <c r="W4" s="32">
        <f t="shared" si="16"/>
        <v>0</v>
      </c>
      <c r="X4" s="32">
        <f t="shared" si="17"/>
        <v>0</v>
      </c>
      <c r="Y4" s="33">
        <f t="shared" si="18"/>
        <v>90</v>
      </c>
      <c r="Z4" s="32">
        <f t="shared" si="19"/>
        <v>0</v>
      </c>
      <c r="AA4" s="33">
        <f t="shared" si="20"/>
        <v>90</v>
      </c>
      <c r="AB4" s="32">
        <f t="shared" si="21"/>
        <v>0</v>
      </c>
      <c r="AC4" s="33">
        <f t="shared" si="6"/>
        <v>90</v>
      </c>
    </row>
    <row r="5" spans="3:29" ht="12.75">
      <c r="C5" s="10" t="s">
        <v>109</v>
      </c>
      <c r="D5" s="11" t="s">
        <v>94</v>
      </c>
      <c r="E5" s="11" t="s">
        <v>470</v>
      </c>
      <c r="F5" s="11" t="s">
        <v>144</v>
      </c>
      <c r="G5" s="20">
        <v>9</v>
      </c>
      <c r="H5" s="20">
        <f ca="1" t="shared" si="7"/>
        <v>252</v>
      </c>
      <c r="I5" s="42">
        <f ca="1" t="shared" si="0"/>
        <v>0</v>
      </c>
      <c r="J5" s="42">
        <f ca="1" t="shared" si="1"/>
        <v>0</v>
      </c>
      <c r="K5" s="42">
        <f ca="1" t="shared" si="2"/>
        <v>0</v>
      </c>
      <c r="L5" s="106">
        <f ca="1" t="shared" si="3"/>
        <v>0</v>
      </c>
      <c r="M5" s="106">
        <f ca="1" t="shared" si="4"/>
        <v>0</v>
      </c>
      <c r="N5" s="106">
        <f ca="1" t="shared" si="5"/>
        <v>0</v>
      </c>
      <c r="O5" s="42">
        <f t="shared" si="8"/>
        <v>0</v>
      </c>
      <c r="P5" s="42">
        <f t="shared" si="9"/>
        <v>0</v>
      </c>
      <c r="Q5" s="32">
        <f t="shared" si="10"/>
        <v>1</v>
      </c>
      <c r="R5" s="32">
        <f t="shared" si="11"/>
        <v>0</v>
      </c>
      <c r="S5" s="32">
        <f t="shared" si="12"/>
        <v>1</v>
      </c>
      <c r="T5" s="32">
        <f t="shared" si="13"/>
        <v>0</v>
      </c>
      <c r="U5" s="32">
        <f t="shared" si="14"/>
        <v>1</v>
      </c>
      <c r="V5" s="32">
        <f t="shared" si="15"/>
        <v>0</v>
      </c>
      <c r="W5" s="32">
        <f t="shared" si="16"/>
        <v>0</v>
      </c>
      <c r="X5" s="32">
        <f t="shared" si="17"/>
        <v>0</v>
      </c>
      <c r="Y5" s="33">
        <f t="shared" si="18"/>
        <v>90</v>
      </c>
      <c r="Z5" s="32">
        <f t="shared" si="19"/>
        <v>0</v>
      </c>
      <c r="AA5" s="33">
        <f t="shared" si="20"/>
        <v>90</v>
      </c>
      <c r="AB5" s="32">
        <f t="shared" si="21"/>
        <v>0</v>
      </c>
      <c r="AC5" s="33">
        <f t="shared" si="6"/>
        <v>90</v>
      </c>
    </row>
    <row r="6" spans="1:29" ht="12.75">
      <c r="A6" s="30" t="s">
        <v>478</v>
      </c>
      <c r="B6" s="30">
        <v>243</v>
      </c>
      <c r="C6" s="18"/>
      <c r="D6" s="19" t="s">
        <v>95</v>
      </c>
      <c r="E6" s="19" t="s">
        <v>470</v>
      </c>
      <c r="F6" s="19"/>
      <c r="G6" s="20">
        <v>11</v>
      </c>
      <c r="H6" s="20">
        <f ca="1" t="shared" si="7"/>
        <v>254</v>
      </c>
      <c r="I6" s="42">
        <f ca="1" t="shared" si="0"/>
        <v>0</v>
      </c>
      <c r="J6" s="42">
        <f ca="1" t="shared" si="1"/>
        <v>-243.065859</v>
      </c>
      <c r="K6" s="42">
        <f ca="1" t="shared" si="2"/>
        <v>78.379337</v>
      </c>
      <c r="L6" s="106">
        <f ca="1" t="shared" si="3"/>
        <v>-8.6832</v>
      </c>
      <c r="M6" s="106">
        <f ca="1" t="shared" si="4"/>
        <v>0</v>
      </c>
      <c r="N6" s="106">
        <f ca="1" t="shared" si="5"/>
        <v>0</v>
      </c>
      <c r="O6" s="42">
        <f t="shared" si="8"/>
        <v>0</v>
      </c>
      <c r="P6" s="42">
        <f t="shared" si="9"/>
        <v>-0.15097097220329236</v>
      </c>
      <c r="Q6" s="32">
        <f t="shared" si="10"/>
        <v>0.9885381963040137</v>
      </c>
      <c r="R6" s="32">
        <f t="shared" si="11"/>
        <v>0</v>
      </c>
      <c r="S6" s="32">
        <f t="shared" si="12"/>
        <v>0.9885381963040137</v>
      </c>
      <c r="T6" s="32">
        <f t="shared" si="13"/>
        <v>0.15097097220329236</v>
      </c>
      <c r="U6" s="32">
        <f t="shared" si="14"/>
        <v>1</v>
      </c>
      <c r="V6" s="32">
        <f t="shared" si="15"/>
        <v>0</v>
      </c>
      <c r="W6" s="32">
        <f t="shared" si="16"/>
        <v>0</v>
      </c>
      <c r="X6" s="32">
        <f t="shared" si="17"/>
        <v>0</v>
      </c>
      <c r="Y6" s="33">
        <f t="shared" si="18"/>
        <v>90</v>
      </c>
      <c r="Z6" s="32">
        <f t="shared" si="19"/>
        <v>0</v>
      </c>
      <c r="AA6" s="33">
        <f t="shared" si="20"/>
        <v>90</v>
      </c>
      <c r="AB6" s="32">
        <f t="shared" si="21"/>
        <v>0</v>
      </c>
      <c r="AC6" s="33">
        <f t="shared" si="6"/>
        <v>90</v>
      </c>
    </row>
    <row r="7" spans="1:29" ht="12.75">
      <c r="A7" s="19" t="s">
        <v>479</v>
      </c>
      <c r="B7" s="19">
        <v>238</v>
      </c>
      <c r="C7" s="18"/>
      <c r="D7" s="19" t="s">
        <v>97</v>
      </c>
      <c r="E7" s="19" t="s">
        <v>470</v>
      </c>
      <c r="F7" s="19"/>
      <c r="G7" s="20">
        <v>14</v>
      </c>
      <c r="H7" s="20">
        <f ca="1" t="shared" si="7"/>
        <v>257</v>
      </c>
      <c r="I7" s="42">
        <f ca="1" t="shared" si="0"/>
        <v>0</v>
      </c>
      <c r="J7" s="42">
        <f ca="1" t="shared" si="1"/>
        <v>-200.09302</v>
      </c>
      <c r="K7" s="42">
        <f ca="1" t="shared" si="2"/>
        <v>-114.125371</v>
      </c>
      <c r="L7" s="106">
        <f ca="1" t="shared" si="3"/>
        <v>17.9434</v>
      </c>
      <c r="M7" s="106">
        <f ca="1" t="shared" si="4"/>
        <v>0</v>
      </c>
      <c r="N7" s="106">
        <f ca="1" t="shared" si="5"/>
        <v>0</v>
      </c>
      <c r="O7" s="42">
        <f t="shared" si="8"/>
        <v>0</v>
      </c>
      <c r="P7" s="42">
        <f t="shared" si="9"/>
        <v>0.3080773365239388</v>
      </c>
      <c r="Q7" s="32">
        <f t="shared" si="10"/>
        <v>0.9513613165986495</v>
      </c>
      <c r="R7" s="32">
        <f t="shared" si="11"/>
        <v>0</v>
      </c>
      <c r="S7" s="32">
        <f t="shared" si="12"/>
        <v>0.9513613165986495</v>
      </c>
      <c r="T7" s="32">
        <f t="shared" si="13"/>
        <v>-0.3080773365239388</v>
      </c>
      <c r="U7" s="32">
        <f t="shared" si="14"/>
        <v>1</v>
      </c>
      <c r="V7" s="32">
        <f t="shared" si="15"/>
        <v>0</v>
      </c>
      <c r="W7" s="32">
        <f t="shared" si="16"/>
        <v>0</v>
      </c>
      <c r="X7" s="32">
        <f t="shared" si="17"/>
        <v>0</v>
      </c>
      <c r="Y7" s="33">
        <f t="shared" si="18"/>
        <v>90</v>
      </c>
      <c r="Z7" s="32">
        <f t="shared" si="19"/>
        <v>0</v>
      </c>
      <c r="AA7" s="33">
        <f t="shared" si="20"/>
        <v>90</v>
      </c>
      <c r="AB7" s="32">
        <f t="shared" si="21"/>
        <v>0</v>
      </c>
      <c r="AC7" s="33">
        <f t="shared" si="6"/>
        <v>90</v>
      </c>
    </row>
    <row r="8" spans="1:29" ht="13.5" thickBot="1">
      <c r="A8" s="30"/>
      <c r="B8" s="30"/>
      <c r="C8" s="14"/>
      <c r="D8" s="15" t="s">
        <v>98</v>
      </c>
      <c r="E8" s="15" t="s">
        <v>470</v>
      </c>
      <c r="F8" s="15"/>
      <c r="G8" s="20">
        <v>17</v>
      </c>
      <c r="H8" s="20">
        <f ca="1" t="shared" si="7"/>
        <v>260</v>
      </c>
      <c r="I8" s="42">
        <f ca="1" t="shared" si="0"/>
        <v>0</v>
      </c>
      <c r="J8" s="42">
        <f ca="1" t="shared" si="1"/>
        <v>-179.687314</v>
      </c>
      <c r="K8" s="42">
        <f ca="1" t="shared" si="2"/>
        <v>82.217104</v>
      </c>
      <c r="L8" s="106">
        <f ca="1" t="shared" si="3"/>
        <v>15.1454</v>
      </c>
      <c r="M8" s="106">
        <f ca="1" t="shared" si="4"/>
        <v>0</v>
      </c>
      <c r="N8" s="106">
        <f ca="1" t="shared" si="5"/>
        <v>0</v>
      </c>
      <c r="O8" s="42">
        <f t="shared" si="8"/>
        <v>0</v>
      </c>
      <c r="P8" s="42">
        <f t="shared" si="9"/>
        <v>0.26126944748333636</v>
      </c>
      <c r="Q8" s="32">
        <f t="shared" si="10"/>
        <v>0.9652659093802869</v>
      </c>
      <c r="R8" s="32">
        <f t="shared" si="11"/>
        <v>0</v>
      </c>
      <c r="S8" s="32">
        <f t="shared" si="12"/>
        <v>0.9652659093802869</v>
      </c>
      <c r="T8" s="32">
        <f t="shared" si="13"/>
        <v>-0.26126944748333636</v>
      </c>
      <c r="U8" s="32">
        <f t="shared" si="14"/>
        <v>1</v>
      </c>
      <c r="V8" s="32">
        <f t="shared" si="15"/>
        <v>0</v>
      </c>
      <c r="W8" s="32">
        <f t="shared" si="16"/>
        <v>0</v>
      </c>
      <c r="X8" s="32">
        <f t="shared" si="17"/>
        <v>0</v>
      </c>
      <c r="Y8" s="33">
        <f t="shared" si="18"/>
        <v>90</v>
      </c>
      <c r="Z8" s="32">
        <f t="shared" si="19"/>
        <v>0</v>
      </c>
      <c r="AA8" s="33">
        <f t="shared" si="20"/>
        <v>90</v>
      </c>
      <c r="AB8" s="32">
        <f t="shared" si="21"/>
        <v>0</v>
      </c>
      <c r="AC8" s="33">
        <f t="shared" si="6"/>
        <v>90</v>
      </c>
    </row>
    <row r="9" spans="1:29" ht="12.75">
      <c r="A9" s="30" t="s">
        <v>99</v>
      </c>
      <c r="B9" s="30" t="s">
        <v>100</v>
      </c>
      <c r="C9" s="10" t="s">
        <v>443</v>
      </c>
      <c r="D9" s="11" t="s">
        <v>444</v>
      </c>
      <c r="E9" s="11" t="s">
        <v>470</v>
      </c>
      <c r="F9" s="11"/>
      <c r="G9" s="20">
        <v>22</v>
      </c>
      <c r="H9" s="20">
        <f ca="1" t="shared" si="7"/>
        <v>265</v>
      </c>
      <c r="I9" s="42">
        <f ca="1" t="shared" si="0"/>
        <v>33.82</v>
      </c>
      <c r="J9" s="42">
        <f ca="1" t="shared" si="1"/>
        <v>-263.975222</v>
      </c>
      <c r="K9" s="42">
        <f ca="1" t="shared" si="2"/>
        <v>-104.150668</v>
      </c>
      <c r="L9" s="106">
        <f ca="1" t="shared" si="3"/>
        <v>39.32223</v>
      </c>
      <c r="M9" s="106">
        <f ca="1" t="shared" si="4"/>
        <v>-45.23104</v>
      </c>
      <c r="N9" s="106">
        <f ca="1" t="shared" si="5"/>
        <v>-14.16719</v>
      </c>
      <c r="O9" s="42">
        <f t="shared" si="8"/>
        <v>0.7099523681147767</v>
      </c>
      <c r="P9" s="42">
        <f t="shared" si="9"/>
        <v>0.4462696974528858</v>
      </c>
      <c r="Q9" s="32">
        <f t="shared" si="10"/>
        <v>0.5448036271387428</v>
      </c>
      <c r="R9" s="32">
        <f t="shared" si="11"/>
        <v>0.17236666260299444</v>
      </c>
      <c r="S9" s="32">
        <f t="shared" si="12"/>
        <v>0.6399561029930524</v>
      </c>
      <c r="T9" s="32">
        <f t="shared" si="13"/>
        <v>-0.7488297001755813</v>
      </c>
      <c r="U9" s="32">
        <f t="shared" si="14"/>
        <v>0.6828304098612817</v>
      </c>
      <c r="V9" s="32">
        <f t="shared" si="15"/>
        <v>-0.6255394019382434</v>
      </c>
      <c r="W9" s="32">
        <f t="shared" si="16"/>
        <v>-0.3774163324386196</v>
      </c>
      <c r="X9" s="32">
        <f t="shared" si="17"/>
        <v>0</v>
      </c>
      <c r="Y9" s="33">
        <f t="shared" si="18"/>
        <v>90</v>
      </c>
      <c r="Z9" s="32">
        <f t="shared" si="19"/>
        <v>0</v>
      </c>
      <c r="AA9" s="33">
        <f t="shared" si="20"/>
        <v>90</v>
      </c>
      <c r="AB9" s="32">
        <f t="shared" si="21"/>
        <v>0</v>
      </c>
      <c r="AC9" s="33">
        <f t="shared" si="6"/>
        <v>90</v>
      </c>
    </row>
    <row r="10" spans="1:29" ht="12.75">
      <c r="A10" s="30" t="s">
        <v>101</v>
      </c>
      <c r="B10" s="30" t="s">
        <v>102</v>
      </c>
      <c r="C10" s="18"/>
      <c r="D10" s="19" t="s">
        <v>445</v>
      </c>
      <c r="E10" s="19" t="s">
        <v>470</v>
      </c>
      <c r="F10" s="19" t="s">
        <v>144</v>
      </c>
      <c r="G10" s="20">
        <v>26</v>
      </c>
      <c r="H10" s="20">
        <f ca="1" t="shared" si="7"/>
        <v>269</v>
      </c>
      <c r="I10" s="42">
        <f ca="1" t="shared" si="0"/>
        <v>141.695656</v>
      </c>
      <c r="J10" s="42">
        <f ca="1" t="shared" si="1"/>
        <v>-233.042376</v>
      </c>
      <c r="K10" s="42">
        <f ca="1" t="shared" si="2"/>
        <v>-112.982809</v>
      </c>
      <c r="L10" s="106">
        <f ca="1" t="shared" si="3"/>
        <v>138.95995</v>
      </c>
      <c r="M10" s="106">
        <f ca="1" t="shared" si="4"/>
        <v>-48.8373</v>
      </c>
      <c r="N10" s="106">
        <f ca="1" t="shared" si="5"/>
        <v>-47.8363</v>
      </c>
      <c r="O10" s="42">
        <f t="shared" si="8"/>
        <v>0.7528435614080758</v>
      </c>
      <c r="P10" s="42">
        <f t="shared" si="9"/>
        <v>0.4321648445110881</v>
      </c>
      <c r="Q10" s="32">
        <f t="shared" si="10"/>
        <v>-0.49644749895141155</v>
      </c>
      <c r="R10" s="32">
        <f t="shared" si="11"/>
        <v>0.4878772225280114</v>
      </c>
      <c r="S10" s="32">
        <f t="shared" si="12"/>
        <v>-0.8726867743478761</v>
      </c>
      <c r="T10" s="32">
        <f t="shared" si="13"/>
        <v>-0.01983959718976941</v>
      </c>
      <c r="U10" s="32">
        <f t="shared" si="14"/>
        <v>0.4418171429276573</v>
      </c>
      <c r="V10" s="32">
        <f t="shared" si="15"/>
        <v>0.2272693139141449</v>
      </c>
      <c r="W10" s="32">
        <f t="shared" si="16"/>
        <v>0.8678400032081006</v>
      </c>
      <c r="X10" s="32">
        <f t="shared" si="17"/>
        <v>0</v>
      </c>
      <c r="Y10" s="33">
        <f t="shared" si="18"/>
        <v>90</v>
      </c>
      <c r="Z10" s="32">
        <f t="shared" si="19"/>
        <v>0</v>
      </c>
      <c r="AA10" s="33">
        <f t="shared" si="20"/>
        <v>90</v>
      </c>
      <c r="AB10" s="32">
        <f t="shared" si="21"/>
        <v>-3.469446951953614E-17</v>
      </c>
      <c r="AC10" s="33">
        <f t="shared" si="6"/>
        <v>90</v>
      </c>
    </row>
    <row r="11" spans="1:29" ht="12.75">
      <c r="A11" s="30" t="s">
        <v>103</v>
      </c>
      <c r="B11" s="30" t="s">
        <v>104</v>
      </c>
      <c r="C11" s="18"/>
      <c r="D11" s="19" t="s">
        <v>446</v>
      </c>
      <c r="E11" s="19" t="s">
        <v>470</v>
      </c>
      <c r="F11" s="19"/>
      <c r="G11" s="20">
        <v>30</v>
      </c>
      <c r="H11" s="20">
        <f ca="1" t="shared" si="7"/>
        <v>273</v>
      </c>
      <c r="I11" s="42">
        <f ca="1" t="shared" si="0"/>
        <v>170.856678</v>
      </c>
      <c r="J11" s="42">
        <f ca="1" t="shared" si="1"/>
        <v>-224.680587</v>
      </c>
      <c r="K11" s="42">
        <f ca="1" t="shared" si="2"/>
        <v>-115.370319</v>
      </c>
      <c r="L11" s="106">
        <f ca="1" t="shared" si="3"/>
        <v>-153.67393</v>
      </c>
      <c r="M11" s="106">
        <f ca="1" t="shared" si="4"/>
        <v>43.46114</v>
      </c>
      <c r="N11" s="106">
        <f ca="1" t="shared" si="5"/>
        <v>29.79408</v>
      </c>
      <c r="O11" s="42">
        <f t="shared" si="8"/>
        <v>-0.6878624431607016</v>
      </c>
      <c r="P11" s="42">
        <f t="shared" si="9"/>
        <v>-0.32189531036075236</v>
      </c>
      <c r="Q11" s="32">
        <f t="shared" si="10"/>
        <v>-0.6505602727317011</v>
      </c>
      <c r="R11" s="32">
        <f t="shared" si="11"/>
        <v>-0.36065903052820547</v>
      </c>
      <c r="S11" s="32">
        <f t="shared" si="12"/>
        <v>-0.6262351109671869</v>
      </c>
      <c r="T11" s="32">
        <f t="shared" si="13"/>
        <v>0.6911979813992297</v>
      </c>
      <c r="U11" s="32">
        <f t="shared" si="14"/>
        <v>0.6298970733282109</v>
      </c>
      <c r="V11" s="32">
        <f t="shared" si="15"/>
        <v>-0.7100795694565997</v>
      </c>
      <c r="W11" s="32">
        <f t="shared" si="16"/>
        <v>-0.3146691628566174</v>
      </c>
      <c r="X11" s="32">
        <f t="shared" si="17"/>
        <v>0</v>
      </c>
      <c r="Y11" s="33">
        <f t="shared" si="18"/>
        <v>90</v>
      </c>
      <c r="Z11" s="32">
        <f t="shared" si="19"/>
        <v>0</v>
      </c>
      <c r="AA11" s="33">
        <f t="shared" si="20"/>
        <v>90</v>
      </c>
      <c r="AB11" s="32">
        <f t="shared" si="21"/>
        <v>0</v>
      </c>
      <c r="AC11" s="33">
        <f t="shared" si="6"/>
        <v>90</v>
      </c>
    </row>
    <row r="12" spans="1:29" ht="13.5" thickBot="1">
      <c r="A12" s="30" t="s">
        <v>335</v>
      </c>
      <c r="B12" s="30" t="s">
        <v>338</v>
      </c>
      <c r="C12" s="14"/>
      <c r="D12" s="15" t="s">
        <v>447</v>
      </c>
      <c r="E12" s="15" t="s">
        <v>470</v>
      </c>
      <c r="F12" s="15"/>
      <c r="G12" s="20">
        <v>36</v>
      </c>
      <c r="H12" s="20">
        <f ca="1" t="shared" si="7"/>
        <v>279</v>
      </c>
      <c r="I12" s="42">
        <f ca="1" t="shared" si="0"/>
        <v>170.856678</v>
      </c>
      <c r="J12" s="42">
        <f ca="1" t="shared" si="1"/>
        <v>-234.578533</v>
      </c>
      <c r="K12" s="42">
        <f ca="1" t="shared" si="2"/>
        <v>-171.504361</v>
      </c>
      <c r="L12" s="106">
        <f ca="1" t="shared" si="3"/>
        <v>-10</v>
      </c>
      <c r="M12" s="106">
        <f ca="1" t="shared" si="4"/>
        <v>0</v>
      </c>
      <c r="N12" s="106">
        <f ca="1" t="shared" si="5"/>
        <v>-6.22</v>
      </c>
      <c r="O12" s="42">
        <f t="shared" si="8"/>
        <v>0</v>
      </c>
      <c r="P12" s="42">
        <f t="shared" si="9"/>
        <v>-0.17364817766693033</v>
      </c>
      <c r="Q12" s="32">
        <f t="shared" si="10"/>
        <v>0.984807753012208</v>
      </c>
      <c r="R12" s="32">
        <f t="shared" si="11"/>
        <v>0.10834637327094243</v>
      </c>
      <c r="S12" s="32">
        <f t="shared" si="12"/>
        <v>0.9790103911821212</v>
      </c>
      <c r="T12" s="32">
        <f t="shared" si="13"/>
        <v>0.17262594635935663</v>
      </c>
      <c r="U12" s="32">
        <f t="shared" si="14"/>
        <v>0.9941132045189992</v>
      </c>
      <c r="V12" s="32">
        <f t="shared" si="15"/>
        <v>-0.10670034840797878</v>
      </c>
      <c r="W12" s="32">
        <f t="shared" si="16"/>
        <v>-0.018814150275320164</v>
      </c>
      <c r="X12" s="32">
        <f t="shared" si="17"/>
        <v>0</v>
      </c>
      <c r="Y12" s="33">
        <f t="shared" si="18"/>
        <v>90</v>
      </c>
      <c r="Z12" s="32">
        <f t="shared" si="19"/>
        <v>0</v>
      </c>
      <c r="AA12" s="33">
        <f t="shared" si="20"/>
        <v>90</v>
      </c>
      <c r="AB12" s="32">
        <f t="shared" si="21"/>
        <v>8.239936510889834E-18</v>
      </c>
      <c r="AC12" s="33">
        <f t="shared" si="6"/>
        <v>90</v>
      </c>
    </row>
    <row r="13" spans="1:29" ht="12.75">
      <c r="A13" s="30" t="s">
        <v>336</v>
      </c>
      <c r="B13" s="30" t="s">
        <v>339</v>
      </c>
      <c r="C13" s="10" t="s">
        <v>449</v>
      </c>
      <c r="D13" s="11" t="s">
        <v>448</v>
      </c>
      <c r="E13" s="11" t="s">
        <v>470</v>
      </c>
      <c r="F13" s="11"/>
      <c r="G13" s="20">
        <v>39</v>
      </c>
      <c r="H13" s="20">
        <f ca="1" t="shared" si="7"/>
        <v>282</v>
      </c>
      <c r="I13" s="42">
        <f ca="1" t="shared" si="0"/>
        <v>170.856678</v>
      </c>
      <c r="J13" s="42">
        <f ca="1" t="shared" si="1"/>
        <v>-321.398533</v>
      </c>
      <c r="K13" s="42">
        <f ca="1" t="shared" si="2"/>
        <v>-21.12771</v>
      </c>
      <c r="L13" s="106">
        <f ca="1" t="shared" si="3"/>
        <v>0</v>
      </c>
      <c r="M13" s="106">
        <f ca="1" t="shared" si="4"/>
        <v>0</v>
      </c>
      <c r="N13" s="106">
        <f ca="1" t="shared" si="5"/>
        <v>0</v>
      </c>
      <c r="O13" s="42">
        <f t="shared" si="8"/>
        <v>0</v>
      </c>
      <c r="P13" s="42">
        <f t="shared" si="9"/>
        <v>0</v>
      </c>
      <c r="Q13" s="32">
        <f t="shared" si="10"/>
        <v>1</v>
      </c>
      <c r="R13" s="32">
        <f t="shared" si="11"/>
        <v>0</v>
      </c>
      <c r="S13" s="32">
        <f t="shared" si="12"/>
        <v>1</v>
      </c>
      <c r="T13" s="32">
        <f t="shared" si="13"/>
        <v>0</v>
      </c>
      <c r="U13" s="32">
        <f t="shared" si="14"/>
        <v>1</v>
      </c>
      <c r="V13" s="32">
        <f t="shared" si="15"/>
        <v>0</v>
      </c>
      <c r="W13" s="32">
        <f t="shared" si="16"/>
        <v>0</v>
      </c>
      <c r="X13" s="32">
        <f t="shared" si="17"/>
        <v>0</v>
      </c>
      <c r="Y13" s="33">
        <f t="shared" si="18"/>
        <v>90</v>
      </c>
      <c r="Z13" s="32">
        <f t="shared" si="19"/>
        <v>0</v>
      </c>
      <c r="AA13" s="33">
        <f t="shared" si="20"/>
        <v>90</v>
      </c>
      <c r="AB13" s="32">
        <f t="shared" si="21"/>
        <v>0</v>
      </c>
      <c r="AC13" s="33">
        <f t="shared" si="6"/>
        <v>90</v>
      </c>
    </row>
    <row r="14" spans="1:29" ht="12.75">
      <c r="A14" s="30" t="s">
        <v>337</v>
      </c>
      <c r="B14" s="30" t="s">
        <v>340</v>
      </c>
      <c r="C14" s="18"/>
      <c r="D14" s="19" t="s">
        <v>450</v>
      </c>
      <c r="E14" s="19" t="s">
        <v>470</v>
      </c>
      <c r="F14" s="19"/>
      <c r="G14" s="20">
        <v>43</v>
      </c>
      <c r="H14" s="20">
        <f ca="1" t="shared" si="7"/>
        <v>286</v>
      </c>
      <c r="I14" s="42">
        <f ca="1" t="shared" si="0"/>
        <v>170.856678</v>
      </c>
      <c r="J14" s="42">
        <f ca="1" t="shared" si="1"/>
        <v>-407.998533</v>
      </c>
      <c r="K14" s="42">
        <f ca="1" t="shared" si="2"/>
        <v>-171.12331</v>
      </c>
      <c r="L14" s="106">
        <f ca="1" t="shared" si="3"/>
        <v>15</v>
      </c>
      <c r="M14" s="106">
        <f ca="1" t="shared" si="4"/>
        <v>0</v>
      </c>
      <c r="N14" s="106">
        <f ca="1" t="shared" si="5"/>
        <v>0</v>
      </c>
      <c r="O14" s="42">
        <f t="shared" si="8"/>
        <v>0</v>
      </c>
      <c r="P14" s="42">
        <f t="shared" si="9"/>
        <v>0.25881904510252074</v>
      </c>
      <c r="Q14" s="32">
        <f t="shared" si="10"/>
        <v>0.9659258262890683</v>
      </c>
      <c r="R14" s="32">
        <f t="shared" si="11"/>
        <v>0</v>
      </c>
      <c r="S14" s="32">
        <f t="shared" si="12"/>
        <v>0.9659258262890683</v>
      </c>
      <c r="T14" s="32">
        <f t="shared" si="13"/>
        <v>-0.25881904510252074</v>
      </c>
      <c r="U14" s="32">
        <f t="shared" si="14"/>
        <v>1</v>
      </c>
      <c r="V14" s="32">
        <f t="shared" si="15"/>
        <v>0</v>
      </c>
      <c r="W14" s="32">
        <f t="shared" si="16"/>
        <v>0</v>
      </c>
      <c r="X14" s="32">
        <f t="shared" si="17"/>
        <v>0</v>
      </c>
      <c r="Y14" s="33">
        <f t="shared" si="18"/>
        <v>90</v>
      </c>
      <c r="Z14" s="32">
        <f t="shared" si="19"/>
        <v>0</v>
      </c>
      <c r="AA14" s="33">
        <f t="shared" si="20"/>
        <v>90</v>
      </c>
      <c r="AB14" s="32">
        <f t="shared" si="21"/>
        <v>0</v>
      </c>
      <c r="AC14" s="33">
        <f t="shared" si="6"/>
        <v>90</v>
      </c>
    </row>
    <row r="15" spans="3:29" ht="12.75">
      <c r="C15" s="18"/>
      <c r="D15" s="19" t="s">
        <v>451</v>
      </c>
      <c r="E15" s="19" t="s">
        <v>470</v>
      </c>
      <c r="F15" s="19"/>
      <c r="G15" s="20">
        <v>46</v>
      </c>
      <c r="H15" s="20">
        <f ca="1" t="shared" si="7"/>
        <v>289</v>
      </c>
      <c r="I15" s="42">
        <f ca="1" t="shared" si="0"/>
        <v>170.856678</v>
      </c>
      <c r="J15" s="42">
        <f ca="1" t="shared" si="1"/>
        <v>-407.998533</v>
      </c>
      <c r="K15" s="42">
        <f ca="1" t="shared" si="2"/>
        <v>-46.12331</v>
      </c>
      <c r="L15" s="106">
        <f ca="1" t="shared" si="3"/>
        <v>45</v>
      </c>
      <c r="M15" s="106">
        <f ca="1" t="shared" si="4"/>
        <v>0</v>
      </c>
      <c r="N15" s="106">
        <f ca="1" t="shared" si="5"/>
        <v>0</v>
      </c>
      <c r="O15" s="42">
        <f t="shared" si="8"/>
        <v>0</v>
      </c>
      <c r="P15" s="42">
        <f t="shared" si="9"/>
        <v>0.7071067811865475</v>
      </c>
      <c r="Q15" s="32">
        <f t="shared" si="10"/>
        <v>0.7071067811865476</v>
      </c>
      <c r="R15" s="32">
        <f t="shared" si="11"/>
        <v>0</v>
      </c>
      <c r="S15" s="32">
        <f t="shared" si="12"/>
        <v>0.7071067811865476</v>
      </c>
      <c r="T15" s="32">
        <f t="shared" si="13"/>
        <v>-0.7071067811865475</v>
      </c>
      <c r="U15" s="32">
        <f t="shared" si="14"/>
        <v>1</v>
      </c>
      <c r="V15" s="32">
        <f t="shared" si="15"/>
        <v>0</v>
      </c>
      <c r="W15" s="32">
        <f t="shared" si="16"/>
        <v>0</v>
      </c>
      <c r="X15" s="32">
        <f t="shared" si="17"/>
        <v>0</v>
      </c>
      <c r="Y15" s="33">
        <f t="shared" si="18"/>
        <v>90</v>
      </c>
      <c r="Z15" s="32">
        <f t="shared" si="19"/>
        <v>0</v>
      </c>
      <c r="AA15" s="33">
        <f t="shared" si="20"/>
        <v>90</v>
      </c>
      <c r="AB15" s="32">
        <f t="shared" si="21"/>
        <v>0</v>
      </c>
      <c r="AC15" s="33">
        <f t="shared" si="6"/>
        <v>90</v>
      </c>
    </row>
    <row r="16" spans="3:29" ht="12.75">
      <c r="C16" s="18"/>
      <c r="D16" s="19" t="s">
        <v>452</v>
      </c>
      <c r="E16" s="19" t="s">
        <v>470</v>
      </c>
      <c r="F16" s="19"/>
      <c r="G16" s="20">
        <v>51</v>
      </c>
      <c r="H16" s="20">
        <f ca="1" t="shared" si="7"/>
        <v>294</v>
      </c>
      <c r="I16" s="42">
        <f ca="1" t="shared" si="0"/>
        <v>170.856678</v>
      </c>
      <c r="J16" s="42">
        <f ca="1" t="shared" si="1"/>
        <v>-457.998533</v>
      </c>
      <c r="K16" s="42">
        <f ca="1" t="shared" si="2"/>
        <v>-46.12331</v>
      </c>
      <c r="L16" s="106">
        <f ca="1" t="shared" si="3"/>
        <v>135</v>
      </c>
      <c r="M16" s="106">
        <f ca="1" t="shared" si="4"/>
        <v>45</v>
      </c>
      <c r="N16" s="106">
        <f ca="1" t="shared" si="5"/>
        <v>0</v>
      </c>
      <c r="O16" s="42">
        <f t="shared" si="8"/>
        <v>-0.7071067811865475</v>
      </c>
      <c r="P16" s="42">
        <f t="shared" si="9"/>
        <v>0.5000000000000001</v>
      </c>
      <c r="Q16" s="32">
        <f t="shared" si="10"/>
        <v>-0.5</v>
      </c>
      <c r="R16" s="32">
        <f t="shared" si="11"/>
        <v>0</v>
      </c>
      <c r="S16" s="32">
        <f t="shared" si="12"/>
        <v>-0.7071067811865475</v>
      </c>
      <c r="T16" s="32">
        <f t="shared" si="13"/>
        <v>-0.7071067811865476</v>
      </c>
      <c r="U16" s="32">
        <f t="shared" si="14"/>
        <v>0.7071067811865476</v>
      </c>
      <c r="V16" s="32">
        <f t="shared" si="15"/>
        <v>0.5</v>
      </c>
      <c r="W16" s="32">
        <f t="shared" si="16"/>
        <v>-0.4999999999999999</v>
      </c>
      <c r="X16" s="32">
        <f t="shared" si="17"/>
        <v>0</v>
      </c>
      <c r="Y16" s="33">
        <f t="shared" si="18"/>
        <v>90</v>
      </c>
      <c r="Z16" s="32">
        <f t="shared" si="19"/>
        <v>0</v>
      </c>
      <c r="AA16" s="33">
        <f t="shared" si="20"/>
        <v>90</v>
      </c>
      <c r="AB16" s="32">
        <f t="shared" si="21"/>
        <v>0</v>
      </c>
      <c r="AC16" s="33">
        <f t="shared" si="6"/>
        <v>90</v>
      </c>
    </row>
    <row r="17" spans="3:29" ht="12.75">
      <c r="C17" s="18"/>
      <c r="D17" s="19" t="s">
        <v>453</v>
      </c>
      <c r="E17" s="19" t="s">
        <v>470</v>
      </c>
      <c r="F17" s="19"/>
      <c r="G17" s="20">
        <v>53</v>
      </c>
      <c r="H17" s="20">
        <f ca="1" t="shared" si="7"/>
        <v>296</v>
      </c>
      <c r="I17" s="42">
        <f ca="1" t="shared" si="0"/>
        <v>170.856678</v>
      </c>
      <c r="J17" s="42">
        <f ca="1" t="shared" si="1"/>
        <v>-457.998533</v>
      </c>
      <c r="K17" s="42">
        <f ca="1" t="shared" si="2"/>
        <v>-46.12331</v>
      </c>
      <c r="L17" s="106">
        <f ca="1" t="shared" si="3"/>
        <v>135</v>
      </c>
      <c r="M17" s="106">
        <f ca="1" t="shared" si="4"/>
        <v>-45</v>
      </c>
      <c r="N17" s="106">
        <f ca="1" t="shared" si="5"/>
        <v>0</v>
      </c>
      <c r="O17" s="42">
        <f t="shared" si="8"/>
        <v>0.7071067811865475</v>
      </c>
      <c r="P17" s="42">
        <f t="shared" si="9"/>
        <v>0.5000000000000001</v>
      </c>
      <c r="Q17" s="32">
        <f t="shared" si="10"/>
        <v>-0.5</v>
      </c>
      <c r="R17" s="32">
        <f t="shared" si="11"/>
        <v>0</v>
      </c>
      <c r="S17" s="32">
        <f t="shared" si="12"/>
        <v>-0.7071067811865475</v>
      </c>
      <c r="T17" s="32">
        <f t="shared" si="13"/>
        <v>-0.7071067811865476</v>
      </c>
      <c r="U17" s="32">
        <f t="shared" si="14"/>
        <v>0.7071067811865476</v>
      </c>
      <c r="V17" s="32">
        <f t="shared" si="15"/>
        <v>-0.5</v>
      </c>
      <c r="W17" s="32">
        <f t="shared" si="16"/>
        <v>0.4999999999999999</v>
      </c>
      <c r="X17" s="32">
        <f t="shared" si="17"/>
        <v>0</v>
      </c>
      <c r="Y17" s="33">
        <f t="shared" si="18"/>
        <v>90</v>
      </c>
      <c r="Z17" s="32">
        <f t="shared" si="19"/>
        <v>0</v>
      </c>
      <c r="AA17" s="33">
        <f t="shared" si="20"/>
        <v>90</v>
      </c>
      <c r="AB17" s="32">
        <f t="shared" si="21"/>
        <v>0</v>
      </c>
      <c r="AC17" s="33">
        <f t="shared" si="6"/>
        <v>90</v>
      </c>
    </row>
    <row r="18" spans="3:29" ht="12.75">
      <c r="C18" s="18"/>
      <c r="D18" s="19" t="s">
        <v>455</v>
      </c>
      <c r="E18" s="19" t="s">
        <v>470</v>
      </c>
      <c r="F18" s="19"/>
      <c r="G18" s="20">
        <v>56</v>
      </c>
      <c r="H18" s="20">
        <f ca="1" t="shared" si="7"/>
        <v>299</v>
      </c>
      <c r="I18" s="42">
        <f ca="1" t="shared" si="0"/>
        <v>170.856678</v>
      </c>
      <c r="J18" s="42">
        <f ca="1" t="shared" si="1"/>
        <v>-457.998533</v>
      </c>
      <c r="K18" s="42">
        <f ca="1" t="shared" si="2"/>
        <v>-171.12331</v>
      </c>
      <c r="L18" s="106">
        <f ca="1" t="shared" si="3"/>
        <v>165</v>
      </c>
      <c r="M18" s="106">
        <f ca="1" t="shared" si="4"/>
        <v>0</v>
      </c>
      <c r="N18" s="106">
        <f ca="1" t="shared" si="5"/>
        <v>0</v>
      </c>
      <c r="O18" s="42">
        <f t="shared" si="8"/>
        <v>0</v>
      </c>
      <c r="P18" s="42">
        <f t="shared" si="9"/>
        <v>0.258819045102521</v>
      </c>
      <c r="Q18" s="32">
        <f t="shared" si="10"/>
        <v>-0.9659258262890682</v>
      </c>
      <c r="R18" s="32">
        <f t="shared" si="11"/>
        <v>0</v>
      </c>
      <c r="S18" s="32">
        <f t="shared" si="12"/>
        <v>-0.9659258262890682</v>
      </c>
      <c r="T18" s="32">
        <f t="shared" si="13"/>
        <v>-0.258819045102521</v>
      </c>
      <c r="U18" s="32">
        <f t="shared" si="14"/>
        <v>1</v>
      </c>
      <c r="V18" s="32">
        <f t="shared" si="15"/>
        <v>0</v>
      </c>
      <c r="W18" s="32">
        <f t="shared" si="16"/>
        <v>0</v>
      </c>
      <c r="X18" s="32">
        <f t="shared" si="17"/>
        <v>0</v>
      </c>
      <c r="Y18" s="33">
        <f t="shared" si="18"/>
        <v>90</v>
      </c>
      <c r="Z18" s="32">
        <f t="shared" si="19"/>
        <v>0</v>
      </c>
      <c r="AA18" s="33">
        <f t="shared" si="20"/>
        <v>90</v>
      </c>
      <c r="AB18" s="32">
        <f t="shared" si="21"/>
        <v>0</v>
      </c>
      <c r="AC18" s="33">
        <f t="shared" si="6"/>
        <v>90</v>
      </c>
    </row>
    <row r="19" spans="3:29" ht="12.75">
      <c r="C19" s="18"/>
      <c r="D19" s="19" t="s">
        <v>454</v>
      </c>
      <c r="E19" s="19" t="s">
        <v>470</v>
      </c>
      <c r="F19" s="19"/>
      <c r="G19" s="20">
        <v>60</v>
      </c>
      <c r="H19" s="20">
        <f ca="1" t="shared" si="7"/>
        <v>303</v>
      </c>
      <c r="I19" s="42">
        <f ca="1" t="shared" si="0"/>
        <v>170.856678</v>
      </c>
      <c r="J19" s="42">
        <f ca="1" t="shared" si="1"/>
        <v>-544.598533</v>
      </c>
      <c r="K19" s="42">
        <f ca="1" t="shared" si="2"/>
        <v>-21.12771</v>
      </c>
      <c r="L19" s="106">
        <f ca="1" t="shared" si="3"/>
        <v>180</v>
      </c>
      <c r="M19" s="106">
        <f ca="1" t="shared" si="4"/>
        <v>0</v>
      </c>
      <c r="N19" s="106">
        <f ca="1" t="shared" si="5"/>
        <v>-8.54E-07</v>
      </c>
      <c r="O19" s="42">
        <f t="shared" si="8"/>
        <v>0</v>
      </c>
      <c r="P19" s="42">
        <f t="shared" si="9"/>
        <v>1.22514845490862E-16</v>
      </c>
      <c r="Q19" s="32">
        <f t="shared" si="10"/>
        <v>-1</v>
      </c>
      <c r="R19" s="32">
        <f t="shared" si="11"/>
        <v>1.4905111812031573E-08</v>
      </c>
      <c r="S19" s="32">
        <f t="shared" si="12"/>
        <v>-0.9999999999999999</v>
      </c>
      <c r="T19" s="32">
        <f t="shared" si="13"/>
        <v>-1.2251484549086198E-16</v>
      </c>
      <c r="U19" s="32">
        <f t="shared" si="14"/>
        <v>0.9999999999999999</v>
      </c>
      <c r="V19" s="32">
        <f t="shared" si="15"/>
        <v>1.4905111812031573E-08</v>
      </c>
      <c r="W19" s="32">
        <f t="shared" si="16"/>
        <v>1.8260974706750705E-24</v>
      </c>
      <c r="X19" s="32">
        <f t="shared" si="17"/>
        <v>0</v>
      </c>
      <c r="Y19" s="33">
        <f t="shared" si="18"/>
        <v>90</v>
      </c>
      <c r="Z19" s="32">
        <f t="shared" si="19"/>
        <v>0</v>
      </c>
      <c r="AA19" s="33">
        <f t="shared" si="20"/>
        <v>90</v>
      </c>
      <c r="AB19" s="32">
        <f t="shared" si="21"/>
        <v>-2.237240494710101E-40</v>
      </c>
      <c r="AC19" s="33">
        <f t="shared" si="6"/>
        <v>90</v>
      </c>
    </row>
    <row r="20" spans="3:29" ht="12.75">
      <c r="C20" s="18"/>
      <c r="D20" s="19" t="s">
        <v>456</v>
      </c>
      <c r="E20" s="19" t="s">
        <v>470</v>
      </c>
      <c r="F20" s="19"/>
      <c r="G20" s="20">
        <v>63</v>
      </c>
      <c r="H20" s="20">
        <f ca="1" t="shared" si="7"/>
        <v>306</v>
      </c>
      <c r="I20" s="42">
        <f ca="1" t="shared" si="0"/>
        <v>170.856678</v>
      </c>
      <c r="J20" s="42">
        <f ca="1" t="shared" si="1"/>
        <v>-620.588533</v>
      </c>
      <c r="K20" s="42">
        <f ca="1" t="shared" si="2"/>
        <v>-152.74625</v>
      </c>
      <c r="L20" s="106">
        <f ca="1" t="shared" si="3"/>
        <v>-170</v>
      </c>
      <c r="M20" s="106">
        <f ca="1" t="shared" si="4"/>
        <v>0</v>
      </c>
      <c r="N20" s="106">
        <f ca="1" t="shared" si="5"/>
        <v>-1.79</v>
      </c>
      <c r="O20" s="42">
        <f t="shared" si="8"/>
        <v>0</v>
      </c>
      <c r="P20" s="42">
        <f t="shared" si="9"/>
        <v>-0.17364817766693028</v>
      </c>
      <c r="Q20" s="32">
        <f t="shared" si="10"/>
        <v>-0.984807753012208</v>
      </c>
      <c r="R20" s="32">
        <f t="shared" si="11"/>
        <v>0.031236311796864077</v>
      </c>
      <c r="S20" s="32">
        <f t="shared" si="12"/>
        <v>-0.984327193767182</v>
      </c>
      <c r="T20" s="32">
        <f t="shared" si="13"/>
        <v>0.1735634421062033</v>
      </c>
      <c r="U20" s="32">
        <f t="shared" si="14"/>
        <v>0.9995120273540129</v>
      </c>
      <c r="V20" s="32">
        <f t="shared" si="15"/>
        <v>0.03076176203305844</v>
      </c>
      <c r="W20" s="32">
        <f t="shared" si="16"/>
        <v>-0.0054241286205614836</v>
      </c>
      <c r="X20" s="32">
        <f t="shared" si="17"/>
        <v>0</v>
      </c>
      <c r="Y20" s="33">
        <f t="shared" si="18"/>
        <v>90</v>
      </c>
      <c r="Z20" s="32">
        <f t="shared" si="19"/>
        <v>0</v>
      </c>
      <c r="AA20" s="33">
        <f t="shared" si="20"/>
        <v>90</v>
      </c>
      <c r="AB20" s="32">
        <f t="shared" si="21"/>
        <v>4.336808689942018E-18</v>
      </c>
      <c r="AC20" s="33">
        <f t="shared" si="6"/>
        <v>90</v>
      </c>
    </row>
    <row r="21" spans="3:29" ht="12.75">
      <c r="C21" s="18"/>
      <c r="D21" s="19" t="s">
        <v>457</v>
      </c>
      <c r="E21" s="19" t="s">
        <v>470</v>
      </c>
      <c r="F21" s="19"/>
      <c r="G21" s="20">
        <v>67</v>
      </c>
      <c r="H21" s="20">
        <f ca="1" t="shared" si="7"/>
        <v>310</v>
      </c>
      <c r="I21" s="42">
        <f ca="1" t="shared" si="0"/>
        <v>170.856678</v>
      </c>
      <c r="J21" s="42">
        <f ca="1" t="shared" si="1"/>
        <v>-636.663145</v>
      </c>
      <c r="K21" s="42">
        <f ca="1" t="shared" si="2"/>
        <v>-61.582597</v>
      </c>
      <c r="L21" s="106">
        <f ca="1" t="shared" si="3"/>
        <v>170</v>
      </c>
      <c r="M21" s="106">
        <f ca="1" t="shared" si="4"/>
        <v>-45</v>
      </c>
      <c r="N21" s="106">
        <f ca="1" t="shared" si="5"/>
        <v>0</v>
      </c>
      <c r="O21" s="42">
        <f t="shared" si="8"/>
        <v>0.7071067811865475</v>
      </c>
      <c r="P21" s="42">
        <f t="shared" si="9"/>
        <v>0.1227878039689728</v>
      </c>
      <c r="Q21" s="32">
        <f t="shared" si="10"/>
        <v>-0.696364240320019</v>
      </c>
      <c r="R21" s="32">
        <f t="shared" si="11"/>
        <v>0</v>
      </c>
      <c r="S21" s="32">
        <f t="shared" si="12"/>
        <v>-0.984807753012208</v>
      </c>
      <c r="T21" s="32">
        <f t="shared" si="13"/>
        <v>-0.17364817766693028</v>
      </c>
      <c r="U21" s="32">
        <f t="shared" si="14"/>
        <v>0.7071067811865476</v>
      </c>
      <c r="V21" s="32">
        <f t="shared" si="15"/>
        <v>-0.12278780396897278</v>
      </c>
      <c r="W21" s="32">
        <f t="shared" si="16"/>
        <v>0.6963642403200189</v>
      </c>
      <c r="X21" s="32">
        <f t="shared" si="17"/>
        <v>0</v>
      </c>
      <c r="Y21" s="33">
        <f t="shared" si="18"/>
        <v>90</v>
      </c>
      <c r="Z21" s="32">
        <f t="shared" si="19"/>
        <v>0</v>
      </c>
      <c r="AA21" s="33">
        <f t="shared" si="20"/>
        <v>90</v>
      </c>
      <c r="AB21" s="32">
        <f t="shared" si="21"/>
        <v>0</v>
      </c>
      <c r="AC21" s="33">
        <f t="shared" si="6"/>
        <v>90</v>
      </c>
    </row>
    <row r="22" spans="3:29" ht="13.5" thickBot="1">
      <c r="C22" s="14"/>
      <c r="D22" s="15" t="s">
        <v>458</v>
      </c>
      <c r="E22" s="19" t="s">
        <v>470</v>
      </c>
      <c r="F22" s="15" t="s">
        <v>145</v>
      </c>
      <c r="G22" s="20">
        <v>70</v>
      </c>
      <c r="H22" s="20">
        <f ca="1" t="shared" si="7"/>
        <v>313</v>
      </c>
      <c r="I22" s="42">
        <f ca="1" t="shared" si="0"/>
        <v>250.856678</v>
      </c>
      <c r="J22" s="42">
        <f ca="1" t="shared" si="1"/>
        <v>-636.663145</v>
      </c>
      <c r="K22" s="42">
        <f ca="1" t="shared" si="2"/>
        <v>-61.582597</v>
      </c>
      <c r="L22" s="106">
        <f ca="1" t="shared" si="3"/>
        <v>-139.79703</v>
      </c>
      <c r="M22" s="106">
        <f ca="1" t="shared" si="4"/>
        <v>-90</v>
      </c>
      <c r="N22" s="106">
        <f ca="1" t="shared" si="5"/>
        <v>-49.79703</v>
      </c>
      <c r="O22" s="42">
        <f t="shared" si="8"/>
        <v>1</v>
      </c>
      <c r="P22" s="42">
        <f t="shared" si="9"/>
        <v>-3.954149971301882E-17</v>
      </c>
      <c r="Q22" s="32">
        <f t="shared" si="10"/>
        <v>-4.6786126596009E-17</v>
      </c>
      <c r="R22" s="32">
        <f t="shared" si="11"/>
        <v>4.6786126596009005E-17</v>
      </c>
      <c r="S22" s="32">
        <f t="shared" si="12"/>
        <v>1.6653345369377348E-16</v>
      </c>
      <c r="T22" s="32">
        <f t="shared" si="13"/>
        <v>1</v>
      </c>
      <c r="U22" s="32">
        <f t="shared" si="14"/>
        <v>3.954149971301881E-17</v>
      </c>
      <c r="V22" s="32">
        <f t="shared" si="15"/>
        <v>1</v>
      </c>
      <c r="W22" s="32">
        <f t="shared" si="16"/>
        <v>-1.6653345369377348E-16</v>
      </c>
      <c r="X22" s="32">
        <f t="shared" si="17"/>
        <v>0</v>
      </c>
      <c r="Y22" s="33">
        <f t="shared" si="18"/>
        <v>90</v>
      </c>
      <c r="Z22" s="32">
        <f t="shared" si="19"/>
        <v>1.628479424948333E-33</v>
      </c>
      <c r="AA22" s="33">
        <f t="shared" si="20"/>
        <v>90</v>
      </c>
      <c r="AB22" s="32">
        <f t="shared" si="21"/>
        <v>0</v>
      </c>
      <c r="AC22" s="33">
        <f t="shared" si="6"/>
        <v>90</v>
      </c>
    </row>
    <row r="23" spans="3:29" ht="13.5" thickBot="1">
      <c r="C23" s="19"/>
      <c r="D23" s="19" t="s">
        <v>447</v>
      </c>
      <c r="E23" s="19" t="s">
        <v>471</v>
      </c>
      <c r="F23" s="19" t="s">
        <v>110</v>
      </c>
      <c r="G23" s="20">
        <v>36</v>
      </c>
      <c r="H23" s="20">
        <f ca="1" t="shared" si="7"/>
        <v>274</v>
      </c>
      <c r="I23" s="42">
        <f ca="1" t="shared" si="22" ref="I23:I33">INDIRECT("SpecGlob"&amp;Arm&amp;"!"&amp;Xcol&amp;FIXED(Line,0))</f>
        <v>170.856678</v>
      </c>
      <c r="J23" s="42">
        <f ca="1" t="shared" si="23" ref="J23:J33">INDIRECT("SpecGlob"&amp;Arm&amp;"!"&amp;Ycol&amp;FIXED(Line,0))</f>
        <v>-234.578533</v>
      </c>
      <c r="K23" s="42">
        <f ca="1" t="shared" si="24" ref="K23:K33">INDIRECT("SpecGlob"&amp;Arm&amp;"!"&amp;Zcol&amp;FIXED(Line,0))</f>
        <v>-171.504361</v>
      </c>
      <c r="L23" s="106">
        <f ca="1" t="shared" si="25" ref="L23:L33">INDIRECT("SpecGlob"&amp;Arm&amp;"!"&amp;aCol&amp;FIXED(Line,0))</f>
        <v>-10</v>
      </c>
      <c r="M23" s="106">
        <f ca="1" t="shared" si="26" ref="M23:M33">INDIRECT("SpecGlob"&amp;Arm&amp;"!"&amp;bCol&amp;FIXED(Line,0))</f>
        <v>0</v>
      </c>
      <c r="N23" s="106">
        <f ca="1" t="shared" si="27" ref="N23:N33">INDIRECT("SpecGlob"&amp;Arm&amp;"!"&amp;cCol&amp;FIXED(Line,0))</f>
        <v>-6.22</v>
      </c>
      <c r="O23" s="42">
        <f t="shared" si="8"/>
        <v>0</v>
      </c>
      <c r="P23" s="42">
        <f t="shared" si="9"/>
        <v>-0.17364817766693033</v>
      </c>
      <c r="Q23" s="32">
        <f t="shared" si="10"/>
        <v>0.984807753012208</v>
      </c>
      <c r="R23" s="32">
        <f t="shared" si="11"/>
        <v>0.10834637327094243</v>
      </c>
      <c r="S23" s="32">
        <f t="shared" si="12"/>
        <v>0.9790103911821212</v>
      </c>
      <c r="T23" s="32">
        <f t="shared" si="13"/>
        <v>0.17262594635935663</v>
      </c>
      <c r="U23" s="32">
        <f t="shared" si="14"/>
        <v>0.9941132045189992</v>
      </c>
      <c r="V23" s="32">
        <f t="shared" si="15"/>
        <v>-0.10670034840797878</v>
      </c>
      <c r="W23" s="32">
        <f t="shared" si="16"/>
        <v>-0.018814150275320164</v>
      </c>
      <c r="X23" s="32">
        <f t="shared" si="17"/>
        <v>0</v>
      </c>
      <c r="Y23" s="33">
        <f t="shared" si="18"/>
        <v>90</v>
      </c>
      <c r="Z23" s="32">
        <f t="shared" si="19"/>
        <v>0</v>
      </c>
      <c r="AA23" s="33">
        <f t="shared" si="20"/>
        <v>90</v>
      </c>
      <c r="AB23" s="32">
        <f t="shared" si="21"/>
        <v>8.239936510889834E-18</v>
      </c>
      <c r="AC23" s="33">
        <f t="shared" si="6"/>
        <v>90</v>
      </c>
    </row>
    <row r="24" spans="3:29" ht="12.75">
      <c r="C24" s="10" t="s">
        <v>459</v>
      </c>
      <c r="D24" s="11" t="s">
        <v>448</v>
      </c>
      <c r="E24" s="11" t="s">
        <v>471</v>
      </c>
      <c r="F24" s="11" t="s">
        <v>144</v>
      </c>
      <c r="G24" s="20">
        <v>39</v>
      </c>
      <c r="H24" s="20">
        <f ca="1" t="shared" si="7"/>
        <v>277</v>
      </c>
      <c r="I24" s="42">
        <f ca="1" t="shared" si="22"/>
        <v>170.856678</v>
      </c>
      <c r="J24" s="42">
        <f ca="1" t="shared" si="23"/>
        <v>-321.398533</v>
      </c>
      <c r="K24" s="42">
        <f ca="1" t="shared" si="24"/>
        <v>-21.12771</v>
      </c>
      <c r="L24" s="106">
        <f ca="1" t="shared" si="25"/>
        <v>0</v>
      </c>
      <c r="M24" s="106">
        <f ca="1" t="shared" si="26"/>
        <v>0</v>
      </c>
      <c r="N24" s="106">
        <f ca="1" t="shared" si="27"/>
        <v>0</v>
      </c>
      <c r="O24" s="42">
        <f t="shared" si="8"/>
        <v>0</v>
      </c>
      <c r="P24" s="42">
        <f t="shared" si="9"/>
        <v>0</v>
      </c>
      <c r="Q24" s="32">
        <f t="shared" si="10"/>
        <v>1</v>
      </c>
      <c r="R24" s="32">
        <f t="shared" si="11"/>
        <v>0</v>
      </c>
      <c r="S24" s="32">
        <f t="shared" si="12"/>
        <v>1</v>
      </c>
      <c r="T24" s="32">
        <f t="shared" si="13"/>
        <v>0</v>
      </c>
      <c r="U24" s="32">
        <f t="shared" si="14"/>
        <v>1</v>
      </c>
      <c r="V24" s="32">
        <f t="shared" si="15"/>
        <v>0</v>
      </c>
      <c r="W24" s="32">
        <f t="shared" si="16"/>
        <v>0</v>
      </c>
      <c r="X24" s="32">
        <f t="shared" si="17"/>
        <v>0</v>
      </c>
      <c r="Y24" s="33">
        <f t="shared" si="18"/>
        <v>90</v>
      </c>
      <c r="Z24" s="32">
        <f t="shared" si="19"/>
        <v>0</v>
      </c>
      <c r="AA24" s="33">
        <f t="shared" si="20"/>
        <v>90</v>
      </c>
      <c r="AB24" s="32">
        <f t="shared" si="21"/>
        <v>0</v>
      </c>
      <c r="AC24" s="33">
        <f t="shared" si="6"/>
        <v>90</v>
      </c>
    </row>
    <row r="25" spans="3:29" ht="12.75">
      <c r="C25" s="18"/>
      <c r="D25" s="19" t="s">
        <v>460</v>
      </c>
      <c r="E25" s="19" t="s">
        <v>471</v>
      </c>
      <c r="F25" s="19"/>
      <c r="G25" s="20">
        <v>43</v>
      </c>
      <c r="H25" s="20">
        <f ca="1" t="shared" si="7"/>
        <v>281</v>
      </c>
      <c r="I25" s="42">
        <f ca="1" t="shared" si="22"/>
        <v>170.856678</v>
      </c>
      <c r="J25" s="42">
        <f ca="1" t="shared" si="23"/>
        <v>-407.998533</v>
      </c>
      <c r="K25" s="42">
        <f ca="1" t="shared" si="24"/>
        <v>128.86789</v>
      </c>
      <c r="L25" s="106">
        <f ca="1" t="shared" si="25"/>
        <v>-15</v>
      </c>
      <c r="M25" s="106">
        <f ca="1" t="shared" si="26"/>
        <v>0</v>
      </c>
      <c r="N25" s="106">
        <f ca="1" t="shared" si="27"/>
        <v>0</v>
      </c>
      <c r="O25" s="42">
        <f t="shared" si="8"/>
        <v>0</v>
      </c>
      <c r="P25" s="42">
        <f t="shared" si="9"/>
        <v>-0.25881904510252074</v>
      </c>
      <c r="Q25" s="32">
        <f t="shared" si="10"/>
        <v>0.9659258262890683</v>
      </c>
      <c r="R25" s="32">
        <f t="shared" si="11"/>
        <v>0</v>
      </c>
      <c r="S25" s="32">
        <f t="shared" si="12"/>
        <v>0.9659258262890683</v>
      </c>
      <c r="T25" s="32">
        <f t="shared" si="13"/>
        <v>0.25881904510252074</v>
      </c>
      <c r="U25" s="32">
        <f t="shared" si="14"/>
        <v>1</v>
      </c>
      <c r="V25" s="32">
        <f t="shared" si="15"/>
        <v>0</v>
      </c>
      <c r="W25" s="32">
        <f t="shared" si="16"/>
        <v>0</v>
      </c>
      <c r="X25" s="32">
        <f t="shared" si="17"/>
        <v>0</v>
      </c>
      <c r="Y25" s="33">
        <f t="shared" si="18"/>
        <v>90</v>
      </c>
      <c r="Z25" s="32">
        <f t="shared" si="19"/>
        <v>0</v>
      </c>
      <c r="AA25" s="33">
        <f t="shared" si="20"/>
        <v>90</v>
      </c>
      <c r="AB25" s="32">
        <f t="shared" si="21"/>
        <v>0</v>
      </c>
      <c r="AC25" s="33">
        <f t="shared" si="6"/>
        <v>90</v>
      </c>
    </row>
    <row r="26" spans="3:29" ht="12.75">
      <c r="C26" s="18"/>
      <c r="D26" s="19" t="s">
        <v>461</v>
      </c>
      <c r="E26" s="19" t="s">
        <v>471</v>
      </c>
      <c r="F26" s="19"/>
      <c r="G26" s="20">
        <v>46</v>
      </c>
      <c r="H26" s="20">
        <f ca="1" t="shared" si="7"/>
        <v>284</v>
      </c>
      <c r="I26" s="42">
        <f ca="1" t="shared" si="22"/>
        <v>170.856678</v>
      </c>
      <c r="J26" s="42">
        <f ca="1" t="shared" si="23"/>
        <v>-407.998533</v>
      </c>
      <c r="K26" s="42">
        <f ca="1" t="shared" si="24"/>
        <v>3.86789</v>
      </c>
      <c r="L26" s="106">
        <f ca="1" t="shared" si="25"/>
        <v>-45</v>
      </c>
      <c r="M26" s="106">
        <f ca="1" t="shared" si="26"/>
        <v>0</v>
      </c>
      <c r="N26" s="106">
        <f ca="1" t="shared" si="27"/>
        <v>0</v>
      </c>
      <c r="O26" s="42">
        <f t="shared" si="8"/>
        <v>0</v>
      </c>
      <c r="P26" s="42">
        <f t="shared" si="9"/>
        <v>-0.7071067811865475</v>
      </c>
      <c r="Q26" s="32">
        <f t="shared" si="10"/>
        <v>0.7071067811865476</v>
      </c>
      <c r="R26" s="32">
        <f t="shared" si="11"/>
        <v>0</v>
      </c>
      <c r="S26" s="32">
        <f t="shared" si="12"/>
        <v>0.7071067811865476</v>
      </c>
      <c r="T26" s="32">
        <f t="shared" si="13"/>
        <v>0.7071067811865475</v>
      </c>
      <c r="U26" s="32">
        <f t="shared" si="14"/>
        <v>1</v>
      </c>
      <c r="V26" s="32">
        <f t="shared" si="15"/>
        <v>0</v>
      </c>
      <c r="W26" s="32">
        <f t="shared" si="16"/>
        <v>0</v>
      </c>
      <c r="X26" s="32">
        <f t="shared" si="17"/>
        <v>0</v>
      </c>
      <c r="Y26" s="33">
        <f t="shared" si="18"/>
        <v>90</v>
      </c>
      <c r="Z26" s="32">
        <f t="shared" si="19"/>
        <v>0</v>
      </c>
      <c r="AA26" s="33">
        <f t="shared" si="20"/>
        <v>90</v>
      </c>
      <c r="AB26" s="32">
        <f t="shared" si="21"/>
        <v>0</v>
      </c>
      <c r="AC26" s="33">
        <f t="shared" si="6"/>
        <v>90</v>
      </c>
    </row>
    <row r="27" spans="3:29" ht="12.75">
      <c r="C27" s="18"/>
      <c r="D27" s="19" t="s">
        <v>462</v>
      </c>
      <c r="E27" s="19" t="s">
        <v>471</v>
      </c>
      <c r="F27" s="19"/>
      <c r="G27" s="20">
        <v>51</v>
      </c>
      <c r="H27" s="20">
        <f ca="1" t="shared" si="7"/>
        <v>289</v>
      </c>
      <c r="I27" s="42">
        <f ca="1" t="shared" si="22"/>
        <v>170.856678</v>
      </c>
      <c r="J27" s="42">
        <f ca="1" t="shared" si="23"/>
        <v>-457.998533</v>
      </c>
      <c r="K27" s="42">
        <f ca="1" t="shared" si="24"/>
        <v>3.86789</v>
      </c>
      <c r="L27" s="106">
        <f ca="1" t="shared" si="25"/>
        <v>-135</v>
      </c>
      <c r="M27" s="106">
        <f ca="1" t="shared" si="26"/>
        <v>-45</v>
      </c>
      <c r="N27" s="106">
        <f ca="1" t="shared" si="27"/>
        <v>0</v>
      </c>
      <c r="O27" s="42">
        <f t="shared" si="8"/>
        <v>0.7071067811865475</v>
      </c>
      <c r="P27" s="42">
        <f t="shared" si="9"/>
        <v>-0.5000000000000001</v>
      </c>
      <c r="Q27" s="32">
        <f t="shared" si="10"/>
        <v>-0.5</v>
      </c>
      <c r="R27" s="32">
        <f t="shared" si="11"/>
        <v>0</v>
      </c>
      <c r="S27" s="32">
        <f t="shared" si="12"/>
        <v>-0.7071067811865475</v>
      </c>
      <c r="T27" s="32">
        <f t="shared" si="13"/>
        <v>0.7071067811865476</v>
      </c>
      <c r="U27" s="32">
        <f t="shared" si="14"/>
        <v>0.7071067811865476</v>
      </c>
      <c r="V27" s="32">
        <f t="shared" si="15"/>
        <v>0.5</v>
      </c>
      <c r="W27" s="32">
        <f t="shared" si="16"/>
        <v>0.4999999999999999</v>
      </c>
      <c r="X27" s="32">
        <f t="shared" si="17"/>
        <v>0</v>
      </c>
      <c r="Y27" s="33">
        <f t="shared" si="18"/>
        <v>90</v>
      </c>
      <c r="Z27" s="32">
        <f t="shared" si="19"/>
        <v>0</v>
      </c>
      <c r="AA27" s="33">
        <f t="shared" si="20"/>
        <v>90</v>
      </c>
      <c r="AB27" s="32">
        <f t="shared" si="21"/>
        <v>0</v>
      </c>
      <c r="AC27" s="33">
        <f t="shared" si="6"/>
        <v>90</v>
      </c>
    </row>
    <row r="28" spans="3:29" ht="12.75">
      <c r="C28" s="18"/>
      <c r="D28" s="19" t="s">
        <v>463</v>
      </c>
      <c r="E28" s="19" t="s">
        <v>471</v>
      </c>
      <c r="F28" s="19"/>
      <c r="G28" s="20">
        <v>53</v>
      </c>
      <c r="H28" s="20">
        <f ca="1" t="shared" si="7"/>
        <v>291</v>
      </c>
      <c r="I28" s="42">
        <f ca="1" t="shared" si="22"/>
        <v>170.856678</v>
      </c>
      <c r="J28" s="42">
        <f ca="1" t="shared" si="23"/>
        <v>-457.998533</v>
      </c>
      <c r="K28" s="42">
        <f ca="1" t="shared" si="24"/>
        <v>3.86789</v>
      </c>
      <c r="L28" s="106">
        <f ca="1" t="shared" si="25"/>
        <v>-135</v>
      </c>
      <c r="M28" s="106">
        <f ca="1" t="shared" si="26"/>
        <v>45</v>
      </c>
      <c r="N28" s="106">
        <f ca="1" t="shared" si="27"/>
        <v>0</v>
      </c>
      <c r="O28" s="42">
        <f t="shared" si="8"/>
        <v>-0.7071067811865475</v>
      </c>
      <c r="P28" s="42">
        <f t="shared" si="9"/>
        <v>-0.5000000000000001</v>
      </c>
      <c r="Q28" s="32">
        <f t="shared" si="10"/>
        <v>-0.5</v>
      </c>
      <c r="R28" s="32">
        <f t="shared" si="11"/>
        <v>0</v>
      </c>
      <c r="S28" s="32">
        <f t="shared" si="12"/>
        <v>-0.7071067811865475</v>
      </c>
      <c r="T28" s="32">
        <f t="shared" si="13"/>
        <v>0.7071067811865476</v>
      </c>
      <c r="U28" s="32">
        <f t="shared" si="14"/>
        <v>0.7071067811865476</v>
      </c>
      <c r="V28" s="32">
        <f t="shared" si="15"/>
        <v>-0.5</v>
      </c>
      <c r="W28" s="32">
        <f t="shared" si="16"/>
        <v>-0.4999999999999999</v>
      </c>
      <c r="X28" s="32">
        <f t="shared" si="17"/>
        <v>0</v>
      </c>
      <c r="Y28" s="33">
        <f t="shared" si="18"/>
        <v>90</v>
      </c>
      <c r="Z28" s="32">
        <f t="shared" si="19"/>
        <v>0</v>
      </c>
      <c r="AA28" s="33">
        <f t="shared" si="20"/>
        <v>90</v>
      </c>
      <c r="AB28" s="32">
        <f t="shared" si="21"/>
        <v>0</v>
      </c>
      <c r="AC28" s="33">
        <f t="shared" si="6"/>
        <v>90</v>
      </c>
    </row>
    <row r="29" spans="3:29" ht="12.75">
      <c r="C29" s="18"/>
      <c r="D29" s="19" t="s">
        <v>464</v>
      </c>
      <c r="E29" s="19" t="s">
        <v>471</v>
      </c>
      <c r="F29" s="19"/>
      <c r="G29" s="20">
        <v>56</v>
      </c>
      <c r="H29" s="20">
        <f ca="1" t="shared" si="7"/>
        <v>294</v>
      </c>
      <c r="I29" s="42">
        <f ca="1" t="shared" si="22"/>
        <v>170.856678</v>
      </c>
      <c r="J29" s="42">
        <f ca="1" t="shared" si="23"/>
        <v>-457.998533</v>
      </c>
      <c r="K29" s="42">
        <f ca="1" t="shared" si="24"/>
        <v>128.86789</v>
      </c>
      <c r="L29" s="106">
        <f ca="1" t="shared" si="25"/>
        <v>-165</v>
      </c>
      <c r="M29" s="106">
        <f ca="1" t="shared" si="26"/>
        <v>0</v>
      </c>
      <c r="N29" s="106">
        <f ca="1" t="shared" si="27"/>
        <v>0</v>
      </c>
      <c r="O29" s="42">
        <f t="shared" si="8"/>
        <v>0</v>
      </c>
      <c r="P29" s="42">
        <f t="shared" si="9"/>
        <v>-0.258819045102521</v>
      </c>
      <c r="Q29" s="32">
        <f t="shared" si="10"/>
        <v>-0.9659258262890682</v>
      </c>
      <c r="R29" s="32">
        <f t="shared" si="11"/>
        <v>0</v>
      </c>
      <c r="S29" s="32">
        <f t="shared" si="12"/>
        <v>-0.9659258262890682</v>
      </c>
      <c r="T29" s="32">
        <f t="shared" si="13"/>
        <v>0.258819045102521</v>
      </c>
      <c r="U29" s="32">
        <f t="shared" si="14"/>
        <v>1</v>
      </c>
      <c r="V29" s="32">
        <f t="shared" si="15"/>
        <v>0</v>
      </c>
      <c r="W29" s="32">
        <f t="shared" si="16"/>
        <v>0</v>
      </c>
      <c r="X29" s="32">
        <f t="shared" si="17"/>
        <v>0</v>
      </c>
      <c r="Y29" s="33">
        <f t="shared" si="18"/>
        <v>90</v>
      </c>
      <c r="Z29" s="32">
        <f t="shared" si="19"/>
        <v>0</v>
      </c>
      <c r="AA29" s="33">
        <f t="shared" si="20"/>
        <v>90</v>
      </c>
      <c r="AB29" s="32">
        <f t="shared" si="21"/>
        <v>0</v>
      </c>
      <c r="AC29" s="33">
        <f t="shared" si="6"/>
        <v>90</v>
      </c>
    </row>
    <row r="30" spans="3:29" ht="12.75">
      <c r="C30" s="18"/>
      <c r="D30" s="19" t="s">
        <v>454</v>
      </c>
      <c r="E30" s="19" t="s">
        <v>471</v>
      </c>
      <c r="F30" s="19"/>
      <c r="G30" s="20">
        <v>60</v>
      </c>
      <c r="H30" s="20">
        <f ca="1" t="shared" si="7"/>
        <v>298</v>
      </c>
      <c r="I30" s="42">
        <f ca="1" t="shared" si="22"/>
        <v>170.856678</v>
      </c>
      <c r="J30" s="42">
        <f ca="1" t="shared" si="23"/>
        <v>-544.598533</v>
      </c>
      <c r="K30" s="42">
        <f ca="1" t="shared" si="24"/>
        <v>-21.12771</v>
      </c>
      <c r="L30" s="106">
        <f ca="1" t="shared" si="25"/>
        <v>180</v>
      </c>
      <c r="M30" s="106">
        <f ca="1" t="shared" si="26"/>
        <v>0</v>
      </c>
      <c r="N30" s="106">
        <f ca="1" t="shared" si="27"/>
        <v>-8.54E-07</v>
      </c>
      <c r="O30" s="42">
        <f t="shared" si="8"/>
        <v>0</v>
      </c>
      <c r="P30" s="42">
        <f t="shared" si="9"/>
        <v>1.22514845490862E-16</v>
      </c>
      <c r="Q30" s="32">
        <f t="shared" si="10"/>
        <v>-1</v>
      </c>
      <c r="R30" s="32">
        <f t="shared" si="11"/>
        <v>1.4905111812031573E-08</v>
      </c>
      <c r="S30" s="32">
        <f t="shared" si="12"/>
        <v>-0.9999999999999999</v>
      </c>
      <c r="T30" s="32">
        <f t="shared" si="13"/>
        <v>-1.2251484549086198E-16</v>
      </c>
      <c r="U30" s="32">
        <f t="shared" si="14"/>
        <v>0.9999999999999999</v>
      </c>
      <c r="V30" s="32">
        <f t="shared" si="15"/>
        <v>1.4905111812031573E-08</v>
      </c>
      <c r="W30" s="32">
        <f t="shared" si="16"/>
        <v>1.8260974706750705E-24</v>
      </c>
      <c r="X30" s="32">
        <f t="shared" si="17"/>
        <v>0</v>
      </c>
      <c r="Y30" s="33">
        <f t="shared" si="18"/>
        <v>90</v>
      </c>
      <c r="Z30" s="32">
        <f t="shared" si="19"/>
        <v>0</v>
      </c>
      <c r="AA30" s="33">
        <f t="shared" si="20"/>
        <v>90</v>
      </c>
      <c r="AB30" s="32">
        <f t="shared" si="21"/>
        <v>-2.237240494710101E-40</v>
      </c>
      <c r="AC30" s="33">
        <f t="shared" si="6"/>
        <v>90</v>
      </c>
    </row>
    <row r="31" spans="3:29" ht="12.75">
      <c r="C31" s="18"/>
      <c r="D31" s="19" t="s">
        <v>465</v>
      </c>
      <c r="E31" s="19" t="s">
        <v>471</v>
      </c>
      <c r="F31" s="19"/>
      <c r="G31" s="20">
        <v>63</v>
      </c>
      <c r="H31" s="20">
        <f ca="1" t="shared" si="7"/>
        <v>301</v>
      </c>
      <c r="I31" s="42">
        <f ca="1" t="shared" si="22"/>
        <v>170.856678</v>
      </c>
      <c r="J31" s="42">
        <f ca="1" t="shared" si="23"/>
        <v>-620.588533</v>
      </c>
      <c r="K31" s="42">
        <f ca="1" t="shared" si="24"/>
        <v>110.490831</v>
      </c>
      <c r="L31" s="106">
        <f ca="1" t="shared" si="25"/>
        <v>170</v>
      </c>
      <c r="M31" s="106">
        <f ca="1" t="shared" si="26"/>
        <v>0</v>
      </c>
      <c r="N31" s="106">
        <f ca="1" t="shared" si="27"/>
        <v>-1.79</v>
      </c>
      <c r="O31" s="42">
        <f t="shared" si="8"/>
        <v>0</v>
      </c>
      <c r="P31" s="42">
        <f t="shared" si="9"/>
        <v>0.17364817766693028</v>
      </c>
      <c r="Q31" s="32">
        <f t="shared" si="10"/>
        <v>-0.984807753012208</v>
      </c>
      <c r="R31" s="32">
        <f t="shared" si="11"/>
        <v>0.031236311796864077</v>
      </c>
      <c r="S31" s="32">
        <f t="shared" si="12"/>
        <v>-0.984327193767182</v>
      </c>
      <c r="T31" s="32">
        <f t="shared" si="13"/>
        <v>-0.1735634421062033</v>
      </c>
      <c r="U31" s="32">
        <f t="shared" si="14"/>
        <v>0.9995120273540129</v>
      </c>
      <c r="V31" s="32">
        <f t="shared" si="15"/>
        <v>0.03076176203305844</v>
      </c>
      <c r="W31" s="32">
        <f t="shared" si="16"/>
        <v>0.0054241286205614836</v>
      </c>
      <c r="X31" s="32">
        <f t="shared" si="17"/>
        <v>0</v>
      </c>
      <c r="Y31" s="33">
        <f t="shared" si="18"/>
        <v>90</v>
      </c>
      <c r="Z31" s="32">
        <f t="shared" si="19"/>
        <v>0</v>
      </c>
      <c r="AA31" s="33">
        <f t="shared" si="20"/>
        <v>90</v>
      </c>
      <c r="AB31" s="32">
        <f t="shared" si="21"/>
        <v>4.336808689942018E-18</v>
      </c>
      <c r="AC31" s="33">
        <f t="shared" si="6"/>
        <v>90</v>
      </c>
    </row>
    <row r="32" spans="3:29" ht="12.75">
      <c r="C32" s="18"/>
      <c r="D32" s="19" t="s">
        <v>466</v>
      </c>
      <c r="E32" s="19" t="s">
        <v>471</v>
      </c>
      <c r="F32" s="19"/>
      <c r="G32" s="20">
        <v>67</v>
      </c>
      <c r="H32" s="20">
        <f ca="1" t="shared" si="7"/>
        <v>305</v>
      </c>
      <c r="I32" s="42">
        <f ca="1" t="shared" si="22"/>
        <v>170.856678</v>
      </c>
      <c r="J32" s="42">
        <f ca="1" t="shared" si="23"/>
        <v>-636.663145</v>
      </c>
      <c r="K32" s="42">
        <f ca="1" t="shared" si="24"/>
        <v>19.327177</v>
      </c>
      <c r="L32" s="106">
        <f ca="1" t="shared" si="25"/>
        <v>-170</v>
      </c>
      <c r="M32" s="106">
        <f ca="1" t="shared" si="26"/>
        <v>45</v>
      </c>
      <c r="N32" s="106">
        <f ca="1" t="shared" si="27"/>
        <v>0</v>
      </c>
      <c r="O32" s="42">
        <f t="shared" si="8"/>
        <v>-0.7071067811865475</v>
      </c>
      <c r="P32" s="42">
        <f t="shared" si="9"/>
        <v>-0.1227878039689728</v>
      </c>
      <c r="Q32" s="32">
        <f t="shared" si="10"/>
        <v>-0.696364240320019</v>
      </c>
      <c r="R32" s="32">
        <f t="shared" si="11"/>
        <v>0</v>
      </c>
      <c r="S32" s="32">
        <f t="shared" si="12"/>
        <v>-0.984807753012208</v>
      </c>
      <c r="T32" s="32">
        <f t="shared" si="13"/>
        <v>0.17364817766693028</v>
      </c>
      <c r="U32" s="32">
        <f t="shared" si="14"/>
        <v>0.7071067811865476</v>
      </c>
      <c r="V32" s="32">
        <f t="shared" si="15"/>
        <v>-0.12278780396897278</v>
      </c>
      <c r="W32" s="32">
        <f t="shared" si="16"/>
        <v>-0.6963642403200189</v>
      </c>
      <c r="X32" s="32">
        <f t="shared" si="17"/>
        <v>0</v>
      </c>
      <c r="Y32" s="33">
        <f t="shared" si="18"/>
        <v>90</v>
      </c>
      <c r="Z32" s="32">
        <f t="shared" si="19"/>
        <v>0</v>
      </c>
      <c r="AA32" s="33">
        <f t="shared" si="20"/>
        <v>90</v>
      </c>
      <c r="AB32" s="32">
        <f t="shared" si="21"/>
        <v>0</v>
      </c>
      <c r="AC32" s="33">
        <f t="shared" si="6"/>
        <v>90</v>
      </c>
    </row>
    <row r="33" spans="3:29" ht="13.5" thickBot="1">
      <c r="C33" s="14"/>
      <c r="D33" s="15" t="s">
        <v>467</v>
      </c>
      <c r="E33" s="15" t="s">
        <v>471</v>
      </c>
      <c r="F33" s="15" t="s">
        <v>145</v>
      </c>
      <c r="G33" s="20">
        <v>70</v>
      </c>
      <c r="H33" s="20">
        <f ca="1" t="shared" si="7"/>
        <v>308</v>
      </c>
      <c r="I33" s="42">
        <f ca="1" t="shared" si="22"/>
        <v>250.856678</v>
      </c>
      <c r="J33" s="42">
        <f ca="1" t="shared" si="23"/>
        <v>-636.663145</v>
      </c>
      <c r="K33" s="42">
        <f ca="1" t="shared" si="24"/>
        <v>19.327177</v>
      </c>
      <c r="L33" s="106">
        <f ca="1" t="shared" si="25"/>
        <v>82.43122</v>
      </c>
      <c r="M33" s="106">
        <f ca="1" t="shared" si="26"/>
        <v>90</v>
      </c>
      <c r="N33" s="106">
        <f ca="1" t="shared" si="27"/>
        <v>-108.3757</v>
      </c>
      <c r="O33" s="42">
        <f t="shared" si="8"/>
        <v>-1</v>
      </c>
      <c r="P33" s="42">
        <f t="shared" si="9"/>
        <v>6.072371490880867E-17</v>
      </c>
      <c r="Q33" s="32">
        <f t="shared" si="10"/>
        <v>8.06859895435232E-18</v>
      </c>
      <c r="R33" s="32">
        <f t="shared" si="11"/>
        <v>5.813389437311769E-17</v>
      </c>
      <c r="S33" s="32">
        <f t="shared" si="12"/>
        <v>0.8992184088829943</v>
      </c>
      <c r="T33" s="32">
        <f t="shared" si="13"/>
        <v>0.4375000035724983</v>
      </c>
      <c r="U33" s="32">
        <f t="shared" si="14"/>
        <v>-1.9311192775891474E-17</v>
      </c>
      <c r="V33" s="32">
        <f t="shared" si="15"/>
        <v>-0.4375000035724983</v>
      </c>
      <c r="W33" s="32">
        <f t="shared" si="16"/>
        <v>0.8992184088829943</v>
      </c>
      <c r="X33" s="32">
        <f t="shared" si="17"/>
        <v>0</v>
      </c>
      <c r="Y33" s="33">
        <f t="shared" si="18"/>
        <v>90</v>
      </c>
      <c r="Z33" s="32">
        <f t="shared" si="19"/>
        <v>0</v>
      </c>
      <c r="AA33" s="33">
        <f t="shared" si="20"/>
        <v>90</v>
      </c>
      <c r="AB33" s="32">
        <f t="shared" si="21"/>
        <v>0</v>
      </c>
      <c r="AC33" s="33">
        <f t="shared" si="6"/>
        <v>90</v>
      </c>
    </row>
    <row r="34" spans="3:6" ht="12.75">
      <c r="C34" s="19"/>
      <c r="D34" s="19"/>
      <c r="E34" s="19"/>
      <c r="F34" s="19"/>
    </row>
    <row r="35" spans="3:6" ht="12.75">
      <c r="C35" s="19"/>
      <c r="D35" s="19"/>
      <c r="E35" s="19"/>
      <c r="F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6" ht="12.75">
      <c r="C40" s="19"/>
      <c r="D40" s="19"/>
      <c r="E40" s="19"/>
      <c r="F40" s="19"/>
    </row>
    <row r="41" spans="3:6" ht="12.75">
      <c r="C41" s="19"/>
      <c r="D41" s="19"/>
      <c r="E41" s="19"/>
      <c r="F41" s="19"/>
    </row>
    <row r="42" spans="3:6" ht="12.75">
      <c r="C42" s="19"/>
      <c r="D42" s="19"/>
      <c r="E42" s="19"/>
      <c r="F42" s="19"/>
    </row>
    <row r="43" spans="3:6" ht="12.75">
      <c r="C43" s="19"/>
      <c r="D43" s="19"/>
      <c r="E43" s="19"/>
      <c r="F43" s="19"/>
    </row>
    <row r="44" spans="3:6" ht="12.75">
      <c r="C44" s="19"/>
      <c r="D44" s="19"/>
      <c r="E44" s="19"/>
      <c r="F44" s="19"/>
    </row>
    <row r="45" spans="3:6" ht="12.75">
      <c r="C45" s="19"/>
      <c r="D45" s="19"/>
      <c r="E45" s="19"/>
      <c r="F45" s="19"/>
    </row>
    <row r="46" spans="3:6" ht="12.75">
      <c r="C46" s="19"/>
      <c r="D46" s="19"/>
      <c r="E46" s="19"/>
      <c r="F46" s="19"/>
    </row>
    <row r="47" spans="3:6" ht="12.75">
      <c r="C47" s="19"/>
      <c r="D47" s="19"/>
      <c r="E47" s="19"/>
      <c r="F47" s="19"/>
    </row>
    <row r="48" spans="3:6" ht="12.75">
      <c r="C48" s="19"/>
      <c r="D48" s="19"/>
      <c r="E48" s="19"/>
      <c r="F48" s="19"/>
    </row>
  </sheetData>
  <printOptions/>
  <pageMargins left="0.6" right="0.4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O48"/>
  <sheetViews>
    <sheetView workbookViewId="0" topLeftCell="A1">
      <selection activeCell="G1" sqref="G1:O16384"/>
    </sheetView>
  </sheetViews>
  <sheetFormatPr defaultColWidth="12" defaultRowHeight="12.75"/>
  <cols>
    <col min="1" max="2" width="12" style="1" customWidth="1"/>
    <col min="3" max="3" width="20.16015625" style="1" customWidth="1"/>
    <col min="4" max="6" width="12" style="1" customWidth="1"/>
    <col min="7" max="9" width="10.83203125" style="21" customWidth="1"/>
    <col min="10" max="15" width="12" style="19" customWidth="1"/>
    <col min="16" max="16384" width="12" style="1" customWidth="1"/>
  </cols>
  <sheetData>
    <row r="1" spans="3:15" s="5" customFormat="1" ht="12.75">
      <c r="C1" s="5" t="s">
        <v>111</v>
      </c>
      <c r="D1" s="5" t="s">
        <v>2</v>
      </c>
      <c r="E1" s="5" t="s">
        <v>469</v>
      </c>
      <c r="F1" s="5" t="s">
        <v>143</v>
      </c>
      <c r="G1" s="29" t="s">
        <v>4</v>
      </c>
      <c r="H1" s="29" t="s">
        <v>5</v>
      </c>
      <c r="I1" s="29" t="s">
        <v>6</v>
      </c>
      <c r="J1" s="27" t="s">
        <v>31</v>
      </c>
      <c r="K1" s="27" t="s">
        <v>32</v>
      </c>
      <c r="L1" s="27" t="s">
        <v>33</v>
      </c>
      <c r="M1" s="27" t="s">
        <v>34</v>
      </c>
      <c r="N1" s="27" t="s">
        <v>35</v>
      </c>
      <c r="O1" s="27" t="s">
        <v>36</v>
      </c>
    </row>
    <row r="2" spans="4:15" ht="13.5" thickBot="1">
      <c r="D2" s="1" t="s">
        <v>91</v>
      </c>
      <c r="E2" s="1" t="s">
        <v>470</v>
      </c>
      <c r="F2" s="1" t="s">
        <v>110</v>
      </c>
      <c r="G2" s="21">
        <f>X0-RayImpactsSyno!Zgut</f>
        <v>3252.162</v>
      </c>
      <c r="H2" s="21">
        <f>Y0+RayImpactsSyno!Xgut</f>
        <v>41.140746</v>
      </c>
      <c r="I2" s="21">
        <f>Z0+RayImpactsSyno!Ygut</f>
        <v>61.187248</v>
      </c>
      <c r="J2" s="21">
        <f>X0-RayImpactsSyno!ZM3cent</f>
        <v>3252.162</v>
      </c>
      <c r="K2" s="21">
        <f>Y0+RayImpactsSyno!XM3cent</f>
        <v>12.75945</v>
      </c>
      <c r="L2" s="21">
        <f>Z0+RayImpactsSyno!YM3cent</f>
        <v>62.305383</v>
      </c>
      <c r="M2" s="21">
        <f>X0-RayImpactsSyno!ZM5cent</f>
        <v>3252.162</v>
      </c>
      <c r="N2" s="21">
        <f>Y0+RayImpactsSyno!XM5cent</f>
        <v>13.817514</v>
      </c>
      <c r="O2" s="21">
        <f>Z0+RayImpactsSyno!YM5cent</f>
        <v>60.298241</v>
      </c>
    </row>
    <row r="3" spans="3:15" ht="12.75">
      <c r="C3" s="10" t="s">
        <v>108</v>
      </c>
      <c r="D3" s="11" t="s">
        <v>92</v>
      </c>
      <c r="E3" s="11" t="s">
        <v>470</v>
      </c>
      <c r="F3" s="11"/>
      <c r="G3" s="21">
        <f>X0-RayImpactsSyno!Zgut</f>
        <v>1252.785036</v>
      </c>
      <c r="H3" s="21">
        <f>Y0+RayImpactsSyno!Xgut</f>
        <v>36.848567</v>
      </c>
      <c r="I3" s="21">
        <f>Z0+RayImpactsSyno!Ygut</f>
        <v>54.803634</v>
      </c>
      <c r="J3" s="21">
        <f>X0-RayImpactsSyno!ZM3cent</f>
        <v>1252.625517</v>
      </c>
      <c r="K3" s="21">
        <f>Y0+RayImpactsSyno!XM3cent</f>
        <v>11.427923</v>
      </c>
      <c r="L3" s="21">
        <f>Z0+RayImpactsSyno!YM3cent</f>
        <v>55.803431</v>
      </c>
      <c r="M3" s="21">
        <f>X0-RayImpactsSyno!ZM5cent</f>
        <v>1252.600535</v>
      </c>
      <c r="N3" s="21">
        <f>Y0+RayImpactsSyno!XM5cent</f>
        <v>12.375513</v>
      </c>
      <c r="O3" s="21">
        <f>Z0+RayImpactsSyno!YM5cent</f>
        <v>54.005491</v>
      </c>
    </row>
    <row r="4" spans="3:15" ht="13.5" thickBot="1">
      <c r="C4" s="14"/>
      <c r="D4" s="15" t="s">
        <v>93</v>
      </c>
      <c r="E4" s="15" t="s">
        <v>470</v>
      </c>
      <c r="F4" s="15"/>
      <c r="G4" s="21">
        <f>X0-RayImpactsSyno!Zgut</f>
        <v>2840.131</v>
      </c>
      <c r="H4" s="21">
        <f>Y0+RayImpactsSyno!Xgut</f>
        <v>3.77E-13</v>
      </c>
      <c r="I4" s="21">
        <f>Z0+RayImpactsSyno!Ygut</f>
        <v>-3.62E-13</v>
      </c>
      <c r="J4" s="21">
        <f>X0-RayImpactsSyno!ZM3cent</f>
        <v>2840.131</v>
      </c>
      <c r="K4" s="21">
        <f>Y0+RayImpactsSyno!XM3cent</f>
        <v>3.55E-15</v>
      </c>
      <c r="L4" s="21">
        <f>Z0+RayImpactsSyno!YM3cent</f>
        <v>1.42E-14</v>
      </c>
      <c r="M4" s="21">
        <f>X0-RayImpactsSyno!ZM5cent</f>
        <v>2840.131</v>
      </c>
      <c r="N4" s="21">
        <f>Y0+RayImpactsSyno!XM5cent</f>
        <v>1.78E-15</v>
      </c>
      <c r="O4" s="21">
        <f>Z0+RayImpactsSyno!YM5cent</f>
        <v>-7.11E-15</v>
      </c>
    </row>
    <row r="5" spans="3:15" ht="12.75">
      <c r="C5" s="10" t="s">
        <v>109</v>
      </c>
      <c r="D5" s="11" t="s">
        <v>94</v>
      </c>
      <c r="E5" s="11" t="s">
        <v>470</v>
      </c>
      <c r="F5" s="11" t="s">
        <v>144</v>
      </c>
      <c r="G5" s="21">
        <f>X0-RayImpactsSyno!Zgut</f>
        <v>241.659771</v>
      </c>
      <c r="H5" s="21">
        <f>Y0+RayImpactsSyno!Xgut</f>
        <v>-60.320777</v>
      </c>
      <c r="I5" s="21">
        <f>Z0+RayImpactsSyno!Ygut</f>
        <v>-89.713062</v>
      </c>
      <c r="J5" s="21">
        <f>X0-RayImpactsSyno!ZM3cent</f>
        <v>230.68079</v>
      </c>
      <c r="K5" s="21">
        <f>Y0+RayImpactsSyno!XM3cent</f>
        <v>-18.784562</v>
      </c>
      <c r="L5" s="21">
        <f>Z0+RayImpactsSyno!YM3cent</f>
        <v>-91.72647</v>
      </c>
      <c r="M5" s="21">
        <f>X0-RayImpactsSyno!ZM5cent</f>
        <v>229.022003</v>
      </c>
      <c r="N5" s="21">
        <f>Y0+RayImpactsSyno!XM5cent</f>
        <v>-20.354767</v>
      </c>
      <c r="O5" s="21">
        <f>Z0+RayImpactsSyno!YM5cent</f>
        <v>-88.826152</v>
      </c>
    </row>
    <row r="6" spans="3:15" ht="12.75">
      <c r="C6" s="18"/>
      <c r="D6" s="19" t="s">
        <v>95</v>
      </c>
      <c r="E6" s="19" t="s">
        <v>470</v>
      </c>
      <c r="F6" s="19"/>
      <c r="G6" s="21">
        <f>X0-RayImpactsSyno!Zgut</f>
        <v>136.530948</v>
      </c>
      <c r="H6" s="21">
        <f>Y0+RayImpactsSyno!Xgut</f>
        <v>-62.761232</v>
      </c>
      <c r="I6" s="21">
        <f>Z0+RayImpactsSyno!Ygut</f>
        <v>-93.342669</v>
      </c>
      <c r="J6" s="21">
        <f>X0-RayImpactsSyno!ZM3cent</f>
        <v>131.229806</v>
      </c>
      <c r="K6" s="21">
        <f>Y0+RayImpactsSyno!XM3cent</f>
        <v>-19.500476</v>
      </c>
      <c r="L6" s="21">
        <f>Z0+RayImpactsSyno!YM3cent</f>
        <v>-95.222336</v>
      </c>
      <c r="M6" s="21">
        <f>X0-RayImpactsSyno!ZM5cent</f>
        <v>132.089046</v>
      </c>
      <c r="N6" s="21">
        <f>Y0+RayImpactsSyno!XM5cent</f>
        <v>-21.110403</v>
      </c>
      <c r="O6" s="21">
        <f>Z0+RayImpactsSyno!YM5cent</f>
        <v>-92.123671</v>
      </c>
    </row>
    <row r="7" spans="3:15" ht="12.75">
      <c r="C7" s="18"/>
      <c r="D7" s="19" t="s">
        <v>97</v>
      </c>
      <c r="E7" s="19" t="s">
        <v>470</v>
      </c>
      <c r="F7" s="19"/>
      <c r="G7" s="21">
        <f>X0-RayImpactsSyno!Zgut</f>
        <v>316.03790200000003</v>
      </c>
      <c r="H7" s="21">
        <f>Y0+RayImpactsSyno!Xgut</f>
        <v>0.23026</v>
      </c>
      <c r="I7" s="21">
        <f>Z0+RayImpactsSyno!Ygut</f>
        <v>-200.363128</v>
      </c>
      <c r="J7" s="21">
        <f>X0-RayImpactsSyno!ZM3cent</f>
        <v>316.117194</v>
      </c>
      <c r="K7" s="21">
        <f>Y0+RayImpactsSyno!XM3cent</f>
        <v>-0.002619</v>
      </c>
      <c r="L7" s="21">
        <f>Z0+RayImpactsSyno!YM3cent</f>
        <v>-200.11827</v>
      </c>
      <c r="M7" s="21">
        <f>X0-RayImpactsSyno!ZM5cent</f>
        <v>316.115744</v>
      </c>
      <c r="N7" s="21">
        <f>Y0+RayImpactsSyno!XM5cent</f>
        <v>0.00704</v>
      </c>
      <c r="O7" s="21">
        <f>Z0+RayImpactsSyno!YM5cent</f>
        <v>-200.122747</v>
      </c>
    </row>
    <row r="8" spans="3:15" ht="13.5" thickBot="1">
      <c r="C8" s="14"/>
      <c r="D8" s="15" t="s">
        <v>98</v>
      </c>
      <c r="E8" s="15" t="s">
        <v>470</v>
      </c>
      <c r="F8" s="15"/>
      <c r="G8" s="21">
        <f>X0-RayImpactsSyno!Zgut</f>
        <v>125.120751</v>
      </c>
      <c r="H8" s="21">
        <f>Y0+RayImpactsSyno!Xgut</f>
        <v>58.002151</v>
      </c>
      <c r="I8" s="21">
        <f>Z0+RayImpactsSyno!Ygut</f>
        <v>-183.378714</v>
      </c>
      <c r="J8" s="21">
        <f>X0-RayImpactsSyno!ZM3cent</f>
        <v>120.717899</v>
      </c>
      <c r="K8" s="21">
        <f>Y0+RayImpactsSyno!XM3cent</f>
        <v>18.0297</v>
      </c>
      <c r="L8" s="21">
        <f>Z0+RayImpactsSyno!YM3cent</f>
        <v>-178.482563</v>
      </c>
      <c r="M8" s="21">
        <f>X0-RayImpactsSyno!ZM5cent</f>
        <v>120.054658</v>
      </c>
      <c r="N8" s="21">
        <f>Y0+RayImpactsSyno!XM5cent</f>
        <v>19.499867</v>
      </c>
      <c r="O8" s="21">
        <f>Z0+RayImpactsSyno!YM5cent</f>
        <v>-181.314796</v>
      </c>
    </row>
    <row r="9" spans="3:15" ht="12.75">
      <c r="C9" s="10" t="s">
        <v>443</v>
      </c>
      <c r="D9" s="11" t="s">
        <v>444</v>
      </c>
      <c r="E9" s="11" t="s">
        <v>470</v>
      </c>
      <c r="F9" s="11"/>
      <c r="G9" s="21">
        <f>X0-RayImpactsSyno!Zgut</f>
        <v>306.147395</v>
      </c>
      <c r="H9" s="21">
        <f>Y0+RayImpactsSyno!Xgut</f>
        <v>33.819252</v>
      </c>
      <c r="I9" s="21">
        <f>Z0+RayImpactsSyno!Ygut</f>
        <v>-263.978028</v>
      </c>
      <c r="J9" s="21">
        <f>X0-RayImpactsSyno!ZM3cent</f>
        <v>95.212653</v>
      </c>
      <c r="K9" s="21">
        <f>Y0+RayImpactsSyno!XM3cent</f>
        <v>15.521875</v>
      </c>
      <c r="L9" s="21">
        <f>Z0+RayImpactsSyno!YM3cent</f>
        <v>-277.506548</v>
      </c>
      <c r="M9" s="21">
        <f>X0-RayImpactsSyno!ZM5cent</f>
        <v>94.24581</v>
      </c>
      <c r="N9" s="21">
        <f>Y0+RayImpactsSyno!XM5cent</f>
        <v>16.690589</v>
      </c>
      <c r="O9" s="21">
        <f>Z0+RayImpactsSyno!YM5cent</f>
        <v>-280.923961</v>
      </c>
    </row>
    <row r="10" spans="3:15" ht="12.75">
      <c r="C10" s="18"/>
      <c r="D10" s="19" t="s">
        <v>445</v>
      </c>
      <c r="E10" s="19" t="s">
        <v>470</v>
      </c>
      <c r="F10" s="19" t="s">
        <v>144</v>
      </c>
      <c r="G10" s="21">
        <f>X0-RayImpactsSyno!Zgut</f>
        <v>314.98366599999997</v>
      </c>
      <c r="H10" s="21">
        <f>Y0+RayImpactsSyno!Xgut</f>
        <v>141.696058</v>
      </c>
      <c r="I10" s="21">
        <f>Z0+RayImpactsSyno!Ygut</f>
        <v>-233.04406</v>
      </c>
      <c r="J10" s="21">
        <f>X0-RayImpactsSyno!ZM3cent</f>
        <v>192.856362</v>
      </c>
      <c r="K10" s="21">
        <f>Y0+RayImpactsSyno!XM3cent</f>
        <v>0.087781</v>
      </c>
      <c r="L10" s="21">
        <f>Z0+RayImpactsSyno!YM3cent</f>
        <v>-448.950976</v>
      </c>
      <c r="M10" s="21">
        <f>X0-RayImpactsSyno!ZM5cent</f>
        <v>192.85285</v>
      </c>
      <c r="N10" s="21">
        <f>Y0+RayImpactsSyno!XM5cent</f>
        <v>0.080828</v>
      </c>
      <c r="O10" s="21">
        <f>Z0+RayImpactsSyno!YM5cent</f>
        <v>-448.947719</v>
      </c>
    </row>
    <row r="11" spans="3:15" ht="12.75">
      <c r="C11" s="18"/>
      <c r="D11" s="19" t="s">
        <v>446</v>
      </c>
      <c r="E11" s="19" t="s">
        <v>470</v>
      </c>
      <c r="F11" s="19"/>
      <c r="G11" s="21">
        <f>X0-RayImpactsSyno!Zgut</f>
        <v>317.372432</v>
      </c>
      <c r="H11" s="21">
        <f>Y0+RayImpactsSyno!Xgut</f>
        <v>170.859094</v>
      </c>
      <c r="I11" s="21">
        <f>Z0+RayImpactsSyno!Ygut</f>
        <v>-224.68148</v>
      </c>
      <c r="J11" s="21">
        <f>X0-RayImpactsSyno!ZM3cent</f>
        <v>422.085158</v>
      </c>
      <c r="K11" s="21">
        <f>Y0+RayImpactsSyno!XM3cent</f>
        <v>-10.755735</v>
      </c>
      <c r="L11" s="21">
        <f>Z0+RayImpactsSyno!YM3cent</f>
        <v>-505.261042</v>
      </c>
      <c r="M11" s="21">
        <f>X0-RayImpactsSyno!ZM5cent</f>
        <v>421.87106800000004</v>
      </c>
      <c r="N11" s="21">
        <f>Y0+RayImpactsSyno!XM5cent</f>
        <v>-11.624777</v>
      </c>
      <c r="O11" s="21">
        <f>Z0+RayImpactsSyno!YM5cent</f>
        <v>-503.556441</v>
      </c>
    </row>
    <row r="12" spans="3:15" ht="13.5" thickBot="1">
      <c r="C12" s="14"/>
      <c r="D12" s="15" t="s">
        <v>447</v>
      </c>
      <c r="E12" s="15" t="s">
        <v>470</v>
      </c>
      <c r="F12" s="15"/>
      <c r="G12" s="21">
        <f>X0-RayImpactsSyno!Zgut</f>
        <v>373.50445</v>
      </c>
      <c r="H12" s="21">
        <f>Y0+RayImpactsSyno!Xgut</f>
        <v>170.859883</v>
      </c>
      <c r="I12" s="21">
        <f>Z0+RayImpactsSyno!Ygut</f>
        <v>-234.57904</v>
      </c>
      <c r="J12" s="21">
        <f>X0-RayImpactsSyno!ZM3cent</f>
        <v>133.090238</v>
      </c>
      <c r="K12" s="21">
        <f>Y0+RayImpactsSyno!XM3cent</f>
        <v>-10.168951</v>
      </c>
      <c r="L12" s="21">
        <f>Z0+RayImpactsSyno!YM3cent</f>
        <v>-627.36187</v>
      </c>
      <c r="M12" s="21">
        <f>X0-RayImpactsSyno!ZM5cent</f>
        <v>131.35487999999998</v>
      </c>
      <c r="N12" s="21">
        <f>Y0+RayImpactsSyno!XM5cent</f>
        <v>-11.004597</v>
      </c>
      <c r="O12" s="21">
        <f>Z0+RayImpactsSyno!YM5cent</f>
        <v>-626.732892</v>
      </c>
    </row>
    <row r="13" spans="3:15" ht="12.75">
      <c r="C13" s="10" t="s">
        <v>449</v>
      </c>
      <c r="D13" s="11" t="s">
        <v>448</v>
      </c>
      <c r="E13" s="11" t="s">
        <v>470</v>
      </c>
      <c r="F13" s="11"/>
      <c r="G13" s="21">
        <f>X0-RayImpactsSyno!Zgut</f>
        <v>223.12771</v>
      </c>
      <c r="H13" s="21">
        <f>Y0+RayImpactsSyno!Xgut</f>
        <v>170.857126</v>
      </c>
      <c r="I13" s="21">
        <f>Z0+RayImpactsSyno!Ygut</f>
        <v>-321.398179</v>
      </c>
      <c r="J13" s="21">
        <f>X0-RayImpactsSyno!ZM3cent</f>
        <v>132.84689400000002</v>
      </c>
      <c r="K13" s="21">
        <f>Y0+RayImpactsSyno!XM3cent</f>
        <v>-34.14</v>
      </c>
      <c r="L13" s="21">
        <f>Z0+RayImpactsSyno!YM3cent</f>
        <v>-627.618626</v>
      </c>
      <c r="M13" s="21">
        <f>X0-RayImpactsSyno!ZM5cent</f>
        <v>131.07125100000002</v>
      </c>
      <c r="N13" s="21">
        <f>Y0+RayImpactsSyno!XM5cent</f>
        <v>-34.14</v>
      </c>
      <c r="O13" s="21">
        <f>Z0+RayImpactsSyno!YM5cent</f>
        <v>-626.968333</v>
      </c>
    </row>
    <row r="14" spans="3:15" ht="12.75">
      <c r="C14" s="18"/>
      <c r="D14" s="19" t="s">
        <v>450</v>
      </c>
      <c r="E14" s="19" t="s">
        <v>470</v>
      </c>
      <c r="F14" s="19"/>
      <c r="G14" s="21">
        <f>X0-RayImpactsSyno!Zgut</f>
        <v>373.123603</v>
      </c>
      <c r="H14" s="21">
        <f>Y0+RayImpactsSyno!Xgut</f>
        <v>170.854376</v>
      </c>
      <c r="I14" s="21">
        <f>Z0+RayImpactsSyno!Ygut</f>
        <v>-407.997437</v>
      </c>
      <c r="J14" s="21">
        <f>X0-RayImpactsSyno!ZM3cent</f>
        <v>140.50206500000002</v>
      </c>
      <c r="K14" s="21">
        <f>Y0+RayImpactsSyno!XM3cent</f>
        <v>-10.019144</v>
      </c>
      <c r="L14" s="21">
        <f>Z0+RayImpactsSyno!YM3cent</f>
        <v>-620.399652</v>
      </c>
      <c r="M14" s="21">
        <f>X0-RayImpactsSyno!ZM5cent</f>
        <v>139.389571</v>
      </c>
      <c r="N14" s="21">
        <f>Y0+RayImpactsSyno!XM5cent</f>
        <v>-10.829581</v>
      </c>
      <c r="O14" s="21">
        <f>Z0+RayImpactsSyno!YM5cent</f>
        <v>-619.213249</v>
      </c>
    </row>
    <row r="15" spans="1:15" ht="12.75">
      <c r="A15" s="24" t="s">
        <v>120</v>
      </c>
      <c r="C15" s="18"/>
      <c r="D15" s="19" t="s">
        <v>451</v>
      </c>
      <c r="E15" s="19" t="s">
        <v>470</v>
      </c>
      <c r="F15" s="19"/>
      <c r="G15" s="21">
        <f>X0-RayImpactsSyno!Zgut</f>
        <v>248.123882</v>
      </c>
      <c r="H15" s="21">
        <f>Y0+RayImpactsSyno!Xgut</f>
        <v>170.854534</v>
      </c>
      <c r="I15" s="21">
        <f>Z0+RayImpactsSyno!Ygut</f>
        <v>-407.997961</v>
      </c>
      <c r="J15" s="21">
        <f>X0-RayImpactsSyno!ZM3cent</f>
        <v>342.166446</v>
      </c>
      <c r="K15" s="21">
        <f>Y0+RayImpactsSyno!XM3cent</f>
        <v>-9.569267</v>
      </c>
      <c r="L15" s="21">
        <f>Z0+RayImpactsSyno!YM3cent</f>
        <v>-515.227885</v>
      </c>
      <c r="M15" s="21">
        <f>X0-RayImpactsSyno!ZM5cent</f>
        <v>342.331781</v>
      </c>
      <c r="N15" s="21">
        <f>Y0+RayImpactsSyno!XM5cent</f>
        <v>-10.349698</v>
      </c>
      <c r="O15" s="21">
        <f>Z0+RayImpactsSyno!YM5cent</f>
        <v>-513.62396</v>
      </c>
    </row>
    <row r="16" spans="1:15" ht="12.75">
      <c r="A16" s="1" t="s">
        <v>115</v>
      </c>
      <c r="C16" s="18"/>
      <c r="D16" s="19" t="s">
        <v>452</v>
      </c>
      <c r="E16" s="19" t="s">
        <v>470</v>
      </c>
      <c r="F16" s="19"/>
      <c r="G16" s="21">
        <f>X0-RayImpactsSyno!Zgut</f>
        <v>248.126616</v>
      </c>
      <c r="H16" s="21">
        <f>Y0+RayImpactsSyno!Xgut</f>
        <v>170.858759</v>
      </c>
      <c r="I16" s="21">
        <f>Z0+RayImpactsSyno!Ygut</f>
        <v>-457.998896</v>
      </c>
      <c r="J16" s="21">
        <f>X0-RayImpactsSyno!ZM3cent</f>
        <v>291.711826</v>
      </c>
      <c r="K16" s="21">
        <f>Y0+RayImpactsSyno!XM3cent</f>
        <v>-72.027431</v>
      </c>
      <c r="L16" s="21">
        <f>Z0+RayImpactsSyno!YM3cent</f>
        <v>-521.635326</v>
      </c>
      <c r="M16" s="21">
        <f>X0-RayImpactsSyno!ZM5cent</f>
        <v>292.158272</v>
      </c>
      <c r="N16" s="21">
        <f>Y0+RayImpactsSyno!XM5cent</f>
        <v>-72.58604</v>
      </c>
      <c r="O16" s="21">
        <f>Z0+RayImpactsSyno!YM5cent</f>
        <v>-519.847765</v>
      </c>
    </row>
    <row r="17" spans="1:15" ht="12.75">
      <c r="A17" s="1" t="s">
        <v>117</v>
      </c>
      <c r="C17" s="18"/>
      <c r="D17" s="19" t="s">
        <v>453</v>
      </c>
      <c r="E17" s="19" t="s">
        <v>470</v>
      </c>
      <c r="F17" s="19"/>
      <c r="G17" s="21">
        <f>X0-RayImpactsSyno!Zgut</f>
        <v>248.123672</v>
      </c>
      <c r="H17" s="21">
        <f>Y0+RayImpactsSyno!Xgut</f>
        <v>170.854597</v>
      </c>
      <c r="I17" s="21">
        <f>Z0+RayImpactsSyno!Ygut</f>
        <v>-457.995952</v>
      </c>
      <c r="J17" s="21">
        <f>X0-RayImpactsSyno!ZM3cent</f>
        <v>300.169191</v>
      </c>
      <c r="K17" s="21">
        <f>Y0+RayImpactsSyno!XM3cent</f>
        <v>-61.557994</v>
      </c>
      <c r="L17" s="21">
        <f>Z0+RayImpactsSyno!YM3cent</f>
        <v>-520.56129</v>
      </c>
      <c r="M17" s="21">
        <f>X0-RayImpactsSyno!ZM5cent</f>
        <v>300.606691</v>
      </c>
      <c r="N17" s="21">
        <f>Y0+RayImpactsSyno!XM5cent</f>
        <v>-62.106432</v>
      </c>
      <c r="O17" s="21">
        <f>Z0+RayImpactsSyno!YM5cent</f>
        <v>-518.799775</v>
      </c>
    </row>
    <row r="18" spans="1:15" ht="12.75">
      <c r="A18" s="1" t="s">
        <v>116</v>
      </c>
      <c r="C18" s="18"/>
      <c r="D18" s="19" t="s">
        <v>455</v>
      </c>
      <c r="E18" s="19" t="s">
        <v>470</v>
      </c>
      <c r="F18" s="19"/>
      <c r="G18" s="21">
        <f>X0-RayImpactsSyno!Zgut</f>
        <v>373.123266</v>
      </c>
      <c r="H18" s="21">
        <f>Y0+RayImpactsSyno!Xgut</f>
        <v>170.858602</v>
      </c>
      <c r="I18" s="21">
        <f>Z0+RayImpactsSyno!Ygut</f>
        <v>-457.998372</v>
      </c>
      <c r="J18" s="21">
        <f>X0-RayImpactsSyno!ZM3cent</f>
        <v>337.738523</v>
      </c>
      <c r="K18" s="21">
        <f>Y0+RayImpactsSyno!XM3cent</f>
        <v>-9.503531</v>
      </c>
      <c r="L18" s="21">
        <f>Z0+RayImpactsSyno!YM3cent</f>
        <v>-515.780101</v>
      </c>
      <c r="M18" s="21">
        <f>X0-RayImpactsSyno!ZM5cent</f>
        <v>337.543836</v>
      </c>
      <c r="N18" s="21">
        <f>Y0+RayImpactsSyno!XM5cent</f>
        <v>-10.272944</v>
      </c>
      <c r="O18" s="21">
        <f>Z0+RayImpactsSyno!YM5cent</f>
        <v>-514.229985</v>
      </c>
    </row>
    <row r="19" spans="1:15" ht="12.75">
      <c r="A19" s="24" t="s">
        <v>121</v>
      </c>
      <c r="C19" s="18"/>
      <c r="D19" s="19" t="s">
        <v>454</v>
      </c>
      <c r="E19" s="19" t="s">
        <v>470</v>
      </c>
      <c r="F19" s="19"/>
      <c r="G19" s="21">
        <f>X0-RayImpactsSyno!Zgut</f>
        <v>223.12771</v>
      </c>
      <c r="H19" s="21">
        <f>Y0+RayImpactsSyno!Xgut</f>
        <v>170.855908</v>
      </c>
      <c r="I19" s="21">
        <f>Z0+RayImpactsSyno!Ygut</f>
        <v>-544.597766</v>
      </c>
      <c r="J19" s="21">
        <f>X0-RayImpactsSyno!ZM3cent</f>
        <v>380.44417999999996</v>
      </c>
      <c r="K19" s="21">
        <f>Y0+RayImpactsSyno!XM3cent</f>
        <v>-10.623296</v>
      </c>
      <c r="L19" s="21">
        <f>Z0+RayImpactsSyno!YM3cent</f>
        <v>-477.505228</v>
      </c>
      <c r="M19" s="21">
        <f>X0-RayImpactsSyno!ZM5cent</f>
        <v>382.145705</v>
      </c>
      <c r="N19" s="21">
        <f>Y0+RayImpactsSyno!XM5cent</f>
        <v>-11.481801</v>
      </c>
      <c r="O19" s="21">
        <f>Z0+RayImpactsSyno!YM5cent</f>
        <v>-477.50527</v>
      </c>
    </row>
    <row r="20" spans="1:15" ht="12.75">
      <c r="A20" s="23" t="s">
        <v>105</v>
      </c>
      <c r="B20" s="23">
        <v>202</v>
      </c>
      <c r="C20" s="18"/>
      <c r="D20" s="19" t="s">
        <v>456</v>
      </c>
      <c r="E20" s="19" t="s">
        <v>470</v>
      </c>
      <c r="F20" s="19"/>
      <c r="G20" s="21">
        <f>X0-RayImpactsSyno!Zgut</f>
        <v>354.74645499999997</v>
      </c>
      <c r="H20" s="21">
        <f>Y0+RayImpactsSyno!Xgut</f>
        <v>170.853544</v>
      </c>
      <c r="I20" s="21">
        <f>Z0+RayImpactsSyno!Ygut</f>
        <v>-620.587374</v>
      </c>
      <c r="J20" s="21">
        <f>X0-RayImpactsSyno!ZM3cent</f>
        <v>380.43658300000004</v>
      </c>
      <c r="K20" s="21">
        <f>Y0+RayImpactsSyno!XM3cent</f>
        <v>-10.755735</v>
      </c>
      <c r="L20" s="21">
        <f>Z0+RayImpactsSyno!YM3cent</f>
        <v>-468.515228</v>
      </c>
      <c r="M20" s="21">
        <f>X0-RayImpactsSyno!ZM5cent</f>
        <v>382.154575</v>
      </c>
      <c r="N20" s="21">
        <f>Y0+RayImpactsSyno!XM5cent</f>
        <v>-11.624777</v>
      </c>
      <c r="O20" s="21">
        <f>Z0+RayImpactsSyno!YM5cent</f>
        <v>-468.51527</v>
      </c>
    </row>
    <row r="21" spans="1:15" ht="12.75">
      <c r="A21" s="23" t="s">
        <v>106</v>
      </c>
      <c r="B21" s="23">
        <v>0</v>
      </c>
      <c r="C21" s="18"/>
      <c r="D21" s="19" t="s">
        <v>457</v>
      </c>
      <c r="E21" s="19" t="s">
        <v>470</v>
      </c>
      <c r="F21" s="19"/>
      <c r="G21" s="21">
        <f>X0-RayImpactsSyno!Zgut</f>
        <v>263.583891</v>
      </c>
      <c r="H21" s="21">
        <f>Y0+RayImpactsSyno!Xgut</f>
        <v>170.855319</v>
      </c>
      <c r="I21" s="21">
        <f>Z0+RayImpactsSyno!Ygut</f>
        <v>-636.662659</v>
      </c>
      <c r="J21" s="21">
        <f>X0-RayImpactsSyno!ZM3cent</f>
        <v>202</v>
      </c>
      <c r="K21" s="21">
        <f>Y0+RayImpactsSyno!XM3cent</f>
        <v>0</v>
      </c>
      <c r="L21" s="21">
        <f>Z0+RayImpactsSyno!YM3cent</f>
        <v>0</v>
      </c>
      <c r="M21" s="21">
        <f>X0-RayImpactsSyno!ZM5cent</f>
        <v>202</v>
      </c>
      <c r="N21" s="21">
        <f>Y0+RayImpactsSyno!XM5cent</f>
        <v>0</v>
      </c>
      <c r="O21" s="21">
        <f>Z0+RayImpactsSyno!YM5cent</f>
        <v>0</v>
      </c>
    </row>
    <row r="22" spans="1:15" ht="13.5" thickBot="1">
      <c r="A22" s="23" t="s">
        <v>107</v>
      </c>
      <c r="B22" s="23">
        <v>0</v>
      </c>
      <c r="C22" s="14"/>
      <c r="D22" s="15" t="s">
        <v>458</v>
      </c>
      <c r="E22" s="19" t="s">
        <v>470</v>
      </c>
      <c r="F22" s="15" t="s">
        <v>145</v>
      </c>
      <c r="G22" s="21">
        <f>X0-RayImpactsSyno!Zgut</f>
        <v>263.582508</v>
      </c>
      <c r="H22" s="21">
        <f>Y0+RayImpactsSyno!Xgut</f>
        <v>250.856678</v>
      </c>
      <c r="I22" s="21">
        <f>Z0+RayImpactsSyno!Ygut</f>
        <v>-636.663651</v>
      </c>
      <c r="J22" s="21">
        <f>X0-RayImpactsSyno!ZM3cent</f>
        <v>202</v>
      </c>
      <c r="K22" s="21">
        <f>Y0+RayImpactsSyno!XM3cent</f>
        <v>0</v>
      </c>
      <c r="L22" s="21">
        <f>Z0+RayImpactsSyno!YM3cent</f>
        <v>0</v>
      </c>
      <c r="M22" s="21">
        <f>X0-RayImpactsSyno!ZM5cent</f>
        <v>202</v>
      </c>
      <c r="N22" s="21">
        <f>Y0+RayImpactsSyno!XM5cent</f>
        <v>0</v>
      </c>
      <c r="O22" s="21">
        <f>Z0+RayImpactsSyno!YM5cent</f>
        <v>0</v>
      </c>
    </row>
    <row r="23" spans="1:15" ht="13.5" thickBot="1">
      <c r="A23" s="24"/>
      <c r="C23" s="19"/>
      <c r="D23" s="19" t="s">
        <v>447</v>
      </c>
      <c r="E23" s="19" t="s">
        <v>471</v>
      </c>
      <c r="F23" s="19" t="s">
        <v>110</v>
      </c>
      <c r="G23" s="21">
        <f>X0-RayImpactsSyno!Zgut</f>
        <v>373.50445</v>
      </c>
      <c r="H23" s="21">
        <f>Y0+RayImpactsSyno!Xgut</f>
        <v>170.859883</v>
      </c>
      <c r="I23" s="21">
        <f>Z0+RayImpactsSyno!Ygut</f>
        <v>-234.57904</v>
      </c>
      <c r="J23" s="21">
        <f>X0-RayImpactsSyno!ZM3cent</f>
        <v>133.090238</v>
      </c>
      <c r="K23" s="21">
        <f>Y0+RayImpactsSyno!XM3cent</f>
        <v>-10.168951</v>
      </c>
      <c r="L23" s="21">
        <f>Z0+RayImpactsSyno!YM3cent</f>
        <v>-627.36187</v>
      </c>
      <c r="M23" s="21">
        <f>X0-RayImpactsSyno!ZM5cent</f>
        <v>131.35487999999998</v>
      </c>
      <c r="N23" s="21">
        <f>Y0+RayImpactsSyno!XM5cent</f>
        <v>-11.004597</v>
      </c>
      <c r="O23" s="21">
        <f>Z0+RayImpactsSyno!YM5cent</f>
        <v>-626.732892</v>
      </c>
    </row>
    <row r="24" spans="3:15" ht="12.75">
      <c r="C24" s="10" t="s">
        <v>459</v>
      </c>
      <c r="D24" s="11" t="s">
        <v>448</v>
      </c>
      <c r="E24" s="11" t="s">
        <v>471</v>
      </c>
      <c r="F24" s="11" t="s">
        <v>144</v>
      </c>
      <c r="G24" s="21">
        <f>X0-RayImpactsSyno!Zgut</f>
        <v>223.12771</v>
      </c>
      <c r="H24" s="21">
        <f>Y0+RayImpactsSyno!Xgut</f>
        <v>170.857126</v>
      </c>
      <c r="I24" s="21">
        <f>Z0+RayImpactsSyno!Ygut</f>
        <v>-321.398179</v>
      </c>
      <c r="J24" s="21">
        <f>X0-RayImpactsSyno!ZM3cent</f>
        <v>132.84689400000002</v>
      </c>
      <c r="K24" s="21">
        <f>Y0+RayImpactsSyno!XM3cent</f>
        <v>-34.14</v>
      </c>
      <c r="L24" s="21">
        <f>Z0+RayImpactsSyno!YM3cent</f>
        <v>-627.618626</v>
      </c>
      <c r="M24" s="21">
        <f>X0-RayImpactsSyno!ZM5cent</f>
        <v>131.07125100000002</v>
      </c>
      <c r="N24" s="21">
        <f>Y0+RayImpactsSyno!XM5cent</f>
        <v>-34.14</v>
      </c>
      <c r="O24" s="21">
        <f>Z0+RayImpactsSyno!YM5cent</f>
        <v>-626.968333</v>
      </c>
    </row>
    <row r="25" spans="3:15" ht="12.75">
      <c r="C25" s="18"/>
      <c r="D25" s="19" t="s">
        <v>460</v>
      </c>
      <c r="E25" s="19" t="s">
        <v>471</v>
      </c>
      <c r="F25" s="19"/>
      <c r="G25" s="21">
        <f>X0-RayImpactsSyno!Zgut</f>
        <v>73.13181599999999</v>
      </c>
      <c r="H25" s="21">
        <f>Y0+RayImpactsSyno!Xgut</f>
        <v>170.854376</v>
      </c>
      <c r="I25" s="21">
        <f>Z0+RayImpactsSyno!Ygut</f>
        <v>-407.997437</v>
      </c>
      <c r="J25" s="21">
        <f>X0-RayImpactsSyno!ZM3cent</f>
        <v>140.50206500000002</v>
      </c>
      <c r="K25" s="21">
        <f>Y0+RayImpactsSyno!XM3cent</f>
        <v>-10.019144</v>
      </c>
      <c r="L25" s="21">
        <f>Z0+RayImpactsSyno!YM3cent</f>
        <v>-620.399652</v>
      </c>
      <c r="M25" s="21">
        <f>X0-RayImpactsSyno!ZM5cent</f>
        <v>139.389571</v>
      </c>
      <c r="N25" s="21">
        <f>Y0+RayImpactsSyno!XM5cent</f>
        <v>-10.829581</v>
      </c>
      <c r="O25" s="21">
        <f>Z0+RayImpactsSyno!YM5cent</f>
        <v>-619.213249</v>
      </c>
    </row>
    <row r="26" spans="3:15" ht="12.75">
      <c r="C26" s="18"/>
      <c r="D26" s="19" t="s">
        <v>461</v>
      </c>
      <c r="E26" s="19" t="s">
        <v>471</v>
      </c>
      <c r="F26" s="19"/>
      <c r="G26" s="21">
        <f>X0-RayImpactsSyno!Zgut</f>
        <v>198.131538</v>
      </c>
      <c r="H26" s="21">
        <f>Y0+RayImpactsSyno!Xgut</f>
        <v>170.854534</v>
      </c>
      <c r="I26" s="21">
        <f>Z0+RayImpactsSyno!Ygut</f>
        <v>-407.997961</v>
      </c>
      <c r="J26" s="21">
        <f>X0-RayImpactsSyno!ZM3cent</f>
        <v>342.166446</v>
      </c>
      <c r="K26" s="21">
        <f>Y0+RayImpactsSyno!XM3cent</f>
        <v>-9.569267</v>
      </c>
      <c r="L26" s="21">
        <f>Z0+RayImpactsSyno!YM3cent</f>
        <v>-515.227885</v>
      </c>
      <c r="M26" s="21">
        <f>X0-RayImpactsSyno!ZM5cent</f>
        <v>342.331781</v>
      </c>
      <c r="N26" s="21">
        <f>Y0+RayImpactsSyno!XM5cent</f>
        <v>-10.349698</v>
      </c>
      <c r="O26" s="21">
        <f>Z0+RayImpactsSyno!YM5cent</f>
        <v>-513.62396</v>
      </c>
    </row>
    <row r="27" spans="3:15" ht="12.75">
      <c r="C27" s="18"/>
      <c r="D27" s="19" t="s">
        <v>462</v>
      </c>
      <c r="E27" s="19" t="s">
        <v>471</v>
      </c>
      <c r="F27" s="19"/>
      <c r="G27" s="21">
        <f>X0-RayImpactsSyno!Zgut</f>
        <v>198.128804</v>
      </c>
      <c r="H27" s="21">
        <f>Y0+RayImpactsSyno!Xgut</f>
        <v>170.858759</v>
      </c>
      <c r="I27" s="21">
        <f>Z0+RayImpactsSyno!Ygut</f>
        <v>-457.998896</v>
      </c>
      <c r="J27" s="21">
        <f>X0-RayImpactsSyno!ZM3cent</f>
        <v>291.711826</v>
      </c>
      <c r="K27" s="21">
        <f>Y0+RayImpactsSyno!XM3cent</f>
        <v>-72.027431</v>
      </c>
      <c r="L27" s="21">
        <f>Z0+RayImpactsSyno!YM3cent</f>
        <v>-521.635326</v>
      </c>
      <c r="M27" s="21">
        <f>X0-RayImpactsSyno!ZM5cent</f>
        <v>292.158272</v>
      </c>
      <c r="N27" s="21">
        <f>Y0+RayImpactsSyno!XM5cent</f>
        <v>-72.58604</v>
      </c>
      <c r="O27" s="21">
        <f>Z0+RayImpactsSyno!YM5cent</f>
        <v>-519.847765</v>
      </c>
    </row>
    <row r="28" spans="3:15" ht="12.75">
      <c r="C28" s="18"/>
      <c r="D28" s="19" t="s">
        <v>463</v>
      </c>
      <c r="E28" s="19" t="s">
        <v>471</v>
      </c>
      <c r="F28" s="19"/>
      <c r="G28" s="21">
        <f>X0-RayImpactsSyno!Zgut</f>
        <v>198.131747</v>
      </c>
      <c r="H28" s="21">
        <f>Y0+RayImpactsSyno!Xgut</f>
        <v>170.854597</v>
      </c>
      <c r="I28" s="21">
        <f>Z0+RayImpactsSyno!Ygut</f>
        <v>-457.995952</v>
      </c>
      <c r="J28" s="21">
        <f>X0-RayImpactsSyno!ZM3cent</f>
        <v>300.169191</v>
      </c>
      <c r="K28" s="21">
        <f>Y0+RayImpactsSyno!XM3cent</f>
        <v>-61.557994</v>
      </c>
      <c r="L28" s="21">
        <f>Z0+RayImpactsSyno!YM3cent</f>
        <v>-520.56129</v>
      </c>
      <c r="M28" s="21">
        <f>X0-RayImpactsSyno!ZM5cent</f>
        <v>300.606691</v>
      </c>
      <c r="N28" s="21">
        <f>Y0+RayImpactsSyno!XM5cent</f>
        <v>-62.106432</v>
      </c>
      <c r="O28" s="21">
        <f>Z0+RayImpactsSyno!YM5cent</f>
        <v>-518.799775</v>
      </c>
    </row>
    <row r="29" spans="3:15" ht="12.75">
      <c r="C29" s="18"/>
      <c r="D29" s="19" t="s">
        <v>464</v>
      </c>
      <c r="E29" s="19" t="s">
        <v>471</v>
      </c>
      <c r="F29" s="19"/>
      <c r="G29" s="21">
        <f>X0-RayImpactsSyno!Zgut</f>
        <v>73.13215299999999</v>
      </c>
      <c r="H29" s="21">
        <f>Y0+RayImpactsSyno!Xgut</f>
        <v>170.858602</v>
      </c>
      <c r="I29" s="21">
        <f>Z0+RayImpactsSyno!Ygut</f>
        <v>-457.998372</v>
      </c>
      <c r="J29" s="21">
        <f>X0-RayImpactsSyno!ZM3cent</f>
        <v>337.738523</v>
      </c>
      <c r="K29" s="21">
        <f>Y0+RayImpactsSyno!XM3cent</f>
        <v>-9.503531</v>
      </c>
      <c r="L29" s="21">
        <f>Z0+RayImpactsSyno!YM3cent</f>
        <v>-515.780101</v>
      </c>
      <c r="M29" s="21">
        <f>X0-RayImpactsSyno!ZM5cent</f>
        <v>337.543836</v>
      </c>
      <c r="N29" s="21">
        <f>Y0+RayImpactsSyno!XM5cent</f>
        <v>-10.272944</v>
      </c>
      <c r="O29" s="21">
        <f>Z0+RayImpactsSyno!YM5cent</f>
        <v>-514.229985</v>
      </c>
    </row>
    <row r="30" spans="3:15" ht="12.75">
      <c r="C30" s="18"/>
      <c r="D30" s="19" t="s">
        <v>454</v>
      </c>
      <c r="E30" s="19" t="s">
        <v>471</v>
      </c>
      <c r="F30" s="19"/>
      <c r="G30" s="21">
        <f>X0-RayImpactsSyno!Zgut</f>
        <v>223.12771</v>
      </c>
      <c r="H30" s="21">
        <f>Y0+RayImpactsSyno!Xgut</f>
        <v>170.855908</v>
      </c>
      <c r="I30" s="21">
        <f>Z0+RayImpactsSyno!Ygut</f>
        <v>-544.597766</v>
      </c>
      <c r="J30" s="21">
        <f>X0-RayImpactsSyno!ZM3cent</f>
        <v>380.44417999999996</v>
      </c>
      <c r="K30" s="21">
        <f>Y0+RayImpactsSyno!XM3cent</f>
        <v>-10.623296</v>
      </c>
      <c r="L30" s="21">
        <f>Z0+RayImpactsSyno!YM3cent</f>
        <v>-477.505228</v>
      </c>
      <c r="M30" s="21">
        <f>X0-RayImpactsSyno!ZM5cent</f>
        <v>382.145705</v>
      </c>
      <c r="N30" s="21">
        <f>Y0+RayImpactsSyno!XM5cent</f>
        <v>-11.481801</v>
      </c>
      <c r="O30" s="21">
        <f>Z0+RayImpactsSyno!YM5cent</f>
        <v>-477.50527</v>
      </c>
    </row>
    <row r="31" spans="3:15" ht="12.75">
      <c r="C31" s="18"/>
      <c r="D31" s="19" t="s">
        <v>465</v>
      </c>
      <c r="E31" s="19" t="s">
        <v>471</v>
      </c>
      <c r="F31" s="19"/>
      <c r="G31" s="21">
        <f>X0-RayImpactsSyno!Zgut</f>
        <v>91.508965</v>
      </c>
      <c r="H31" s="21">
        <f>Y0+RayImpactsSyno!Xgut</f>
        <v>170.853544</v>
      </c>
      <c r="I31" s="21">
        <f>Z0+RayImpactsSyno!Ygut</f>
        <v>-620.587374</v>
      </c>
      <c r="J31" s="21">
        <f>X0-RayImpactsSyno!ZM3cent</f>
        <v>380.43658300000004</v>
      </c>
      <c r="K31" s="21">
        <f>Y0+RayImpactsSyno!XM3cent</f>
        <v>-10.755735</v>
      </c>
      <c r="L31" s="21">
        <f>Z0+RayImpactsSyno!YM3cent</f>
        <v>-468.515228</v>
      </c>
      <c r="M31" s="21">
        <f>X0-RayImpactsSyno!ZM5cent</f>
        <v>382.154575</v>
      </c>
      <c r="N31" s="21">
        <f>Y0+RayImpactsSyno!XM5cent</f>
        <v>-11.624777</v>
      </c>
      <c r="O31" s="21">
        <f>Z0+RayImpactsSyno!YM5cent</f>
        <v>-468.51527</v>
      </c>
    </row>
    <row r="32" spans="3:15" ht="12.75">
      <c r="C32" s="18"/>
      <c r="D32" s="19" t="s">
        <v>466</v>
      </c>
      <c r="E32" s="19" t="s">
        <v>471</v>
      </c>
      <c r="F32" s="19"/>
      <c r="G32" s="21">
        <f>X0-RayImpactsSyno!Zgut</f>
        <v>182.671529</v>
      </c>
      <c r="H32" s="21">
        <f>Y0+RayImpactsSyno!Xgut</f>
        <v>170.855319</v>
      </c>
      <c r="I32" s="21">
        <f>Z0+RayImpactsSyno!Ygut</f>
        <v>-636.662659</v>
      </c>
      <c r="J32" s="21">
        <f>X0-RayImpactsSyno!ZM3cent</f>
        <v>202</v>
      </c>
      <c r="K32" s="21">
        <f>Y0+RayImpactsSyno!XM3cent</f>
        <v>0</v>
      </c>
      <c r="L32" s="21">
        <f>Z0+RayImpactsSyno!YM3cent</f>
        <v>0</v>
      </c>
      <c r="M32" s="21">
        <f>X0-RayImpactsSyno!ZM5cent</f>
        <v>202</v>
      </c>
      <c r="N32" s="21">
        <f>Y0+RayImpactsSyno!XM5cent</f>
        <v>0</v>
      </c>
      <c r="O32" s="21">
        <f>Z0+RayImpactsSyno!YM5cent</f>
        <v>0</v>
      </c>
    </row>
    <row r="33" spans="3:15" ht="13.5" thickBot="1">
      <c r="C33" s="14"/>
      <c r="D33" s="15" t="s">
        <v>467</v>
      </c>
      <c r="E33" s="15" t="s">
        <v>471</v>
      </c>
      <c r="F33" s="15" t="s">
        <v>145</v>
      </c>
      <c r="G33" s="21">
        <f>X0-RayImpactsSyno!Zgut</f>
        <v>182.672912</v>
      </c>
      <c r="H33" s="21">
        <f>Y0+RayImpactsSyno!Xgut</f>
        <v>250.856678</v>
      </c>
      <c r="I33" s="21">
        <f>Z0+RayImpactsSyno!Ygut</f>
        <v>-636.663651</v>
      </c>
      <c r="J33" s="21">
        <f>X0-RayImpactsSyno!ZM3cent</f>
        <v>202</v>
      </c>
      <c r="K33" s="21">
        <f>Y0+RayImpactsSyno!XM3cent</f>
        <v>0</v>
      </c>
      <c r="L33" s="21">
        <f>Z0+RayImpactsSyno!YM3cent</f>
        <v>0</v>
      </c>
      <c r="M33" s="21">
        <f>X0-RayImpactsSyno!ZM5cent</f>
        <v>202</v>
      </c>
      <c r="N33" s="21">
        <f>Y0+RayImpactsSyno!XM5cent</f>
        <v>0</v>
      </c>
      <c r="O33" s="21">
        <f>Z0+RayImpactsSyno!YM5cent</f>
        <v>0</v>
      </c>
    </row>
    <row r="34" spans="3:6" ht="12.75">
      <c r="C34" s="19"/>
      <c r="D34" s="19"/>
      <c r="E34" s="19"/>
      <c r="F34" s="19"/>
    </row>
    <row r="35" spans="3:6" ht="12.75">
      <c r="C35" s="19"/>
      <c r="D35" s="19"/>
      <c r="E35" s="19"/>
      <c r="F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6" ht="12.75">
      <c r="C40" s="19"/>
      <c r="D40" s="19"/>
      <c r="E40" s="19"/>
      <c r="F40" s="19"/>
    </row>
    <row r="41" spans="3:6" ht="12.75">
      <c r="C41" s="19"/>
      <c r="D41" s="19"/>
      <c r="E41" s="19"/>
      <c r="F41" s="19"/>
    </row>
    <row r="42" spans="3:6" ht="12.75">
      <c r="C42" s="19"/>
      <c r="D42" s="19"/>
      <c r="E42" s="19"/>
      <c r="F42" s="19"/>
    </row>
    <row r="43" spans="3:6" ht="12.75">
      <c r="C43" s="19"/>
      <c r="D43" s="19"/>
      <c r="E43" s="19"/>
      <c r="F43" s="19"/>
    </row>
    <row r="44" spans="3:6" ht="12.75">
      <c r="C44" s="19"/>
      <c r="D44" s="19"/>
      <c r="E44" s="19"/>
      <c r="F44" s="19"/>
    </row>
    <row r="45" spans="3:6" ht="12.75">
      <c r="C45" s="19"/>
      <c r="D45" s="19"/>
      <c r="E45" s="19"/>
      <c r="F45" s="19"/>
    </row>
    <row r="46" spans="3:6" ht="12.75">
      <c r="C46" s="19"/>
      <c r="D46" s="19"/>
      <c r="E46" s="19"/>
      <c r="F46" s="19"/>
    </row>
    <row r="47" spans="3:6" ht="12.75">
      <c r="C47" s="19"/>
      <c r="D47" s="19"/>
      <c r="E47" s="19"/>
      <c r="F47" s="19"/>
    </row>
    <row r="48" spans="3:6" ht="12.75">
      <c r="C48" s="19"/>
      <c r="D48" s="19"/>
      <c r="E48" s="19"/>
      <c r="F48" s="19"/>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Y48"/>
  <sheetViews>
    <sheetView workbookViewId="0" topLeftCell="Q1">
      <selection activeCell="G1" sqref="G1:Y16384"/>
    </sheetView>
  </sheetViews>
  <sheetFormatPr defaultColWidth="12" defaultRowHeight="12.75"/>
  <cols>
    <col min="1" max="2" width="12" style="1" customWidth="1"/>
    <col min="3" max="3" width="20.16015625" style="1" customWidth="1"/>
    <col min="4" max="6" width="12" style="1" customWidth="1"/>
    <col min="7" max="7" width="12" style="20" customWidth="1"/>
    <col min="8" max="8" width="8.16015625" style="20" customWidth="1"/>
    <col min="9" max="11" width="10.83203125" style="21" customWidth="1"/>
    <col min="12" max="25" width="12" style="19" customWidth="1"/>
    <col min="26" max="16384" width="12" style="1" customWidth="1"/>
  </cols>
  <sheetData>
    <row r="1" spans="3:25" s="5" customFormat="1" ht="12.75">
      <c r="C1" s="5" t="s">
        <v>111</v>
      </c>
      <c r="D1" s="5" t="s">
        <v>2</v>
      </c>
      <c r="E1" s="5" t="s">
        <v>469</v>
      </c>
      <c r="F1" s="5" t="s">
        <v>143</v>
      </c>
      <c r="G1" s="28" t="s">
        <v>89</v>
      </c>
      <c r="H1" s="28" t="s">
        <v>90</v>
      </c>
      <c r="I1" s="29" t="s">
        <v>4</v>
      </c>
      <c r="J1" s="29" t="s">
        <v>5</v>
      </c>
      <c r="K1" s="29" t="s">
        <v>6</v>
      </c>
      <c r="L1" s="27" t="s">
        <v>31</v>
      </c>
      <c r="M1" s="27" t="s">
        <v>32</v>
      </c>
      <c r="N1" s="27" t="s">
        <v>33</v>
      </c>
      <c r="O1" s="27" t="s">
        <v>34</v>
      </c>
      <c r="P1" s="27" t="s">
        <v>35</v>
      </c>
      <c r="Q1" s="27" t="s">
        <v>36</v>
      </c>
      <c r="R1" s="27"/>
      <c r="S1" s="27"/>
      <c r="T1" s="27"/>
      <c r="U1" s="27"/>
      <c r="V1" s="27"/>
      <c r="W1" s="27"/>
      <c r="X1" s="27"/>
      <c r="Y1" s="27"/>
    </row>
    <row r="2" spans="4:17" ht="13.5" thickBot="1">
      <c r="D2" s="1" t="s">
        <v>91</v>
      </c>
      <c r="E2" s="1" t="s">
        <v>470</v>
      </c>
      <c r="F2" s="1" t="s">
        <v>110</v>
      </c>
      <c r="G2" s="20">
        <v>5</v>
      </c>
      <c r="H2" s="20">
        <v>27</v>
      </c>
      <c r="I2" s="21">
        <f ca="1" t="shared" si="0" ref="I2:I24">INDIRECT("GutRay"&amp;Arm&amp;"!"&amp;Xcol&amp;FIXED(Line,0))</f>
        <v>41.140746</v>
      </c>
      <c r="J2" s="21">
        <f ca="1" t="shared" si="1" ref="J2:J24">INDIRECT("GutRay"&amp;Arm&amp;"!"&amp;Ycol&amp;FIXED(Line,0))</f>
        <v>61.187248</v>
      </c>
      <c r="K2" s="21">
        <f ca="1" t="shared" si="2" ref="K2:K24">INDIRECT("GutRay"&amp;Arm&amp;"!"&amp;Zcol&amp;FIXED(Line,0))</f>
        <v>-3050.162</v>
      </c>
      <c r="L2" s="21">
        <f ca="1">INDIRECT("M3CentRay!"&amp;Xcol&amp;FIXED(Line,0))</f>
        <v>12.75945</v>
      </c>
      <c r="M2" s="21">
        <f ca="1">INDIRECT("M3CentRay!"&amp;Ycol&amp;FIXED(Line,0))</f>
        <v>62.305383</v>
      </c>
      <c r="N2" s="21">
        <f ca="1">INDIRECT("M3CentRay!"&amp;Zcol&amp;FIXED(Line,0))</f>
        <v>-3050.162</v>
      </c>
      <c r="O2" s="21">
        <f ca="1">INDIRECT("M5CentRay!"&amp;Xcol&amp;FIXED(Line,0))</f>
        <v>13.817514</v>
      </c>
      <c r="P2" s="21">
        <f ca="1">INDIRECT("M5CentRay!"&amp;Ycol&amp;FIXED(Line,0))</f>
        <v>60.298241</v>
      </c>
      <c r="Q2" s="21">
        <f ca="1">INDIRECT("M5CentRay!"&amp;Zcol&amp;FIXED(Line,0))</f>
        <v>-3050.162</v>
      </c>
    </row>
    <row r="3" spans="3:17" ht="12.75">
      <c r="C3" s="10" t="s">
        <v>108</v>
      </c>
      <c r="D3" s="11" t="s">
        <v>92</v>
      </c>
      <c r="E3" s="11" t="s">
        <v>470</v>
      </c>
      <c r="F3" s="11"/>
      <c r="G3" s="20">
        <v>6</v>
      </c>
      <c r="H3" s="20">
        <f>SurfNum+Line0</f>
        <v>28</v>
      </c>
      <c r="I3" s="21">
        <f ca="1" t="shared" si="0"/>
        <v>36.848567</v>
      </c>
      <c r="J3" s="21">
        <f ca="1" t="shared" si="1"/>
        <v>54.803634</v>
      </c>
      <c r="K3" s="21">
        <f ca="1" t="shared" si="2"/>
        <v>-1050.785036</v>
      </c>
      <c r="L3" s="21">
        <f ca="1" t="shared" si="3" ref="L3:L33">INDIRECT("M3CentRay!"&amp;Xcol&amp;FIXED(Line,0))</f>
        <v>11.427923</v>
      </c>
      <c r="M3" s="21">
        <f ca="1" t="shared" si="4" ref="M3:M33">INDIRECT("M3CentRay!"&amp;Ycol&amp;FIXED(Line,0))</f>
        <v>55.803431</v>
      </c>
      <c r="N3" s="21">
        <f ca="1" t="shared" si="5" ref="N3:N33">INDIRECT("M3CentRay!"&amp;Zcol&amp;FIXED(Line,0))</f>
        <v>-1050.625517</v>
      </c>
      <c r="O3" s="21">
        <f ca="1" t="shared" si="6" ref="O3:O33">INDIRECT("M5CentRay!"&amp;Xcol&amp;FIXED(Line,0))</f>
        <v>12.375513</v>
      </c>
      <c r="P3" s="21">
        <f ca="1" t="shared" si="7" ref="P3:P33">INDIRECT("M5CentRay!"&amp;Ycol&amp;FIXED(Line,0))</f>
        <v>54.005491</v>
      </c>
      <c r="Q3" s="21">
        <f ca="1" t="shared" si="8" ref="Q3:Q33">INDIRECT("M5CentRay!"&amp;Zcol&amp;FIXED(Line,0))</f>
        <v>-1050.600535</v>
      </c>
    </row>
    <row r="4" spans="3:17" ht="13.5" thickBot="1">
      <c r="C4" s="14"/>
      <c r="D4" s="15" t="s">
        <v>93</v>
      </c>
      <c r="E4" s="15" t="s">
        <v>470</v>
      </c>
      <c r="F4" s="15"/>
      <c r="G4" s="20">
        <v>7</v>
      </c>
      <c r="H4" s="20">
        <f aca="true" t="shared" si="9" ref="H4:H33">SurfNum+Line0</f>
        <v>29</v>
      </c>
      <c r="I4" s="21">
        <f ca="1" t="shared" si="0"/>
        <v>3.77E-13</v>
      </c>
      <c r="J4" s="21">
        <f ca="1" t="shared" si="1"/>
        <v>-3.62E-13</v>
      </c>
      <c r="K4" s="21">
        <f ca="1" t="shared" si="2"/>
        <v>-2638.131</v>
      </c>
      <c r="L4" s="21">
        <f ca="1" t="shared" si="3"/>
        <v>3.55E-15</v>
      </c>
      <c r="M4" s="21">
        <f ca="1" t="shared" si="4"/>
        <v>1.42E-14</v>
      </c>
      <c r="N4" s="21">
        <f ca="1" t="shared" si="5"/>
        <v>-2638.131</v>
      </c>
      <c r="O4" s="21">
        <f ca="1" t="shared" si="6"/>
        <v>1.78E-15</v>
      </c>
      <c r="P4" s="21">
        <f ca="1" t="shared" si="7"/>
        <v>-7.11E-15</v>
      </c>
      <c r="Q4" s="21">
        <f ca="1" t="shared" si="8"/>
        <v>-2638.131</v>
      </c>
    </row>
    <row r="5" spans="3:17" ht="12.75">
      <c r="C5" s="10" t="s">
        <v>109</v>
      </c>
      <c r="D5" s="11" t="s">
        <v>94</v>
      </c>
      <c r="E5" s="11" t="s">
        <v>470</v>
      </c>
      <c r="F5" s="11" t="s">
        <v>144</v>
      </c>
      <c r="G5" s="20">
        <v>9</v>
      </c>
      <c r="H5" s="20">
        <f t="shared" si="9"/>
        <v>31</v>
      </c>
      <c r="I5" s="21">
        <f ca="1" t="shared" si="0"/>
        <v>-60.320777</v>
      </c>
      <c r="J5" s="21">
        <f ca="1" t="shared" si="1"/>
        <v>-89.713062</v>
      </c>
      <c r="K5" s="21">
        <f ca="1" t="shared" si="2"/>
        <v>-39.659771</v>
      </c>
      <c r="L5" s="21">
        <f ca="1" t="shared" si="3"/>
        <v>-18.784562</v>
      </c>
      <c r="M5" s="21">
        <f ca="1" t="shared" si="4"/>
        <v>-91.72647</v>
      </c>
      <c r="N5" s="21">
        <f ca="1" t="shared" si="5"/>
        <v>-28.68079</v>
      </c>
      <c r="O5" s="21">
        <f ca="1" t="shared" si="6"/>
        <v>-20.354767</v>
      </c>
      <c r="P5" s="21">
        <f ca="1" t="shared" si="7"/>
        <v>-88.826152</v>
      </c>
      <c r="Q5" s="21">
        <f ca="1" t="shared" si="8"/>
        <v>-27.022003</v>
      </c>
    </row>
    <row r="6" spans="3:17" ht="12.75">
      <c r="C6" s="18"/>
      <c r="D6" s="19" t="s">
        <v>95</v>
      </c>
      <c r="E6" s="19" t="s">
        <v>470</v>
      </c>
      <c r="F6" s="19"/>
      <c r="G6" s="20">
        <v>11</v>
      </c>
      <c r="H6" s="20">
        <f t="shared" si="9"/>
        <v>33</v>
      </c>
      <c r="I6" s="21">
        <f ca="1" t="shared" si="0"/>
        <v>-62.761232</v>
      </c>
      <c r="J6" s="21">
        <f ca="1" t="shared" si="1"/>
        <v>-93.342669</v>
      </c>
      <c r="K6" s="21">
        <f ca="1" t="shared" si="2"/>
        <v>65.469052</v>
      </c>
      <c r="L6" s="21">
        <f ca="1" t="shared" si="3"/>
        <v>-19.500476</v>
      </c>
      <c r="M6" s="21">
        <f ca="1" t="shared" si="4"/>
        <v>-95.222336</v>
      </c>
      <c r="N6" s="21">
        <f ca="1" t="shared" si="5"/>
        <v>70.770194</v>
      </c>
      <c r="O6" s="21">
        <f ca="1" t="shared" si="6"/>
        <v>-21.110403</v>
      </c>
      <c r="P6" s="21">
        <f ca="1" t="shared" si="7"/>
        <v>-92.123671</v>
      </c>
      <c r="Q6" s="21">
        <f ca="1" t="shared" si="8"/>
        <v>69.910954</v>
      </c>
    </row>
    <row r="7" spans="1:17" ht="12.75">
      <c r="A7" s="1" t="s">
        <v>96</v>
      </c>
      <c r="B7" s="1">
        <v>22</v>
      </c>
      <c r="C7" s="18"/>
      <c r="D7" s="19" t="s">
        <v>97</v>
      </c>
      <c r="E7" s="19" t="s">
        <v>470</v>
      </c>
      <c r="F7" s="19"/>
      <c r="G7" s="20">
        <v>14</v>
      </c>
      <c r="H7" s="20">
        <f t="shared" si="9"/>
        <v>36</v>
      </c>
      <c r="I7" s="21">
        <f ca="1" t="shared" si="0"/>
        <v>0.23026</v>
      </c>
      <c r="J7" s="21">
        <f ca="1" t="shared" si="1"/>
        <v>-200.363128</v>
      </c>
      <c r="K7" s="21">
        <f ca="1" t="shared" si="2"/>
        <v>-114.037902</v>
      </c>
      <c r="L7" s="21">
        <f ca="1" t="shared" si="3"/>
        <v>-0.002619</v>
      </c>
      <c r="M7" s="21">
        <f ca="1" t="shared" si="4"/>
        <v>-200.11827</v>
      </c>
      <c r="N7" s="21">
        <f ca="1" t="shared" si="5"/>
        <v>-114.117194</v>
      </c>
      <c r="O7" s="21">
        <f ca="1" t="shared" si="6"/>
        <v>0.00704</v>
      </c>
      <c r="P7" s="21">
        <f ca="1" t="shared" si="7"/>
        <v>-200.122747</v>
      </c>
      <c r="Q7" s="21">
        <f ca="1" t="shared" si="8"/>
        <v>-114.115744</v>
      </c>
    </row>
    <row r="8" spans="3:17" ht="13.5" thickBot="1">
      <c r="C8" s="14"/>
      <c r="D8" s="15" t="s">
        <v>98</v>
      </c>
      <c r="E8" s="15" t="s">
        <v>470</v>
      </c>
      <c r="F8" s="15"/>
      <c r="G8" s="20">
        <v>17</v>
      </c>
      <c r="H8" s="20">
        <f t="shared" si="9"/>
        <v>39</v>
      </c>
      <c r="I8" s="21">
        <f ca="1" t="shared" si="0"/>
        <v>58.002151</v>
      </c>
      <c r="J8" s="21">
        <f ca="1" t="shared" si="1"/>
        <v>-183.378714</v>
      </c>
      <c r="K8" s="21">
        <f ca="1" t="shared" si="2"/>
        <v>76.879249</v>
      </c>
      <c r="L8" s="21">
        <f ca="1" t="shared" si="3"/>
        <v>18.0297</v>
      </c>
      <c r="M8" s="21">
        <f ca="1" t="shared" si="4"/>
        <v>-178.482563</v>
      </c>
      <c r="N8" s="21">
        <f ca="1" t="shared" si="5"/>
        <v>81.282101</v>
      </c>
      <c r="O8" s="21">
        <f ca="1" t="shared" si="6"/>
        <v>19.499867</v>
      </c>
      <c r="P8" s="21">
        <f ca="1" t="shared" si="7"/>
        <v>-181.314796</v>
      </c>
      <c r="Q8" s="21">
        <f ca="1" t="shared" si="8"/>
        <v>81.945342</v>
      </c>
    </row>
    <row r="9" spans="1:17" ht="12.75">
      <c r="A9" s="1" t="s">
        <v>99</v>
      </c>
      <c r="B9" s="1" t="s">
        <v>100</v>
      </c>
      <c r="C9" s="10" t="s">
        <v>443</v>
      </c>
      <c r="D9" s="11" t="s">
        <v>444</v>
      </c>
      <c r="E9" s="11" t="s">
        <v>470</v>
      </c>
      <c r="F9" s="11"/>
      <c r="G9" s="20">
        <v>22</v>
      </c>
      <c r="H9" s="20">
        <f t="shared" si="9"/>
        <v>44</v>
      </c>
      <c r="I9" s="21">
        <f ca="1" t="shared" si="0"/>
        <v>33.819252</v>
      </c>
      <c r="J9" s="21">
        <f ca="1" t="shared" si="1"/>
        <v>-263.978028</v>
      </c>
      <c r="K9" s="21">
        <f ca="1" t="shared" si="2"/>
        <v>-104.147395</v>
      </c>
      <c r="L9" s="21">
        <f ca="1" t="shared" si="3"/>
        <v>15.521875</v>
      </c>
      <c r="M9" s="21">
        <f ca="1" t="shared" si="4"/>
        <v>-277.506548</v>
      </c>
      <c r="N9" s="21">
        <f ca="1" t="shared" si="5"/>
        <v>106.787347</v>
      </c>
      <c r="O9" s="21">
        <f ca="1" t="shared" si="6"/>
        <v>16.690589</v>
      </c>
      <c r="P9" s="21">
        <f ca="1" t="shared" si="7"/>
        <v>-280.923961</v>
      </c>
      <c r="Q9" s="21">
        <f ca="1" t="shared" si="8"/>
        <v>107.75419</v>
      </c>
    </row>
    <row r="10" spans="1:17" ht="12.75">
      <c r="A10" s="1" t="s">
        <v>101</v>
      </c>
      <c r="B10" s="1" t="s">
        <v>102</v>
      </c>
      <c r="C10" s="18"/>
      <c r="D10" s="19" t="s">
        <v>445</v>
      </c>
      <c r="E10" s="19" t="s">
        <v>470</v>
      </c>
      <c r="F10" s="19" t="s">
        <v>144</v>
      </c>
      <c r="G10" s="20">
        <v>26</v>
      </c>
      <c r="H10" s="20">
        <f t="shared" si="9"/>
        <v>48</v>
      </c>
      <c r="I10" s="21">
        <f ca="1" t="shared" si="0"/>
        <v>141.696058</v>
      </c>
      <c r="J10" s="21">
        <f ca="1" t="shared" si="1"/>
        <v>-233.04406</v>
      </c>
      <c r="K10" s="21">
        <f ca="1" t="shared" si="2"/>
        <v>-112.983666</v>
      </c>
      <c r="L10" s="21">
        <f ca="1" t="shared" si="3"/>
        <v>0.087781</v>
      </c>
      <c r="M10" s="21">
        <f ca="1" t="shared" si="4"/>
        <v>-448.950976</v>
      </c>
      <c r="N10" s="21">
        <f ca="1" t="shared" si="5"/>
        <v>9.143638</v>
      </c>
      <c r="O10" s="21">
        <f ca="1" t="shared" si="6"/>
        <v>0.080828</v>
      </c>
      <c r="P10" s="21">
        <f ca="1" t="shared" si="7"/>
        <v>-448.947719</v>
      </c>
      <c r="Q10" s="21">
        <f ca="1" t="shared" si="8"/>
        <v>9.14715</v>
      </c>
    </row>
    <row r="11" spans="1:17" ht="12.75">
      <c r="A11" s="1" t="s">
        <v>103</v>
      </c>
      <c r="B11" s="1" t="s">
        <v>104</v>
      </c>
      <c r="C11" s="18"/>
      <c r="D11" s="19" t="s">
        <v>446</v>
      </c>
      <c r="E11" s="19" t="s">
        <v>470</v>
      </c>
      <c r="F11" s="19"/>
      <c r="G11" s="20">
        <v>30</v>
      </c>
      <c r="H11" s="20">
        <f t="shared" si="9"/>
        <v>52</v>
      </c>
      <c r="I11" s="21">
        <f ca="1" t="shared" si="0"/>
        <v>170.859094</v>
      </c>
      <c r="J11" s="21">
        <f ca="1" t="shared" si="1"/>
        <v>-224.68148</v>
      </c>
      <c r="K11" s="21">
        <f ca="1" t="shared" si="2"/>
        <v>-115.372432</v>
      </c>
      <c r="L11" s="21">
        <f ca="1" t="shared" si="3"/>
        <v>-10.755735</v>
      </c>
      <c r="M11" s="21">
        <f ca="1" t="shared" si="4"/>
        <v>-505.261042</v>
      </c>
      <c r="N11" s="21">
        <f ca="1" t="shared" si="5"/>
        <v>-220.085158</v>
      </c>
      <c r="O11" s="21">
        <f ca="1" t="shared" si="6"/>
        <v>-11.624777</v>
      </c>
      <c r="P11" s="21">
        <f ca="1" t="shared" si="7"/>
        <v>-503.556441</v>
      </c>
      <c r="Q11" s="21">
        <f ca="1" t="shared" si="8"/>
        <v>-219.871068</v>
      </c>
    </row>
    <row r="12" spans="3:17" ht="13.5" thickBot="1">
      <c r="C12" s="14"/>
      <c r="D12" s="15" t="s">
        <v>447</v>
      </c>
      <c r="E12" s="15" t="s">
        <v>470</v>
      </c>
      <c r="F12" s="15"/>
      <c r="G12" s="20">
        <v>36</v>
      </c>
      <c r="H12" s="20">
        <f t="shared" si="9"/>
        <v>58</v>
      </c>
      <c r="I12" s="21">
        <f ca="1" t="shared" si="0"/>
        <v>170.859883</v>
      </c>
      <c r="J12" s="21">
        <f ca="1" t="shared" si="1"/>
        <v>-234.57904</v>
      </c>
      <c r="K12" s="21">
        <f ca="1" t="shared" si="2"/>
        <v>-171.50445</v>
      </c>
      <c r="L12" s="21">
        <f ca="1" t="shared" si="3"/>
        <v>-10.168951</v>
      </c>
      <c r="M12" s="21">
        <f ca="1" t="shared" si="4"/>
        <v>-627.36187</v>
      </c>
      <c r="N12" s="21">
        <f ca="1" t="shared" si="5"/>
        <v>68.909762</v>
      </c>
      <c r="O12" s="21">
        <f ca="1" t="shared" si="6"/>
        <v>-11.004597</v>
      </c>
      <c r="P12" s="21">
        <f ca="1" t="shared" si="7"/>
        <v>-626.732892</v>
      </c>
      <c r="Q12" s="21">
        <f ca="1" t="shared" si="8"/>
        <v>70.64512</v>
      </c>
    </row>
    <row r="13" spans="3:17" ht="12.75">
      <c r="C13" s="10" t="s">
        <v>449</v>
      </c>
      <c r="D13" s="11" t="s">
        <v>448</v>
      </c>
      <c r="E13" s="11" t="s">
        <v>470</v>
      </c>
      <c r="F13" s="11"/>
      <c r="G13" s="20">
        <v>39</v>
      </c>
      <c r="H13" s="20">
        <f t="shared" si="9"/>
        <v>61</v>
      </c>
      <c r="I13" s="21">
        <f ca="1" t="shared" si="0"/>
        <v>170.857126</v>
      </c>
      <c r="J13" s="21">
        <f ca="1" t="shared" si="1"/>
        <v>-321.398179</v>
      </c>
      <c r="K13" s="21">
        <f ca="1" t="shared" si="2"/>
        <v>-21.12771</v>
      </c>
      <c r="L13" s="21">
        <f ca="1" t="shared" si="3"/>
        <v>-34.14</v>
      </c>
      <c r="M13" s="21">
        <f ca="1" t="shared" si="4"/>
        <v>-627.618626</v>
      </c>
      <c r="N13" s="21">
        <f ca="1" t="shared" si="5"/>
        <v>69.153106</v>
      </c>
      <c r="O13" s="21">
        <f ca="1" t="shared" si="6"/>
        <v>-34.14</v>
      </c>
      <c r="P13" s="21">
        <f ca="1" t="shared" si="7"/>
        <v>-626.968333</v>
      </c>
      <c r="Q13" s="21">
        <f ca="1" t="shared" si="8"/>
        <v>70.928749</v>
      </c>
    </row>
    <row r="14" spans="3:17" ht="12.75">
      <c r="C14" s="18"/>
      <c r="D14" s="19" t="s">
        <v>450</v>
      </c>
      <c r="E14" s="19" t="s">
        <v>470</v>
      </c>
      <c r="F14" s="19"/>
      <c r="G14" s="20">
        <v>43</v>
      </c>
      <c r="H14" s="20">
        <f t="shared" si="9"/>
        <v>65</v>
      </c>
      <c r="I14" s="21">
        <f ca="1" t="shared" si="0"/>
        <v>170.854376</v>
      </c>
      <c r="J14" s="21">
        <f ca="1" t="shared" si="1"/>
        <v>-407.997437</v>
      </c>
      <c r="K14" s="21">
        <f ca="1" t="shared" si="2"/>
        <v>-171.123603</v>
      </c>
      <c r="L14" s="21">
        <f ca="1" t="shared" si="3"/>
        <v>-10.019144</v>
      </c>
      <c r="M14" s="21">
        <f ca="1" t="shared" si="4"/>
        <v>-620.399652</v>
      </c>
      <c r="N14" s="21">
        <f ca="1" t="shared" si="5"/>
        <v>61.497935</v>
      </c>
      <c r="O14" s="21">
        <f ca="1" t="shared" si="6"/>
        <v>-10.829581</v>
      </c>
      <c r="P14" s="21">
        <f ca="1" t="shared" si="7"/>
        <v>-619.213249</v>
      </c>
      <c r="Q14" s="21">
        <f ca="1" t="shared" si="8"/>
        <v>62.610429</v>
      </c>
    </row>
    <row r="15" spans="3:17" ht="12.75">
      <c r="C15" s="18"/>
      <c r="D15" s="19" t="s">
        <v>451</v>
      </c>
      <c r="E15" s="19" t="s">
        <v>470</v>
      </c>
      <c r="F15" s="19"/>
      <c r="G15" s="20">
        <v>46</v>
      </c>
      <c r="H15" s="20">
        <f t="shared" si="9"/>
        <v>68</v>
      </c>
      <c r="I15" s="21">
        <f ca="1" t="shared" si="0"/>
        <v>170.854534</v>
      </c>
      <c r="J15" s="21">
        <f ca="1" t="shared" si="1"/>
        <v>-407.997961</v>
      </c>
      <c r="K15" s="21">
        <f ca="1" t="shared" si="2"/>
        <v>-46.123882</v>
      </c>
      <c r="L15" s="21">
        <f ca="1" t="shared" si="3"/>
        <v>-9.569267</v>
      </c>
      <c r="M15" s="21">
        <f ca="1" t="shared" si="4"/>
        <v>-515.227885</v>
      </c>
      <c r="N15" s="21">
        <f ca="1" t="shared" si="5"/>
        <v>-140.166446</v>
      </c>
      <c r="O15" s="21">
        <f ca="1" t="shared" si="6"/>
        <v>-10.349698</v>
      </c>
      <c r="P15" s="21">
        <f ca="1" t="shared" si="7"/>
        <v>-513.62396</v>
      </c>
      <c r="Q15" s="21">
        <f ca="1" t="shared" si="8"/>
        <v>-140.331781</v>
      </c>
    </row>
    <row r="16" spans="3:17" ht="12.75">
      <c r="C16" s="18"/>
      <c r="D16" s="19" t="s">
        <v>452</v>
      </c>
      <c r="E16" s="19" t="s">
        <v>470</v>
      </c>
      <c r="F16" s="19"/>
      <c r="G16" s="20">
        <v>51</v>
      </c>
      <c r="H16" s="20">
        <f t="shared" si="9"/>
        <v>73</v>
      </c>
      <c r="I16" s="21">
        <f ca="1" t="shared" si="0"/>
        <v>170.858759</v>
      </c>
      <c r="J16" s="21">
        <f ca="1" t="shared" si="1"/>
        <v>-457.998896</v>
      </c>
      <c r="K16" s="21">
        <f ca="1" t="shared" si="2"/>
        <v>-46.126616</v>
      </c>
      <c r="L16" s="21">
        <f ca="1" t="shared" si="3"/>
        <v>-72.027431</v>
      </c>
      <c r="M16" s="21">
        <f ca="1" t="shared" si="4"/>
        <v>-521.635326</v>
      </c>
      <c r="N16" s="21">
        <f ca="1" t="shared" si="5"/>
        <v>-89.711826</v>
      </c>
      <c r="O16" s="21">
        <f ca="1" t="shared" si="6"/>
        <v>-72.58604</v>
      </c>
      <c r="P16" s="21">
        <f ca="1" t="shared" si="7"/>
        <v>-519.847765</v>
      </c>
      <c r="Q16" s="21">
        <f ca="1" t="shared" si="8"/>
        <v>-90.158272</v>
      </c>
    </row>
    <row r="17" spans="3:17" ht="12.75">
      <c r="C17" s="18"/>
      <c r="D17" s="19" t="s">
        <v>453</v>
      </c>
      <c r="E17" s="19" t="s">
        <v>470</v>
      </c>
      <c r="F17" s="19"/>
      <c r="G17" s="20">
        <v>53</v>
      </c>
      <c r="H17" s="20">
        <f t="shared" si="9"/>
        <v>75</v>
      </c>
      <c r="I17" s="21">
        <f ca="1" t="shared" si="0"/>
        <v>170.854597</v>
      </c>
      <c r="J17" s="21">
        <f ca="1" t="shared" si="1"/>
        <v>-457.995952</v>
      </c>
      <c r="K17" s="21">
        <f ca="1" t="shared" si="2"/>
        <v>-46.123672</v>
      </c>
      <c r="L17" s="21">
        <f ca="1" t="shared" si="3"/>
        <v>-61.557994</v>
      </c>
      <c r="M17" s="21">
        <f ca="1" t="shared" si="4"/>
        <v>-520.56129</v>
      </c>
      <c r="N17" s="21">
        <f ca="1" t="shared" si="5"/>
        <v>-98.169191</v>
      </c>
      <c r="O17" s="21">
        <f ca="1" t="shared" si="6"/>
        <v>-62.106432</v>
      </c>
      <c r="P17" s="21">
        <f ca="1" t="shared" si="7"/>
        <v>-518.799775</v>
      </c>
      <c r="Q17" s="21">
        <f ca="1" t="shared" si="8"/>
        <v>-98.606691</v>
      </c>
    </row>
    <row r="18" spans="3:17" ht="12.75">
      <c r="C18" s="18"/>
      <c r="D18" s="19" t="s">
        <v>455</v>
      </c>
      <c r="E18" s="19" t="s">
        <v>470</v>
      </c>
      <c r="F18" s="19"/>
      <c r="G18" s="20">
        <v>56</v>
      </c>
      <c r="H18" s="20">
        <f t="shared" si="9"/>
        <v>78</v>
      </c>
      <c r="I18" s="21">
        <f ca="1" t="shared" si="0"/>
        <v>170.858602</v>
      </c>
      <c r="J18" s="21">
        <f ca="1" t="shared" si="1"/>
        <v>-457.998372</v>
      </c>
      <c r="K18" s="21">
        <f ca="1" t="shared" si="2"/>
        <v>-171.123266</v>
      </c>
      <c r="L18" s="21">
        <f ca="1" t="shared" si="3"/>
        <v>-9.503531</v>
      </c>
      <c r="M18" s="21">
        <f ca="1" t="shared" si="4"/>
        <v>-515.780101</v>
      </c>
      <c r="N18" s="21">
        <f ca="1" t="shared" si="5"/>
        <v>-135.738523</v>
      </c>
      <c r="O18" s="21">
        <f ca="1" t="shared" si="6"/>
        <v>-10.272944</v>
      </c>
      <c r="P18" s="21">
        <f ca="1" t="shared" si="7"/>
        <v>-514.229985</v>
      </c>
      <c r="Q18" s="21">
        <f ca="1" t="shared" si="8"/>
        <v>-135.543836</v>
      </c>
    </row>
    <row r="19" spans="3:17" ht="12.75">
      <c r="C19" s="18"/>
      <c r="D19" s="19" t="s">
        <v>454</v>
      </c>
      <c r="E19" s="19" t="s">
        <v>470</v>
      </c>
      <c r="F19" s="19"/>
      <c r="G19" s="20">
        <v>60</v>
      </c>
      <c r="H19" s="20">
        <f t="shared" si="9"/>
        <v>82</v>
      </c>
      <c r="I19" s="21">
        <f ca="1" t="shared" si="0"/>
        <v>170.855908</v>
      </c>
      <c r="J19" s="21">
        <f ca="1" t="shared" si="1"/>
        <v>-544.597766</v>
      </c>
      <c r="K19" s="21">
        <f ca="1" t="shared" si="2"/>
        <v>-21.12771</v>
      </c>
      <c r="L19" s="21">
        <f ca="1" t="shared" si="3"/>
        <v>-10.623296</v>
      </c>
      <c r="M19" s="21">
        <f ca="1" t="shared" si="4"/>
        <v>-477.505228</v>
      </c>
      <c r="N19" s="21">
        <f ca="1" t="shared" si="5"/>
        <v>-178.44418</v>
      </c>
      <c r="O19" s="21">
        <f ca="1" t="shared" si="6"/>
        <v>-11.481801</v>
      </c>
      <c r="P19" s="21">
        <f ca="1" t="shared" si="7"/>
        <v>-477.50527</v>
      </c>
      <c r="Q19" s="21">
        <f ca="1" t="shared" si="8"/>
        <v>-180.145705</v>
      </c>
    </row>
    <row r="20" spans="3:17" ht="12.75">
      <c r="C20" s="18"/>
      <c r="D20" s="19" t="s">
        <v>456</v>
      </c>
      <c r="E20" s="19" t="s">
        <v>470</v>
      </c>
      <c r="F20" s="19"/>
      <c r="G20" s="20">
        <v>63</v>
      </c>
      <c r="H20" s="20">
        <f t="shared" si="9"/>
        <v>85</v>
      </c>
      <c r="I20" s="21">
        <f ca="1" t="shared" si="0"/>
        <v>170.853544</v>
      </c>
      <c r="J20" s="21">
        <f ca="1" t="shared" si="1"/>
        <v>-620.587374</v>
      </c>
      <c r="K20" s="21">
        <f ca="1" t="shared" si="2"/>
        <v>-152.746455</v>
      </c>
      <c r="L20" s="21">
        <f ca="1" t="shared" si="3"/>
        <v>-10.755735</v>
      </c>
      <c r="M20" s="21">
        <f ca="1" t="shared" si="4"/>
        <v>-468.515228</v>
      </c>
      <c r="N20" s="21">
        <f ca="1" t="shared" si="5"/>
        <v>-178.436583</v>
      </c>
      <c r="O20" s="21">
        <f ca="1" t="shared" si="6"/>
        <v>-11.624777</v>
      </c>
      <c r="P20" s="21">
        <f ca="1" t="shared" si="7"/>
        <v>-468.51527</v>
      </c>
      <c r="Q20" s="21">
        <f ca="1" t="shared" si="8"/>
        <v>-180.154575</v>
      </c>
    </row>
    <row r="21" spans="3:17" ht="12.75">
      <c r="C21" s="18"/>
      <c r="D21" s="19" t="s">
        <v>457</v>
      </c>
      <c r="E21" s="19" t="s">
        <v>470</v>
      </c>
      <c r="F21" s="19"/>
      <c r="G21" s="20">
        <v>67</v>
      </c>
      <c r="H21" s="20">
        <f t="shared" si="9"/>
        <v>89</v>
      </c>
      <c r="I21" s="21">
        <f ca="1" t="shared" si="0"/>
        <v>170.855319</v>
      </c>
      <c r="J21" s="21">
        <f ca="1" t="shared" si="1"/>
        <v>-636.662659</v>
      </c>
      <c r="K21" s="21">
        <f ca="1" t="shared" si="2"/>
        <v>-61.583891</v>
      </c>
      <c r="L21" s="21">
        <f ca="1" t="shared" si="3"/>
        <v>0</v>
      </c>
      <c r="M21" s="21">
        <f ca="1" t="shared" si="4"/>
        <v>0</v>
      </c>
      <c r="N21" s="21">
        <f ca="1" t="shared" si="5"/>
        <v>0</v>
      </c>
      <c r="O21" s="21">
        <f ca="1" t="shared" si="6"/>
        <v>0</v>
      </c>
      <c r="P21" s="21">
        <f ca="1" t="shared" si="7"/>
        <v>0</v>
      </c>
      <c r="Q21" s="21">
        <f ca="1" t="shared" si="8"/>
        <v>0</v>
      </c>
    </row>
    <row r="22" spans="3:17" ht="13.5" thickBot="1">
      <c r="C22" s="14"/>
      <c r="D22" s="15" t="s">
        <v>458</v>
      </c>
      <c r="E22" s="19" t="s">
        <v>470</v>
      </c>
      <c r="F22" s="15" t="s">
        <v>145</v>
      </c>
      <c r="G22" s="20">
        <v>70</v>
      </c>
      <c r="H22" s="20">
        <f t="shared" si="9"/>
        <v>92</v>
      </c>
      <c r="I22" s="21">
        <f ca="1" t="shared" si="0"/>
        <v>250.856678</v>
      </c>
      <c r="J22" s="21">
        <f ca="1" t="shared" si="1"/>
        <v>-636.663651</v>
      </c>
      <c r="K22" s="21">
        <f ca="1" t="shared" si="2"/>
        <v>-61.582508</v>
      </c>
      <c r="L22" s="21">
        <f ca="1" t="shared" si="3"/>
        <v>0</v>
      </c>
      <c r="M22" s="21">
        <f ca="1" t="shared" si="4"/>
        <v>0</v>
      </c>
      <c r="N22" s="21">
        <f ca="1" t="shared" si="5"/>
        <v>0</v>
      </c>
      <c r="O22" s="21">
        <f ca="1" t="shared" si="6"/>
        <v>0</v>
      </c>
      <c r="P22" s="21">
        <f ca="1" t="shared" si="7"/>
        <v>0</v>
      </c>
      <c r="Q22" s="21">
        <f ca="1" t="shared" si="8"/>
        <v>0</v>
      </c>
    </row>
    <row r="23" spans="3:17" ht="13.5" thickBot="1">
      <c r="C23" s="19"/>
      <c r="D23" s="19" t="s">
        <v>447</v>
      </c>
      <c r="E23" s="19" t="s">
        <v>471</v>
      </c>
      <c r="F23" s="19" t="s">
        <v>110</v>
      </c>
      <c r="G23" s="20">
        <v>36</v>
      </c>
      <c r="H23" s="20">
        <f t="shared" si="9"/>
        <v>58</v>
      </c>
      <c r="I23" s="21">
        <f ca="1" t="shared" si="0"/>
        <v>170.859883</v>
      </c>
      <c r="J23" s="21">
        <f ca="1" t="shared" si="1"/>
        <v>-234.57904</v>
      </c>
      <c r="K23" s="21">
        <f ca="1" t="shared" si="2"/>
        <v>-171.50445</v>
      </c>
      <c r="L23" s="21">
        <f ca="1" t="shared" si="3"/>
        <v>-10.168951</v>
      </c>
      <c r="M23" s="21">
        <f ca="1" t="shared" si="4"/>
        <v>-627.36187</v>
      </c>
      <c r="N23" s="21">
        <f ca="1" t="shared" si="5"/>
        <v>68.909762</v>
      </c>
      <c r="O23" s="21">
        <f ca="1" t="shared" si="6"/>
        <v>-11.004597</v>
      </c>
      <c r="P23" s="21">
        <f ca="1" t="shared" si="7"/>
        <v>-626.732892</v>
      </c>
      <c r="Q23" s="21">
        <f ca="1" t="shared" si="8"/>
        <v>70.64512</v>
      </c>
    </row>
    <row r="24" spans="3:17" ht="12.75">
      <c r="C24" s="10" t="s">
        <v>459</v>
      </c>
      <c r="D24" s="11" t="s">
        <v>448</v>
      </c>
      <c r="E24" s="11" t="s">
        <v>471</v>
      </c>
      <c r="F24" s="11" t="s">
        <v>144</v>
      </c>
      <c r="G24" s="20">
        <v>39</v>
      </c>
      <c r="H24" s="20">
        <f t="shared" si="9"/>
        <v>61</v>
      </c>
      <c r="I24" s="21">
        <f ca="1" t="shared" si="0"/>
        <v>170.857126</v>
      </c>
      <c r="J24" s="21">
        <f ca="1" t="shared" si="1"/>
        <v>-321.398179</v>
      </c>
      <c r="K24" s="21">
        <f ca="1" t="shared" si="2"/>
        <v>-21.12771</v>
      </c>
      <c r="L24" s="21">
        <f ca="1" t="shared" si="3"/>
        <v>-34.14</v>
      </c>
      <c r="M24" s="21">
        <f ca="1" t="shared" si="4"/>
        <v>-627.618626</v>
      </c>
      <c r="N24" s="21">
        <f ca="1" t="shared" si="5"/>
        <v>69.153106</v>
      </c>
      <c r="O24" s="21">
        <f ca="1" t="shared" si="6"/>
        <v>-34.14</v>
      </c>
      <c r="P24" s="21">
        <f ca="1" t="shared" si="7"/>
        <v>-626.968333</v>
      </c>
      <c r="Q24" s="21">
        <f ca="1" t="shared" si="8"/>
        <v>70.928749</v>
      </c>
    </row>
    <row r="25" spans="3:17" ht="12.75">
      <c r="C25" s="18"/>
      <c r="D25" s="19" t="s">
        <v>460</v>
      </c>
      <c r="E25" s="19" t="s">
        <v>471</v>
      </c>
      <c r="F25" s="19"/>
      <c r="G25" s="20">
        <v>43</v>
      </c>
      <c r="H25" s="20">
        <f t="shared" si="9"/>
        <v>65</v>
      </c>
      <c r="I25" s="21">
        <f ca="1" t="shared" si="10" ref="I25:I33">INDIRECT("GutRay"&amp;Arm&amp;"!"&amp;Xcol&amp;FIXED(Line,0))</f>
        <v>170.854376</v>
      </c>
      <c r="J25" s="21">
        <f ca="1" t="shared" si="11" ref="J25:J33">INDIRECT("GutRay"&amp;Arm&amp;"!"&amp;Ycol&amp;FIXED(Line,0))</f>
        <v>-407.997437</v>
      </c>
      <c r="K25" s="21">
        <f ca="1" t="shared" si="12" ref="K25:K33">INDIRECT("GutRay"&amp;Arm&amp;"!"&amp;Zcol&amp;FIXED(Line,0))</f>
        <v>128.868184</v>
      </c>
      <c r="L25" s="21">
        <f ca="1" t="shared" si="3"/>
        <v>-10.019144</v>
      </c>
      <c r="M25" s="21">
        <f ca="1" t="shared" si="4"/>
        <v>-620.399652</v>
      </c>
      <c r="N25" s="21">
        <f ca="1" t="shared" si="5"/>
        <v>61.497935</v>
      </c>
      <c r="O25" s="21">
        <f ca="1" t="shared" si="6"/>
        <v>-10.829581</v>
      </c>
      <c r="P25" s="21">
        <f ca="1" t="shared" si="7"/>
        <v>-619.213249</v>
      </c>
      <c r="Q25" s="21">
        <f ca="1" t="shared" si="8"/>
        <v>62.610429</v>
      </c>
    </row>
    <row r="26" spans="3:17" ht="12.75">
      <c r="C26" s="18"/>
      <c r="D26" s="19" t="s">
        <v>461</v>
      </c>
      <c r="E26" s="19" t="s">
        <v>471</v>
      </c>
      <c r="F26" s="19"/>
      <c r="G26" s="20">
        <v>46</v>
      </c>
      <c r="H26" s="20">
        <f t="shared" si="9"/>
        <v>68</v>
      </c>
      <c r="I26" s="21">
        <f ca="1" t="shared" si="10"/>
        <v>170.854534</v>
      </c>
      <c r="J26" s="21">
        <f ca="1" t="shared" si="11"/>
        <v>-407.997961</v>
      </c>
      <c r="K26" s="21">
        <f ca="1" t="shared" si="12"/>
        <v>3.868462</v>
      </c>
      <c r="L26" s="21">
        <f ca="1" t="shared" si="3"/>
        <v>-9.569267</v>
      </c>
      <c r="M26" s="21">
        <f ca="1" t="shared" si="4"/>
        <v>-515.227885</v>
      </c>
      <c r="N26" s="21">
        <f ca="1" t="shared" si="5"/>
        <v>-140.166446</v>
      </c>
      <c r="O26" s="21">
        <f ca="1" t="shared" si="6"/>
        <v>-10.349698</v>
      </c>
      <c r="P26" s="21">
        <f ca="1" t="shared" si="7"/>
        <v>-513.62396</v>
      </c>
      <c r="Q26" s="21">
        <f ca="1" t="shared" si="8"/>
        <v>-140.331781</v>
      </c>
    </row>
    <row r="27" spans="3:17" ht="12.75">
      <c r="C27" s="18"/>
      <c r="D27" s="19" t="s">
        <v>462</v>
      </c>
      <c r="E27" s="19" t="s">
        <v>471</v>
      </c>
      <c r="F27" s="19"/>
      <c r="G27" s="20">
        <v>51</v>
      </c>
      <c r="H27" s="20">
        <f t="shared" si="9"/>
        <v>73</v>
      </c>
      <c r="I27" s="21">
        <f ca="1" t="shared" si="10"/>
        <v>170.858759</v>
      </c>
      <c r="J27" s="21">
        <f ca="1" t="shared" si="11"/>
        <v>-457.998896</v>
      </c>
      <c r="K27" s="21">
        <f ca="1" t="shared" si="12"/>
        <v>3.871196</v>
      </c>
      <c r="L27" s="21">
        <f ca="1" t="shared" si="3"/>
        <v>-72.027431</v>
      </c>
      <c r="M27" s="21">
        <f ca="1" t="shared" si="4"/>
        <v>-521.635326</v>
      </c>
      <c r="N27" s="21">
        <f ca="1" t="shared" si="5"/>
        <v>-89.711826</v>
      </c>
      <c r="O27" s="21">
        <f ca="1" t="shared" si="6"/>
        <v>-72.58604</v>
      </c>
      <c r="P27" s="21">
        <f ca="1" t="shared" si="7"/>
        <v>-519.847765</v>
      </c>
      <c r="Q27" s="21">
        <f ca="1" t="shared" si="8"/>
        <v>-90.158272</v>
      </c>
    </row>
    <row r="28" spans="3:17" ht="12.75">
      <c r="C28" s="18"/>
      <c r="D28" s="19" t="s">
        <v>463</v>
      </c>
      <c r="E28" s="19" t="s">
        <v>471</v>
      </c>
      <c r="F28" s="19"/>
      <c r="G28" s="20">
        <v>53</v>
      </c>
      <c r="H28" s="20">
        <f t="shared" si="9"/>
        <v>75</v>
      </c>
      <c r="I28" s="21">
        <f ca="1" t="shared" si="10"/>
        <v>170.854597</v>
      </c>
      <c r="J28" s="21">
        <f ca="1" t="shared" si="11"/>
        <v>-457.995952</v>
      </c>
      <c r="K28" s="21">
        <f ca="1" t="shared" si="12"/>
        <v>3.868253</v>
      </c>
      <c r="L28" s="21">
        <f ca="1" t="shared" si="3"/>
        <v>-61.557994</v>
      </c>
      <c r="M28" s="21">
        <f ca="1" t="shared" si="4"/>
        <v>-520.56129</v>
      </c>
      <c r="N28" s="21">
        <f ca="1" t="shared" si="5"/>
        <v>-98.169191</v>
      </c>
      <c r="O28" s="21">
        <f ca="1" t="shared" si="6"/>
        <v>-62.106432</v>
      </c>
      <c r="P28" s="21">
        <f ca="1" t="shared" si="7"/>
        <v>-518.799775</v>
      </c>
      <c r="Q28" s="21">
        <f ca="1" t="shared" si="8"/>
        <v>-98.606691</v>
      </c>
    </row>
    <row r="29" spans="3:17" ht="12.75">
      <c r="C29" s="18"/>
      <c r="D29" s="19" t="s">
        <v>464</v>
      </c>
      <c r="E29" s="19" t="s">
        <v>471</v>
      </c>
      <c r="F29" s="19"/>
      <c r="G29" s="20">
        <v>56</v>
      </c>
      <c r="H29" s="20">
        <f t="shared" si="9"/>
        <v>78</v>
      </c>
      <c r="I29" s="21">
        <f ca="1" t="shared" si="10"/>
        <v>170.858602</v>
      </c>
      <c r="J29" s="21">
        <f ca="1" t="shared" si="11"/>
        <v>-457.998372</v>
      </c>
      <c r="K29" s="21">
        <f ca="1" t="shared" si="12"/>
        <v>128.867847</v>
      </c>
      <c r="L29" s="21">
        <f ca="1" t="shared" si="3"/>
        <v>-9.503531</v>
      </c>
      <c r="M29" s="21">
        <f ca="1" t="shared" si="4"/>
        <v>-515.780101</v>
      </c>
      <c r="N29" s="21">
        <f ca="1" t="shared" si="5"/>
        <v>-135.738523</v>
      </c>
      <c r="O29" s="21">
        <f ca="1" t="shared" si="6"/>
        <v>-10.272944</v>
      </c>
      <c r="P29" s="21">
        <f ca="1" t="shared" si="7"/>
        <v>-514.229985</v>
      </c>
      <c r="Q29" s="21">
        <f ca="1" t="shared" si="8"/>
        <v>-135.543836</v>
      </c>
    </row>
    <row r="30" spans="3:17" ht="12.75">
      <c r="C30" s="18"/>
      <c r="D30" s="19" t="s">
        <v>454</v>
      </c>
      <c r="E30" s="19" t="s">
        <v>471</v>
      </c>
      <c r="F30" s="19"/>
      <c r="G30" s="20">
        <v>60</v>
      </c>
      <c r="H30" s="20">
        <f t="shared" si="9"/>
        <v>82</v>
      </c>
      <c r="I30" s="21">
        <f ca="1" t="shared" si="10"/>
        <v>170.855908</v>
      </c>
      <c r="J30" s="21">
        <f ca="1" t="shared" si="11"/>
        <v>-544.597766</v>
      </c>
      <c r="K30" s="21">
        <f ca="1" t="shared" si="12"/>
        <v>-21.12771</v>
      </c>
      <c r="L30" s="21">
        <f ca="1" t="shared" si="3"/>
        <v>-10.623296</v>
      </c>
      <c r="M30" s="21">
        <f ca="1" t="shared" si="4"/>
        <v>-477.505228</v>
      </c>
      <c r="N30" s="21">
        <f ca="1" t="shared" si="5"/>
        <v>-178.44418</v>
      </c>
      <c r="O30" s="21">
        <f ca="1" t="shared" si="6"/>
        <v>-11.481801</v>
      </c>
      <c r="P30" s="21">
        <f ca="1" t="shared" si="7"/>
        <v>-477.50527</v>
      </c>
      <c r="Q30" s="21">
        <f ca="1" t="shared" si="8"/>
        <v>-180.145705</v>
      </c>
    </row>
    <row r="31" spans="3:17" ht="12.75">
      <c r="C31" s="18"/>
      <c r="D31" s="19" t="s">
        <v>465</v>
      </c>
      <c r="E31" s="19" t="s">
        <v>471</v>
      </c>
      <c r="F31" s="19"/>
      <c r="G31" s="20">
        <v>63</v>
      </c>
      <c r="H31" s="20">
        <f t="shared" si="9"/>
        <v>85</v>
      </c>
      <c r="I31" s="21">
        <f ca="1" t="shared" si="10"/>
        <v>170.853544</v>
      </c>
      <c r="J31" s="21">
        <f ca="1" t="shared" si="11"/>
        <v>-620.587374</v>
      </c>
      <c r="K31" s="21">
        <f ca="1" t="shared" si="12"/>
        <v>110.491035</v>
      </c>
      <c r="L31" s="21">
        <f ca="1" t="shared" si="3"/>
        <v>-10.755735</v>
      </c>
      <c r="M31" s="21">
        <f ca="1" t="shared" si="4"/>
        <v>-468.515228</v>
      </c>
      <c r="N31" s="21">
        <f ca="1" t="shared" si="5"/>
        <v>-178.436583</v>
      </c>
      <c r="O31" s="21">
        <f ca="1" t="shared" si="6"/>
        <v>-11.624777</v>
      </c>
      <c r="P31" s="21">
        <f ca="1" t="shared" si="7"/>
        <v>-468.51527</v>
      </c>
      <c r="Q31" s="21">
        <f ca="1" t="shared" si="8"/>
        <v>-180.154575</v>
      </c>
    </row>
    <row r="32" spans="3:17" ht="12.75">
      <c r="C32" s="18"/>
      <c r="D32" s="19" t="s">
        <v>466</v>
      </c>
      <c r="E32" s="19" t="s">
        <v>471</v>
      </c>
      <c r="F32" s="19"/>
      <c r="G32" s="20">
        <v>67</v>
      </c>
      <c r="H32" s="20">
        <f t="shared" si="9"/>
        <v>89</v>
      </c>
      <c r="I32" s="21">
        <f ca="1" t="shared" si="10"/>
        <v>170.855319</v>
      </c>
      <c r="J32" s="21">
        <f ca="1" t="shared" si="11"/>
        <v>-636.662659</v>
      </c>
      <c r="K32" s="21">
        <f ca="1" t="shared" si="12"/>
        <v>19.328471</v>
      </c>
      <c r="L32" s="21">
        <f ca="1" t="shared" si="3"/>
        <v>0</v>
      </c>
      <c r="M32" s="21">
        <f ca="1" t="shared" si="4"/>
        <v>0</v>
      </c>
      <c r="N32" s="21">
        <f ca="1" t="shared" si="5"/>
        <v>0</v>
      </c>
      <c r="O32" s="21">
        <f ca="1" t="shared" si="6"/>
        <v>0</v>
      </c>
      <c r="P32" s="21">
        <f ca="1" t="shared" si="7"/>
        <v>0</v>
      </c>
      <c r="Q32" s="21">
        <f ca="1" t="shared" si="8"/>
        <v>0</v>
      </c>
    </row>
    <row r="33" spans="3:17" ht="13.5" thickBot="1">
      <c r="C33" s="14"/>
      <c r="D33" s="15" t="s">
        <v>467</v>
      </c>
      <c r="E33" s="15" t="s">
        <v>471</v>
      </c>
      <c r="F33" s="15" t="s">
        <v>145</v>
      </c>
      <c r="G33" s="20">
        <v>70</v>
      </c>
      <c r="H33" s="20">
        <f t="shared" si="9"/>
        <v>92</v>
      </c>
      <c r="I33" s="21">
        <f ca="1" t="shared" si="10"/>
        <v>250.856678</v>
      </c>
      <c r="J33" s="21">
        <f ca="1" t="shared" si="11"/>
        <v>-636.663651</v>
      </c>
      <c r="K33" s="21">
        <f ca="1" t="shared" si="12"/>
        <v>19.327088</v>
      </c>
      <c r="L33" s="21">
        <f ca="1" t="shared" si="3"/>
        <v>0</v>
      </c>
      <c r="M33" s="21">
        <f ca="1" t="shared" si="4"/>
        <v>0</v>
      </c>
      <c r="N33" s="21">
        <f ca="1" t="shared" si="5"/>
        <v>0</v>
      </c>
      <c r="O33" s="21">
        <f ca="1" t="shared" si="6"/>
        <v>0</v>
      </c>
      <c r="P33" s="21">
        <f ca="1" t="shared" si="7"/>
        <v>0</v>
      </c>
      <c r="Q33" s="21">
        <f ca="1" t="shared" si="8"/>
        <v>0</v>
      </c>
    </row>
    <row r="34" spans="3:6" ht="12.75">
      <c r="C34" s="19"/>
      <c r="D34" s="19"/>
      <c r="E34" s="19"/>
      <c r="F34" s="19"/>
    </row>
    <row r="35" spans="3:6" ht="12.75">
      <c r="C35" s="19"/>
      <c r="D35" s="19"/>
      <c r="E35" s="19"/>
      <c r="F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6" ht="12.75">
      <c r="C40" s="19"/>
      <c r="D40" s="19"/>
      <c r="E40" s="19"/>
      <c r="F40" s="19"/>
    </row>
    <row r="41" spans="3:6" ht="12.75">
      <c r="C41" s="19"/>
      <c r="D41" s="19"/>
      <c r="E41" s="19"/>
      <c r="F41" s="19"/>
    </row>
    <row r="42" spans="3:6" ht="12.75">
      <c r="C42" s="19"/>
      <c r="D42" s="19"/>
      <c r="E42" s="19"/>
      <c r="F42" s="19"/>
    </row>
    <row r="43" spans="3:6" ht="12.75">
      <c r="C43" s="19"/>
      <c r="D43" s="19"/>
      <c r="E43" s="19"/>
      <c r="F43" s="19"/>
    </row>
    <row r="44" spans="3:6" ht="12.75">
      <c r="C44" s="19"/>
      <c r="D44" s="19"/>
      <c r="E44" s="19"/>
      <c r="F44" s="19"/>
    </row>
    <row r="45" spans="3:6" ht="12.75">
      <c r="C45" s="19"/>
      <c r="D45" s="19"/>
      <c r="E45" s="19"/>
      <c r="F45" s="19"/>
    </row>
    <row r="46" spans="3:6" ht="12.75">
      <c r="C46" s="19"/>
      <c r="D46" s="19"/>
      <c r="E46" s="19"/>
      <c r="F46" s="19"/>
    </row>
    <row r="47" spans="3:6" ht="12.75">
      <c r="C47" s="19"/>
      <c r="D47" s="19"/>
      <c r="E47" s="19"/>
      <c r="F47" s="19"/>
    </row>
    <row r="48" spans="3:6" ht="12.75">
      <c r="C48" s="19"/>
      <c r="D48" s="19"/>
      <c r="E48" s="19"/>
      <c r="F48" s="19"/>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B1:M318"/>
  <sheetViews>
    <sheetView workbookViewId="0" topLeftCell="A271">
      <selection activeCell="A271" sqref="A1:M31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422</v>
      </c>
      <c r="J4" s="1" t="s">
        <v>490</v>
      </c>
    </row>
    <row r="6" spans="2:3" ht="12.75">
      <c r="B6" s="1" t="s">
        <v>39</v>
      </c>
      <c r="C6" s="1" t="s">
        <v>48</v>
      </c>
    </row>
    <row r="7" spans="2:3" ht="12.75">
      <c r="B7" s="2">
        <v>36971</v>
      </c>
      <c r="C7" s="3">
        <v>0.513125</v>
      </c>
    </row>
    <row r="8" ht="12.75">
      <c r="B8" s="1" t="s">
        <v>39</v>
      </c>
    </row>
    <row r="9" spans="2:10" ht="12.75">
      <c r="B9" s="1" t="s">
        <v>39</v>
      </c>
      <c r="C9" s="1" t="s">
        <v>148</v>
      </c>
      <c r="D9" s="1">
        <v>2</v>
      </c>
      <c r="E9" s="1">
        <v>0</v>
      </c>
      <c r="F9" s="1">
        <v>0</v>
      </c>
      <c r="G9" s="1">
        <v>0</v>
      </c>
      <c r="H9" s="1" t="s">
        <v>50</v>
      </c>
      <c r="I9" s="1">
        <v>0</v>
      </c>
      <c r="J9" s="1" t="s">
        <v>51</v>
      </c>
    </row>
    <row r="10" spans="2:9" ht="12.75">
      <c r="B10" s="1" t="s">
        <v>148</v>
      </c>
      <c r="C10" s="1">
        <v>2</v>
      </c>
      <c r="D10" s="1">
        <v>0</v>
      </c>
      <c r="E10" s="1">
        <v>0</v>
      </c>
      <c r="F10" s="1">
        <v>0</v>
      </c>
      <c r="G10" s="1" t="s">
        <v>50</v>
      </c>
      <c r="H10" s="1">
        <v>0</v>
      </c>
      <c r="I10" s="1" t="s">
        <v>51</v>
      </c>
    </row>
    <row r="11" spans="2:5" ht="12.75">
      <c r="B11" s="1" t="s">
        <v>39</v>
      </c>
      <c r="C11" s="1" t="s">
        <v>149</v>
      </c>
      <c r="D11" s="1" t="s">
        <v>150</v>
      </c>
      <c r="E11" s="1" t="s">
        <v>51</v>
      </c>
    </row>
    <row r="13" spans="2:8" ht="12.75">
      <c r="B13" s="1" t="s">
        <v>44</v>
      </c>
      <c r="C13" s="1" t="s">
        <v>46</v>
      </c>
      <c r="D13" s="1" t="s">
        <v>422</v>
      </c>
      <c r="E13" s="1" t="s">
        <v>490</v>
      </c>
      <c r="F13" s="1">
        <v>243</v>
      </c>
      <c r="G13" s="2">
        <v>36971</v>
      </c>
      <c r="H13" s="3">
        <v>0.513125</v>
      </c>
    </row>
    <row r="14" spans="2:3" ht="12.75">
      <c r="B14" s="1" t="s">
        <v>151</v>
      </c>
      <c r="C14" s="1" t="s">
        <v>152</v>
      </c>
    </row>
    <row r="16" spans="2:3" ht="12.75">
      <c r="B16" s="1" t="s">
        <v>59</v>
      </c>
      <c r="C16" s="1" t="s">
        <v>153</v>
      </c>
    </row>
    <row r="17" ht="12.75">
      <c r="B17" s="1" t="s">
        <v>154</v>
      </c>
    </row>
    <row r="18" spans="2:9" ht="12.75">
      <c r="B18" s="1" t="s">
        <v>64</v>
      </c>
      <c r="C18" s="1" t="s">
        <v>155</v>
      </c>
      <c r="D18" s="1" t="s">
        <v>156</v>
      </c>
      <c r="E18" s="1" t="s">
        <v>157</v>
      </c>
      <c r="F18" s="1" t="s">
        <v>158</v>
      </c>
      <c r="G18" s="1" t="s">
        <v>159</v>
      </c>
      <c r="H18" s="1" t="s">
        <v>160</v>
      </c>
      <c r="I18" s="1">
        <v>45846.389</v>
      </c>
    </row>
    <row r="19" spans="2:9" ht="12.75">
      <c r="B19" s="1" t="s">
        <v>64</v>
      </c>
      <c r="C19" s="1" t="s">
        <v>65</v>
      </c>
      <c r="D19" s="1" t="s">
        <v>161</v>
      </c>
      <c r="E19" s="1" t="s">
        <v>157</v>
      </c>
      <c r="F19" s="1" t="s">
        <v>162</v>
      </c>
      <c r="G19" s="1" t="s">
        <v>158</v>
      </c>
      <c r="H19" s="1" t="s">
        <v>159</v>
      </c>
      <c r="I19" s="1">
        <v>133.6632</v>
      </c>
    </row>
    <row r="20" spans="2:10" ht="12.75">
      <c r="B20" s="1" t="s">
        <v>163</v>
      </c>
      <c r="C20" s="1" t="s">
        <v>55</v>
      </c>
      <c r="D20" s="1" t="s">
        <v>65</v>
      </c>
      <c r="E20" s="1" t="s">
        <v>164</v>
      </c>
      <c r="F20" s="1">
        <v>1641.705</v>
      </c>
      <c r="G20" s="1" t="s">
        <v>165</v>
      </c>
      <c r="H20" s="1" t="s">
        <v>155</v>
      </c>
      <c r="I20" s="1" t="s">
        <v>166</v>
      </c>
      <c r="J20" s="1">
        <v>0</v>
      </c>
    </row>
    <row r="21" spans="2:10" ht="12.75">
      <c r="B21" s="1" t="s">
        <v>163</v>
      </c>
      <c r="C21" s="1" t="s">
        <v>55</v>
      </c>
      <c r="D21" s="1" t="s">
        <v>167</v>
      </c>
      <c r="E21" s="1" t="s">
        <v>168</v>
      </c>
      <c r="F21" s="1">
        <v>0</v>
      </c>
      <c r="G21" s="1" t="s">
        <v>169</v>
      </c>
      <c r="H21" s="1" t="s">
        <v>159</v>
      </c>
      <c r="I21" s="1" t="s">
        <v>170</v>
      </c>
      <c r="J21" s="1">
        <v>1154.012</v>
      </c>
    </row>
    <row r="22" spans="2:9" ht="12.75">
      <c r="B22" s="1" t="s">
        <v>171</v>
      </c>
      <c r="C22" s="1" t="s">
        <v>55</v>
      </c>
      <c r="D22" s="1" t="s">
        <v>65</v>
      </c>
      <c r="E22" s="1" t="s">
        <v>172</v>
      </c>
      <c r="F22" s="1">
        <v>-4.989</v>
      </c>
      <c r="G22" s="1" t="s">
        <v>173</v>
      </c>
      <c r="H22" s="1" t="s">
        <v>174</v>
      </c>
      <c r="I22" s="1">
        <v>13.963</v>
      </c>
    </row>
    <row r="23" spans="2:10" ht="12.75">
      <c r="B23" s="1" t="s">
        <v>171</v>
      </c>
      <c r="C23" s="1" t="s">
        <v>55</v>
      </c>
      <c r="D23" s="1" t="s">
        <v>167</v>
      </c>
      <c r="E23" s="1" t="s">
        <v>175</v>
      </c>
      <c r="F23" s="1">
        <v>0.0167</v>
      </c>
      <c r="G23" s="1" t="s">
        <v>176</v>
      </c>
      <c r="H23" s="1" t="s">
        <v>165</v>
      </c>
      <c r="I23" s="1" t="s">
        <v>177</v>
      </c>
      <c r="J23" s="1">
        <v>5.6669</v>
      </c>
    </row>
    <row r="24" spans="2:9" ht="12.75">
      <c r="B24" s="1" t="s">
        <v>178</v>
      </c>
      <c r="C24" s="1" t="s">
        <v>69</v>
      </c>
      <c r="D24" s="1" t="s">
        <v>179</v>
      </c>
      <c r="E24" s="1">
        <v>1641.705</v>
      </c>
      <c r="F24" s="1" t="s">
        <v>180</v>
      </c>
      <c r="G24" s="1" t="s">
        <v>69</v>
      </c>
      <c r="H24" s="1" t="s">
        <v>179</v>
      </c>
      <c r="I24" s="1">
        <v>8.3211</v>
      </c>
    </row>
    <row r="25" spans="2:9" ht="12.75">
      <c r="B25" s="1" t="s">
        <v>178</v>
      </c>
      <c r="C25" s="1" t="s">
        <v>69</v>
      </c>
      <c r="D25" s="1" t="s">
        <v>181</v>
      </c>
      <c r="E25" s="1">
        <v>17150.7042</v>
      </c>
      <c r="F25" s="1" t="s">
        <v>180</v>
      </c>
      <c r="G25" s="1" t="s">
        <v>69</v>
      </c>
      <c r="H25" s="1" t="s">
        <v>181</v>
      </c>
      <c r="I25" s="1">
        <v>-98.741</v>
      </c>
    </row>
    <row r="27" spans="2:5" ht="12.75">
      <c r="B27" s="1" t="s">
        <v>182</v>
      </c>
      <c r="C27" s="1" t="s">
        <v>65</v>
      </c>
      <c r="D27" s="1" t="s">
        <v>183</v>
      </c>
      <c r="E27" s="1" t="s">
        <v>157</v>
      </c>
    </row>
    <row r="28" spans="2:11" ht="12.75">
      <c r="B28" s="1" t="s">
        <v>184</v>
      </c>
      <c r="C28" s="1" t="s">
        <v>55</v>
      </c>
      <c r="D28" s="1" t="s">
        <v>65</v>
      </c>
      <c r="E28" s="1" t="s">
        <v>185</v>
      </c>
      <c r="F28" s="1">
        <v>1641.705</v>
      </c>
      <c r="G28" s="1" t="s">
        <v>186</v>
      </c>
      <c r="H28" s="1" t="s">
        <v>55</v>
      </c>
      <c r="I28" s="1" t="s">
        <v>187</v>
      </c>
      <c r="J28" s="1" t="s">
        <v>188</v>
      </c>
      <c r="K28" s="1">
        <v>-4.989</v>
      </c>
    </row>
    <row r="29" spans="2:10" ht="12.75">
      <c r="B29" s="1" t="s">
        <v>184</v>
      </c>
      <c r="C29" s="1" t="s">
        <v>55</v>
      </c>
      <c r="D29" s="1" t="s">
        <v>167</v>
      </c>
      <c r="E29" s="1" t="s">
        <v>189</v>
      </c>
      <c r="F29" s="1">
        <v>0</v>
      </c>
      <c r="G29" s="1" t="s">
        <v>186</v>
      </c>
      <c r="H29" s="1" t="s">
        <v>55</v>
      </c>
      <c r="I29" s="1" t="s">
        <v>190</v>
      </c>
      <c r="J29" s="1">
        <v>0.0167</v>
      </c>
    </row>
    <row r="31" spans="2:8" ht="12.75">
      <c r="B31" s="1" t="s">
        <v>191</v>
      </c>
      <c r="C31" s="1" t="s">
        <v>192</v>
      </c>
      <c r="D31" s="1">
        <v>200</v>
      </c>
      <c r="E31" s="1">
        <v>400</v>
      </c>
      <c r="F31" s="1">
        <v>600</v>
      </c>
      <c r="G31" s="1">
        <v>250</v>
      </c>
      <c r="H31" s="1">
        <v>0.6328</v>
      </c>
    </row>
    <row r="32" spans="2:7" ht="12.75">
      <c r="B32" s="1" t="s">
        <v>193</v>
      </c>
      <c r="C32" s="1">
        <v>1</v>
      </c>
      <c r="D32" s="1">
        <v>1</v>
      </c>
      <c r="E32" s="1">
        <v>1</v>
      </c>
      <c r="F32" s="1">
        <v>1</v>
      </c>
      <c r="G32" s="1">
        <v>1</v>
      </c>
    </row>
    <row r="33" spans="2:8" ht="12.75">
      <c r="B33" s="1" t="s">
        <v>73</v>
      </c>
      <c r="C33" s="1" t="s">
        <v>194</v>
      </c>
      <c r="D33" s="1">
        <v>2</v>
      </c>
      <c r="E33" s="1">
        <v>1</v>
      </c>
      <c r="F33" s="1">
        <v>3</v>
      </c>
      <c r="G33" s="1">
        <v>4</v>
      </c>
      <c r="H33" s="1">
        <v>5</v>
      </c>
    </row>
    <row r="34" spans="2:3" ht="12.75">
      <c r="B34" s="1" t="s">
        <v>195</v>
      </c>
      <c r="C34" s="1" t="s">
        <v>196</v>
      </c>
    </row>
    <row r="35" spans="2:8" ht="12.75">
      <c r="B35" s="1" t="s">
        <v>197</v>
      </c>
      <c r="C35" s="1" t="s">
        <v>198</v>
      </c>
      <c r="D35" s="1" t="s">
        <v>61</v>
      </c>
      <c r="E35" s="1" t="s">
        <v>199</v>
      </c>
      <c r="F35" s="1">
        <v>7</v>
      </c>
      <c r="G35" s="1" t="s">
        <v>179</v>
      </c>
      <c r="H35" s="1">
        <v>155.17235</v>
      </c>
    </row>
    <row r="36" spans="2:5" ht="12.75">
      <c r="B36" s="1" t="s">
        <v>200</v>
      </c>
      <c r="C36" s="1" t="s">
        <v>69</v>
      </c>
      <c r="D36" s="1" t="s">
        <v>201</v>
      </c>
      <c r="E36" s="1" t="s">
        <v>202</v>
      </c>
    </row>
    <row r="37" spans="2:4" ht="12.75">
      <c r="B37" s="1" t="s">
        <v>424</v>
      </c>
      <c r="C37" s="1" t="s">
        <v>53</v>
      </c>
      <c r="D37" s="1" t="s">
        <v>202</v>
      </c>
    </row>
    <row r="38" spans="2:4" ht="12.75">
      <c r="B38" s="1" t="s">
        <v>158</v>
      </c>
      <c r="C38" s="1" t="s">
        <v>203</v>
      </c>
      <c r="D38" s="1" t="s">
        <v>202</v>
      </c>
    </row>
    <row r="39" spans="2:3" ht="12.75">
      <c r="B39" s="1" t="s">
        <v>204</v>
      </c>
      <c r="C39" s="4">
        <v>-1.95E-08</v>
      </c>
    </row>
    <row r="40" spans="2:4" ht="12.75">
      <c r="B40" s="1" t="s">
        <v>52</v>
      </c>
      <c r="C40" s="1" t="s">
        <v>201</v>
      </c>
      <c r="D40" s="1" t="s">
        <v>202</v>
      </c>
    </row>
    <row r="41" spans="2:5" ht="12.75">
      <c r="B41" s="1" t="s">
        <v>205</v>
      </c>
      <c r="C41" s="1" t="s">
        <v>201</v>
      </c>
      <c r="D41" s="1" t="s">
        <v>206</v>
      </c>
      <c r="E41" s="1" t="s">
        <v>207</v>
      </c>
    </row>
    <row r="42" spans="2:6" ht="12.75">
      <c r="B42" s="1" t="s">
        <v>208</v>
      </c>
      <c r="C42" s="1" t="s">
        <v>209</v>
      </c>
      <c r="D42" s="1" t="s">
        <v>210</v>
      </c>
      <c r="E42" s="1" t="s">
        <v>211</v>
      </c>
      <c r="F42" s="1" t="s">
        <v>212</v>
      </c>
    </row>
    <row r="44" spans="2:3" ht="12.75">
      <c r="B44" s="1" t="s">
        <v>61</v>
      </c>
      <c r="C44" s="1" t="s">
        <v>56</v>
      </c>
    </row>
    <row r="45" ht="12.75">
      <c r="B45" s="1" t="s">
        <v>154</v>
      </c>
    </row>
    <row r="46" spans="2:7" ht="12.75">
      <c r="B46" s="1" t="s">
        <v>50</v>
      </c>
      <c r="C46" s="1" t="s">
        <v>213</v>
      </c>
      <c r="D46" s="1" t="s">
        <v>214</v>
      </c>
      <c r="E46" s="1" t="s">
        <v>215</v>
      </c>
      <c r="F46" s="1" t="s">
        <v>216</v>
      </c>
      <c r="G46" s="1" t="s">
        <v>217</v>
      </c>
    </row>
    <row r="47" ht="12.75">
      <c r="B47" s="1" t="s">
        <v>154</v>
      </c>
    </row>
    <row r="48" spans="2:5" ht="12.75">
      <c r="B48" s="1">
        <v>0</v>
      </c>
      <c r="C48" s="1" t="s">
        <v>157</v>
      </c>
      <c r="D48" s="1" t="s">
        <v>157</v>
      </c>
      <c r="E48" s="1" t="s">
        <v>218</v>
      </c>
    </row>
    <row r="49" spans="2:5" ht="12.75">
      <c r="B49" s="1">
        <v>1</v>
      </c>
      <c r="C49" s="1" t="s">
        <v>157</v>
      </c>
      <c r="D49" s="1">
        <v>17771.1</v>
      </c>
      <c r="E49" s="1" t="s">
        <v>218</v>
      </c>
    </row>
    <row r="50" spans="2:5" ht="12.75">
      <c r="B50" s="1" t="s">
        <v>219</v>
      </c>
      <c r="C50" s="1" t="s">
        <v>157</v>
      </c>
      <c r="D50" s="1">
        <v>0</v>
      </c>
      <c r="E50" s="1" t="s">
        <v>218</v>
      </c>
    </row>
    <row r="51" spans="2:5" ht="12.75">
      <c r="B51" s="1" t="s">
        <v>425</v>
      </c>
      <c r="C51" s="1" t="s">
        <v>157</v>
      </c>
      <c r="D51" s="1">
        <v>-17771.1</v>
      </c>
      <c r="E51" s="1" t="s">
        <v>218</v>
      </c>
    </row>
    <row r="52" spans="2:5" ht="12.75">
      <c r="B52" s="1">
        <v>4</v>
      </c>
      <c r="C52" s="1" t="s">
        <v>157</v>
      </c>
      <c r="D52" s="1">
        <v>-2000</v>
      </c>
      <c r="E52" s="1" t="s">
        <v>218</v>
      </c>
    </row>
    <row r="53" spans="2:5" ht="12.75">
      <c r="B53" s="1">
        <v>5</v>
      </c>
      <c r="C53" s="1" t="s">
        <v>157</v>
      </c>
      <c r="D53" s="1" t="s">
        <v>220</v>
      </c>
      <c r="E53" s="1" t="s">
        <v>218</v>
      </c>
    </row>
    <row r="54" spans="2:6" ht="12.75">
      <c r="B54" s="1">
        <v>6</v>
      </c>
      <c r="C54" s="1">
        <v>-3500</v>
      </c>
      <c r="D54" s="1" t="s">
        <v>221</v>
      </c>
      <c r="E54" s="1">
        <v>-1587.969</v>
      </c>
      <c r="F54" s="1" t="e">
        <v>#NAME?</v>
      </c>
    </row>
    <row r="55" spans="2:6" ht="12.75">
      <c r="B55" s="1" t="s">
        <v>222</v>
      </c>
      <c r="C55" s="1">
        <v>-345.264</v>
      </c>
      <c r="D55" s="1" t="s">
        <v>221</v>
      </c>
      <c r="E55" s="1" t="s">
        <v>223</v>
      </c>
      <c r="F55" s="1" t="s">
        <v>218</v>
      </c>
    </row>
    <row r="56" spans="2:5" ht="12.75">
      <c r="B56" s="1">
        <v>8</v>
      </c>
      <c r="C56" s="1" t="s">
        <v>157</v>
      </c>
      <c r="D56" s="1">
        <v>1050.162</v>
      </c>
      <c r="E56" s="1" t="s">
        <v>218</v>
      </c>
    </row>
    <row r="57" spans="2:5" ht="12.75">
      <c r="B57" s="1">
        <v>9</v>
      </c>
      <c r="C57" s="1">
        <v>-167.171</v>
      </c>
      <c r="D57" s="1">
        <v>0</v>
      </c>
      <c r="E57" s="1" t="s">
        <v>218</v>
      </c>
    </row>
    <row r="58" spans="2:5" ht="12.75">
      <c r="B58" s="1" t="s">
        <v>224</v>
      </c>
      <c r="C58" s="1" t="s">
        <v>157</v>
      </c>
      <c r="D58" s="1">
        <v>70.9</v>
      </c>
      <c r="E58" s="1" t="s">
        <v>218</v>
      </c>
    </row>
    <row r="59" spans="2:6" ht="12.75">
      <c r="B59" s="1" t="s">
        <v>225</v>
      </c>
      <c r="C59" s="1">
        <v>-365.963</v>
      </c>
      <c r="D59" s="1" t="s">
        <v>221</v>
      </c>
      <c r="E59" s="1">
        <v>0</v>
      </c>
      <c r="F59" s="1" t="e">
        <v>#NAME?</v>
      </c>
    </row>
    <row r="60" spans="2:5" ht="12.75">
      <c r="B60" s="1" t="s">
        <v>226</v>
      </c>
      <c r="C60" s="1" t="s">
        <v>157</v>
      </c>
      <c r="D60" s="1">
        <v>-213.5</v>
      </c>
      <c r="E60" s="1" t="e">
        <v>#NAME?</v>
      </c>
    </row>
    <row r="61" spans="2:5" ht="12.75">
      <c r="B61" s="1" t="s">
        <v>227</v>
      </c>
      <c r="C61" s="1" t="s">
        <v>157</v>
      </c>
      <c r="D61" s="1">
        <v>0</v>
      </c>
      <c r="E61" s="1" t="e">
        <v>#NAME?</v>
      </c>
    </row>
    <row r="62" spans="2:5" ht="12.75">
      <c r="B62" s="1">
        <v>14</v>
      </c>
      <c r="C62" s="1" t="s">
        <v>157</v>
      </c>
      <c r="D62" s="1" t="s">
        <v>228</v>
      </c>
      <c r="E62" s="1" t="s">
        <v>218</v>
      </c>
    </row>
    <row r="63" spans="2:5" ht="12.75">
      <c r="B63" s="1">
        <v>15</v>
      </c>
      <c r="C63" s="1" t="s">
        <v>157</v>
      </c>
      <c r="D63" s="1">
        <v>0</v>
      </c>
      <c r="E63" s="1" t="s">
        <v>218</v>
      </c>
    </row>
    <row r="64" spans="2:5" ht="12.75">
      <c r="B64" s="1" t="s">
        <v>229</v>
      </c>
      <c r="C64" s="1" t="s">
        <v>157</v>
      </c>
      <c r="D64" s="1">
        <v>197.4</v>
      </c>
      <c r="E64" s="1" t="s">
        <v>218</v>
      </c>
    </row>
    <row r="65" spans="2:6" ht="12.75">
      <c r="B65" s="1" t="s">
        <v>230</v>
      </c>
      <c r="C65" s="1">
        <v>-294.638</v>
      </c>
      <c r="D65" s="1" t="s">
        <v>221</v>
      </c>
      <c r="E65" s="1">
        <v>0</v>
      </c>
      <c r="F65" s="1" t="e">
        <v>#NAME?</v>
      </c>
    </row>
    <row r="66" spans="2:5" ht="12.75">
      <c r="B66" s="1" t="s">
        <v>231</v>
      </c>
      <c r="C66" s="1" t="s">
        <v>157</v>
      </c>
      <c r="D66" s="1">
        <v>-193.6</v>
      </c>
      <c r="E66" s="1" t="e">
        <v>#NAME?</v>
      </c>
    </row>
    <row r="67" spans="2:5" ht="12.75">
      <c r="B67" s="1" t="s">
        <v>232</v>
      </c>
      <c r="C67" s="1" t="s">
        <v>157</v>
      </c>
      <c r="D67" s="1">
        <v>-10</v>
      </c>
      <c r="E67" s="1" t="e">
        <v>#NAME?</v>
      </c>
    </row>
    <row r="68" spans="2:5" ht="12.75">
      <c r="B68" s="1" t="s">
        <v>233</v>
      </c>
      <c r="C68" s="1" t="s">
        <v>157</v>
      </c>
      <c r="D68" s="1">
        <v>0</v>
      </c>
      <c r="E68" s="1" t="e">
        <v>#NAME?</v>
      </c>
    </row>
    <row r="69" spans="2:5" ht="12.75">
      <c r="B69" s="1" t="s">
        <v>234</v>
      </c>
      <c r="C69" s="1" t="s">
        <v>157</v>
      </c>
      <c r="D69" s="1">
        <v>0</v>
      </c>
      <c r="E69" s="1" t="e">
        <v>#NAME?</v>
      </c>
    </row>
    <row r="70" spans="2:7" ht="12.75">
      <c r="B70" s="1">
        <v>22</v>
      </c>
      <c r="C70" s="1" t="s">
        <v>267</v>
      </c>
      <c r="D70" s="1">
        <v>269.92</v>
      </c>
      <c r="E70" s="1" t="s">
        <v>221</v>
      </c>
      <c r="F70" s="4">
        <v>1.97E-13</v>
      </c>
      <c r="G70" s="1" t="s">
        <v>218</v>
      </c>
    </row>
    <row r="71" spans="2:5" ht="12.75">
      <c r="B71" s="1">
        <v>23</v>
      </c>
      <c r="C71" s="1" t="s">
        <v>157</v>
      </c>
      <c r="D71" s="1">
        <v>0</v>
      </c>
      <c r="E71" s="1" t="s">
        <v>218</v>
      </c>
    </row>
    <row r="72" spans="2:5" ht="12.75">
      <c r="B72" s="1" t="s">
        <v>235</v>
      </c>
      <c r="C72" s="1" t="s">
        <v>157</v>
      </c>
      <c r="D72" s="1">
        <v>112.57</v>
      </c>
      <c r="E72" s="1" t="s">
        <v>218</v>
      </c>
    </row>
    <row r="73" spans="2:5" ht="12.75">
      <c r="B73" s="1">
        <v>25</v>
      </c>
      <c r="C73" s="1" t="s">
        <v>157</v>
      </c>
      <c r="D73" s="1">
        <v>0</v>
      </c>
      <c r="E73" s="1" t="s">
        <v>218</v>
      </c>
    </row>
    <row r="74" spans="2:6" ht="12.75">
      <c r="B74" s="1">
        <v>26</v>
      </c>
      <c r="C74" s="1" t="s">
        <v>267</v>
      </c>
      <c r="D74" s="1" t="s">
        <v>157</v>
      </c>
      <c r="E74" s="4">
        <v>7.11E-15</v>
      </c>
      <c r="F74" s="1" t="s">
        <v>218</v>
      </c>
    </row>
    <row r="75" spans="2:5" ht="12.75">
      <c r="B75" s="1">
        <v>27</v>
      </c>
      <c r="C75" s="1" t="s">
        <v>157</v>
      </c>
      <c r="D75" s="1">
        <v>30.43</v>
      </c>
      <c r="E75" s="1" t="s">
        <v>218</v>
      </c>
    </row>
    <row r="76" spans="2:5" ht="12.75">
      <c r="B76" s="1" t="s">
        <v>236</v>
      </c>
      <c r="C76" s="1" t="s">
        <v>157</v>
      </c>
      <c r="D76" s="1">
        <v>0</v>
      </c>
      <c r="E76" s="1" t="s">
        <v>218</v>
      </c>
    </row>
    <row r="77" spans="2:5" ht="12.75">
      <c r="B77" s="1">
        <v>29</v>
      </c>
      <c r="C77" s="1" t="s">
        <v>157</v>
      </c>
      <c r="D77" s="1">
        <v>0</v>
      </c>
      <c r="E77" s="1" t="s">
        <v>218</v>
      </c>
    </row>
    <row r="78" spans="2:6" ht="12.75">
      <c r="B78" s="1">
        <v>30</v>
      </c>
      <c r="C78" s="1" t="s">
        <v>267</v>
      </c>
      <c r="D78" s="1" t="s">
        <v>157</v>
      </c>
      <c r="E78" s="4">
        <v>-1.27E-13</v>
      </c>
      <c r="F78" s="1" t="e">
        <v>#NAME?</v>
      </c>
    </row>
    <row r="79" spans="2:5" ht="12.75">
      <c r="B79" s="1">
        <v>31</v>
      </c>
      <c r="C79" s="1" t="s">
        <v>157</v>
      </c>
      <c r="D79" s="1">
        <v>0</v>
      </c>
      <c r="E79" s="1" t="e">
        <v>#NAME?</v>
      </c>
    </row>
    <row r="80" spans="2:5" ht="12.75">
      <c r="B80" s="1" t="s">
        <v>237</v>
      </c>
      <c r="C80" s="1" t="s">
        <v>157</v>
      </c>
      <c r="D80" s="1">
        <v>0</v>
      </c>
      <c r="E80" s="1" t="e">
        <v>#NAME?</v>
      </c>
    </row>
    <row r="81" spans="2:5" ht="12.75">
      <c r="B81" s="1" t="s">
        <v>238</v>
      </c>
      <c r="C81" s="1" t="s">
        <v>157</v>
      </c>
      <c r="D81" s="1">
        <v>0</v>
      </c>
      <c r="E81" s="1" t="e">
        <v>#NAME?</v>
      </c>
    </row>
    <row r="82" spans="2:5" ht="12.75">
      <c r="B82" s="1" t="s">
        <v>426</v>
      </c>
      <c r="C82" s="1" t="s">
        <v>157</v>
      </c>
      <c r="D82" s="1">
        <v>-57</v>
      </c>
      <c r="E82" s="1" t="e">
        <v>#NAME?</v>
      </c>
    </row>
    <row r="83" spans="2:5" ht="12.75">
      <c r="B83" s="1" t="s">
        <v>239</v>
      </c>
      <c r="C83" s="1" t="s">
        <v>157</v>
      </c>
      <c r="D83" s="1">
        <v>0</v>
      </c>
      <c r="E83" s="1" t="e">
        <v>#NAME?</v>
      </c>
    </row>
    <row r="84" spans="2:6" ht="12.75">
      <c r="B84" s="1" t="s">
        <v>240</v>
      </c>
      <c r="C84" s="1">
        <v>230.34</v>
      </c>
      <c r="D84" s="1" t="s">
        <v>221</v>
      </c>
      <c r="E84" s="1">
        <v>0</v>
      </c>
      <c r="F84" s="1" t="s">
        <v>218</v>
      </c>
    </row>
    <row r="85" spans="2:5" ht="12.75">
      <c r="B85" s="1">
        <v>37</v>
      </c>
      <c r="C85" s="1" t="s">
        <v>157</v>
      </c>
      <c r="D85" s="1">
        <v>0</v>
      </c>
      <c r="E85" s="1" t="s">
        <v>218</v>
      </c>
    </row>
    <row r="86" spans="2:5" ht="12.75">
      <c r="B86" s="1" t="s">
        <v>427</v>
      </c>
      <c r="C86" s="1" t="s">
        <v>157</v>
      </c>
      <c r="D86" s="1">
        <v>173.64</v>
      </c>
      <c r="E86" s="1" t="s">
        <v>218</v>
      </c>
    </row>
    <row r="87" spans="2:5" ht="12.75">
      <c r="B87" s="1" t="s">
        <v>241</v>
      </c>
      <c r="C87" s="1" t="s">
        <v>157</v>
      </c>
      <c r="D87" s="1">
        <v>0</v>
      </c>
      <c r="E87" s="1" t="e">
        <v>#NAME?</v>
      </c>
    </row>
    <row r="88" spans="2:5" ht="12.75">
      <c r="B88" s="1" t="s">
        <v>242</v>
      </c>
      <c r="C88" s="1" t="s">
        <v>157</v>
      </c>
      <c r="D88" s="1">
        <v>-40</v>
      </c>
      <c r="E88" s="1" t="e">
        <v>#NAME?</v>
      </c>
    </row>
    <row r="89" spans="2:5" ht="12.75">
      <c r="B89" s="1">
        <v>41</v>
      </c>
      <c r="C89" s="1" t="s">
        <v>157</v>
      </c>
      <c r="D89" s="1">
        <v>0</v>
      </c>
      <c r="E89" s="1" t="e">
        <v>#NAME?</v>
      </c>
    </row>
    <row r="90" spans="2:5" ht="12.75">
      <c r="B90" s="1">
        <v>42</v>
      </c>
      <c r="C90" s="1" t="s">
        <v>157</v>
      </c>
      <c r="D90" s="1">
        <v>-133.2</v>
      </c>
      <c r="E90" s="1" t="e">
        <v>#NAME?</v>
      </c>
    </row>
    <row r="91" spans="2:5" ht="12.75">
      <c r="B91" s="1" t="s">
        <v>243</v>
      </c>
      <c r="C91" s="1">
        <v>259.5</v>
      </c>
      <c r="D91" s="1">
        <v>0</v>
      </c>
      <c r="E91" s="1" t="s">
        <v>218</v>
      </c>
    </row>
    <row r="92" spans="2:5" ht="12.75">
      <c r="B92" s="1" t="s">
        <v>244</v>
      </c>
      <c r="C92" s="1" t="s">
        <v>157</v>
      </c>
      <c r="D92" s="1">
        <v>150</v>
      </c>
      <c r="E92" s="1" t="s">
        <v>218</v>
      </c>
    </row>
    <row r="93" spans="2:5" ht="12.75">
      <c r="B93" s="1">
        <v>45</v>
      </c>
      <c r="C93" s="1" t="s">
        <v>157</v>
      </c>
      <c r="D93" s="1">
        <v>-25</v>
      </c>
      <c r="E93" s="1" t="s">
        <v>218</v>
      </c>
    </row>
    <row r="94" spans="2:5" ht="12.75">
      <c r="B94" s="1" t="s">
        <v>245</v>
      </c>
      <c r="C94" s="1" t="s">
        <v>157</v>
      </c>
      <c r="D94" s="1">
        <v>0</v>
      </c>
      <c r="E94" s="1" t="e">
        <v>#NAME?</v>
      </c>
    </row>
    <row r="95" spans="2:5" ht="12.75">
      <c r="B95" s="1" t="s">
        <v>246</v>
      </c>
      <c r="C95" s="1" t="s">
        <v>157</v>
      </c>
      <c r="D95" s="1" t="s">
        <v>428</v>
      </c>
      <c r="E95" s="1" t="e">
        <v>#NAME?</v>
      </c>
    </row>
    <row r="96" spans="2:5" ht="12.75">
      <c r="B96" s="1">
        <v>48</v>
      </c>
      <c r="C96" s="1" t="s">
        <v>157</v>
      </c>
      <c r="D96" s="1">
        <v>0</v>
      </c>
      <c r="E96" s="1" t="e">
        <v>#NAME?</v>
      </c>
    </row>
    <row r="97" spans="2:5" ht="12.75">
      <c r="B97" s="1">
        <v>49</v>
      </c>
      <c r="C97" s="1" t="s">
        <v>157</v>
      </c>
      <c r="D97" s="1" t="s">
        <v>428</v>
      </c>
      <c r="E97" s="1" t="e">
        <v>#NAME?</v>
      </c>
    </row>
    <row r="98" spans="2:5" ht="12.75">
      <c r="B98" s="1" t="s">
        <v>247</v>
      </c>
      <c r="C98" s="1" t="s">
        <v>157</v>
      </c>
      <c r="D98" s="1">
        <v>0</v>
      </c>
      <c r="E98" s="1" t="e">
        <v>#NAME?</v>
      </c>
    </row>
    <row r="99" spans="2:5" ht="12.75">
      <c r="B99" s="1" t="s">
        <v>429</v>
      </c>
      <c r="C99" s="1" t="s">
        <v>157</v>
      </c>
      <c r="D99" s="1">
        <v>0</v>
      </c>
      <c r="E99" s="1" t="s">
        <v>218</v>
      </c>
    </row>
    <row r="100" spans="2:5" ht="12.75">
      <c r="B100" s="1">
        <v>52</v>
      </c>
      <c r="C100" s="1" t="s">
        <v>157</v>
      </c>
      <c r="D100" s="1">
        <v>0</v>
      </c>
      <c r="E100" s="1" t="e">
        <v>#NAME?</v>
      </c>
    </row>
    <row r="101" spans="2:5" ht="12.75">
      <c r="B101" s="1" t="s">
        <v>248</v>
      </c>
      <c r="C101" s="1" t="s">
        <v>157</v>
      </c>
      <c r="D101" s="1">
        <v>0</v>
      </c>
      <c r="E101" s="1" t="s">
        <v>218</v>
      </c>
    </row>
    <row r="102" spans="2:5" ht="12.75">
      <c r="B102" s="1" t="s">
        <v>430</v>
      </c>
      <c r="C102" s="1" t="s">
        <v>157</v>
      </c>
      <c r="D102" s="1" t="s">
        <v>428</v>
      </c>
      <c r="E102" s="1" t="s">
        <v>218</v>
      </c>
    </row>
    <row r="103" spans="2:5" ht="12.75">
      <c r="B103" s="1">
        <v>55</v>
      </c>
      <c r="C103" s="1" t="s">
        <v>157</v>
      </c>
      <c r="D103" s="1" t="s">
        <v>431</v>
      </c>
      <c r="E103" s="1" t="s">
        <v>218</v>
      </c>
    </row>
    <row r="104" spans="2:5" ht="12.75">
      <c r="B104" s="1" t="s">
        <v>249</v>
      </c>
      <c r="C104" s="1">
        <v>-260</v>
      </c>
      <c r="D104" s="1">
        <v>0</v>
      </c>
      <c r="E104" s="1" t="e">
        <v>#NAME?</v>
      </c>
    </row>
    <row r="105" spans="2:5" ht="12.75">
      <c r="B105" s="1" t="s">
        <v>250</v>
      </c>
      <c r="C105" s="1" t="s">
        <v>157</v>
      </c>
      <c r="D105" s="1" t="s">
        <v>432</v>
      </c>
      <c r="E105" s="1" t="e">
        <v>#NAME?</v>
      </c>
    </row>
    <row r="106" spans="2:5" ht="12.75">
      <c r="B106" s="1">
        <v>58</v>
      </c>
      <c r="C106" s="1" t="s">
        <v>157</v>
      </c>
      <c r="D106" s="1">
        <v>0</v>
      </c>
      <c r="E106" s="1" t="e">
        <v>#NAME?</v>
      </c>
    </row>
    <row r="107" spans="2:5" ht="12.75">
      <c r="B107" s="1">
        <v>59</v>
      </c>
      <c r="C107" s="1" t="s">
        <v>157</v>
      </c>
      <c r="D107" s="1" t="s">
        <v>433</v>
      </c>
      <c r="E107" s="1" t="e">
        <v>#NAME?</v>
      </c>
    </row>
    <row r="108" spans="2:5" ht="12.75">
      <c r="B108" s="1" t="s">
        <v>251</v>
      </c>
      <c r="C108" s="1" t="s">
        <v>434</v>
      </c>
      <c r="D108" s="1">
        <v>0</v>
      </c>
      <c r="E108" s="1" t="s">
        <v>218</v>
      </c>
    </row>
    <row r="109" spans="2:5" ht="12.75">
      <c r="B109" s="1" t="s">
        <v>252</v>
      </c>
      <c r="C109" s="1" t="s">
        <v>157</v>
      </c>
      <c r="D109" s="1">
        <v>151.98</v>
      </c>
      <c r="E109" s="1" t="s">
        <v>218</v>
      </c>
    </row>
    <row r="110" spans="2:5" ht="12.75">
      <c r="B110" s="1" t="s">
        <v>435</v>
      </c>
      <c r="C110" s="1" t="s">
        <v>157</v>
      </c>
      <c r="D110" s="1">
        <v>0</v>
      </c>
      <c r="E110" s="1" t="s">
        <v>218</v>
      </c>
    </row>
    <row r="111" spans="2:6" ht="12.75">
      <c r="B111" s="1" t="s">
        <v>436</v>
      </c>
      <c r="C111" s="1">
        <v>-196.99</v>
      </c>
      <c r="D111" s="1" t="s">
        <v>221</v>
      </c>
      <c r="E111" s="1">
        <v>0</v>
      </c>
      <c r="F111" s="1" t="e">
        <v>#NAME?</v>
      </c>
    </row>
    <row r="112" spans="2:5" ht="12.75">
      <c r="B112" s="1">
        <v>64</v>
      </c>
      <c r="C112" s="1" t="s">
        <v>157</v>
      </c>
      <c r="D112" s="1">
        <v>0</v>
      </c>
      <c r="E112" s="1" t="e">
        <v>#NAME?</v>
      </c>
    </row>
    <row r="113" spans="2:5" ht="12.75">
      <c r="B113" s="1" t="s">
        <v>437</v>
      </c>
      <c r="C113" s="1" t="s">
        <v>157</v>
      </c>
      <c r="D113" s="1">
        <v>-60</v>
      </c>
      <c r="E113" s="1" t="e">
        <v>#NAME?</v>
      </c>
    </row>
    <row r="114" spans="2:5" ht="12.75">
      <c r="B114" s="1">
        <v>66</v>
      </c>
      <c r="C114" s="1" t="s">
        <v>157</v>
      </c>
      <c r="D114" s="1">
        <v>-32.57</v>
      </c>
      <c r="E114" s="1" t="e">
        <v>#NAME?</v>
      </c>
    </row>
    <row r="115" spans="2:5" ht="12.75">
      <c r="B115" s="1" t="s">
        <v>438</v>
      </c>
      <c r="C115" s="1" t="s">
        <v>157</v>
      </c>
      <c r="D115" s="1">
        <v>0</v>
      </c>
      <c r="E115" s="1" t="s">
        <v>218</v>
      </c>
    </row>
    <row r="116" spans="2:5" ht="12.75">
      <c r="B116" s="1" t="s">
        <v>439</v>
      </c>
      <c r="C116" s="1" t="s">
        <v>157</v>
      </c>
      <c r="D116" s="1">
        <v>80</v>
      </c>
      <c r="E116" s="1" t="s">
        <v>218</v>
      </c>
    </row>
    <row r="117" spans="2:5" ht="12.75">
      <c r="B117" s="1">
        <v>69</v>
      </c>
      <c r="C117" s="1" t="s">
        <v>157</v>
      </c>
      <c r="D117" s="1">
        <v>0</v>
      </c>
      <c r="E117" s="1" t="s">
        <v>218</v>
      </c>
    </row>
    <row r="118" spans="2:3" ht="12.75">
      <c r="B118" s="1" t="s">
        <v>253</v>
      </c>
      <c r="C118" s="1" t="s">
        <v>157</v>
      </c>
    </row>
    <row r="120" spans="2:4" ht="12.75">
      <c r="B120" s="1" t="s">
        <v>254</v>
      </c>
      <c r="C120" s="1" t="s">
        <v>255</v>
      </c>
      <c r="D120" s="1" t="s">
        <v>256</v>
      </c>
    </row>
    <row r="121" ht="12.75">
      <c r="B121" s="1" t="s">
        <v>257</v>
      </c>
    </row>
    <row r="122" spans="2:11" ht="12.75">
      <c r="B122" s="1" t="s">
        <v>258</v>
      </c>
      <c r="C122" s="1" t="s">
        <v>61</v>
      </c>
      <c r="D122" s="1" t="s">
        <v>259</v>
      </c>
      <c r="E122" s="1" t="s">
        <v>260</v>
      </c>
      <c r="F122" s="1" t="s">
        <v>209</v>
      </c>
      <c r="G122" s="1" t="s">
        <v>261</v>
      </c>
      <c r="H122" s="1" t="s">
        <v>262</v>
      </c>
      <c r="I122" s="1" t="s">
        <v>263</v>
      </c>
      <c r="J122" s="1" t="s">
        <v>202</v>
      </c>
      <c r="K122" s="1" t="s">
        <v>61</v>
      </c>
    </row>
    <row r="123" spans="2:13" ht="12.75">
      <c r="B123" s="1" t="s">
        <v>264</v>
      </c>
      <c r="C123" s="1" t="s">
        <v>61</v>
      </c>
      <c r="D123" s="1" t="s">
        <v>265</v>
      </c>
      <c r="E123" s="1" t="s">
        <v>57</v>
      </c>
      <c r="F123" s="1" t="s">
        <v>52</v>
      </c>
      <c r="G123" s="1" t="s">
        <v>266</v>
      </c>
      <c r="H123" s="1" t="s">
        <v>267</v>
      </c>
      <c r="I123" s="1" t="s">
        <v>61</v>
      </c>
      <c r="J123" s="1" t="s">
        <v>265</v>
      </c>
      <c r="K123" s="1" t="s">
        <v>57</v>
      </c>
      <c r="L123" s="1" t="s">
        <v>268</v>
      </c>
      <c r="M123" s="1" t="s">
        <v>266</v>
      </c>
    </row>
    <row r="124" spans="2:11" ht="12.75">
      <c r="B124" s="1" t="s">
        <v>221</v>
      </c>
      <c r="C124" s="1" t="s">
        <v>269</v>
      </c>
      <c r="D124" s="1" t="s">
        <v>61</v>
      </c>
      <c r="E124" s="1" t="s">
        <v>270</v>
      </c>
      <c r="F124" s="1" t="s">
        <v>271</v>
      </c>
      <c r="G124" s="1" t="s">
        <v>272</v>
      </c>
      <c r="H124" s="1" t="s">
        <v>265</v>
      </c>
      <c r="I124" s="1" t="s">
        <v>273</v>
      </c>
      <c r="J124" s="1" t="s">
        <v>255</v>
      </c>
      <c r="K124" s="1" t="s">
        <v>274</v>
      </c>
    </row>
    <row r="125" spans="2:7" ht="12.75">
      <c r="B125" s="1" t="s">
        <v>275</v>
      </c>
      <c r="C125" s="1" t="s">
        <v>272</v>
      </c>
      <c r="D125" s="1" t="s">
        <v>265</v>
      </c>
      <c r="E125" s="1" t="s">
        <v>273</v>
      </c>
      <c r="F125" s="1" t="s">
        <v>255</v>
      </c>
      <c r="G125" s="1" t="s">
        <v>276</v>
      </c>
    </row>
    <row r="127" spans="2:4" ht="12.75">
      <c r="B127" s="1" t="s">
        <v>269</v>
      </c>
      <c r="C127" s="1" t="s">
        <v>61</v>
      </c>
      <c r="D127" s="1" t="s">
        <v>56</v>
      </c>
    </row>
    <row r="128" ht="12.75">
      <c r="B128" s="1" t="s">
        <v>154</v>
      </c>
    </row>
    <row r="129" spans="2:7" ht="12.75">
      <c r="B129" s="1" t="s">
        <v>61</v>
      </c>
      <c r="C129" s="1" t="s">
        <v>62</v>
      </c>
      <c r="D129" s="1">
        <v>6</v>
      </c>
      <c r="E129" s="1" t="s">
        <v>277</v>
      </c>
      <c r="F129" s="1" t="s">
        <v>278</v>
      </c>
      <c r="G129" s="1" t="s">
        <v>61</v>
      </c>
    </row>
    <row r="130" spans="2:5" ht="12.75">
      <c r="B130" s="1" t="s">
        <v>278</v>
      </c>
      <c r="C130" s="1" t="s">
        <v>279</v>
      </c>
      <c r="D130" s="1" t="s">
        <v>280</v>
      </c>
      <c r="E130" s="1">
        <v>-1.00129</v>
      </c>
    </row>
    <row r="131" spans="2:9" ht="12.75">
      <c r="B131" s="1" t="s">
        <v>281</v>
      </c>
      <c r="C131" s="1" t="s">
        <v>282</v>
      </c>
      <c r="D131" s="1" t="s">
        <v>283</v>
      </c>
      <c r="E131" s="4">
        <v>2710000</v>
      </c>
      <c r="F131" s="1" t="s">
        <v>284</v>
      </c>
      <c r="G131" s="1" t="s">
        <v>282</v>
      </c>
      <c r="H131" s="1" t="s">
        <v>285</v>
      </c>
      <c r="I131" s="1">
        <v>-97448.0619</v>
      </c>
    </row>
    <row r="133" ht="12.75">
      <c r="B133" s="1" t="s">
        <v>286</v>
      </c>
    </row>
    <row r="134" spans="2:7" ht="12.75">
      <c r="B134" s="1" t="s">
        <v>61</v>
      </c>
      <c r="C134" s="1" t="s">
        <v>62</v>
      </c>
      <c r="D134" s="1">
        <v>7</v>
      </c>
      <c r="E134" s="1" t="s">
        <v>277</v>
      </c>
      <c r="F134" s="1" t="s">
        <v>278</v>
      </c>
      <c r="G134" s="1" t="s">
        <v>61</v>
      </c>
    </row>
    <row r="135" spans="2:5" ht="12.75">
      <c r="B135" s="1" t="s">
        <v>278</v>
      </c>
      <c r="C135" s="1" t="s">
        <v>279</v>
      </c>
      <c r="D135" s="1" t="s">
        <v>280</v>
      </c>
      <c r="E135" s="1">
        <v>-1.296</v>
      </c>
    </row>
    <row r="136" spans="2:9" ht="12.75">
      <c r="B136" s="1" t="s">
        <v>281</v>
      </c>
      <c r="C136" s="1" t="s">
        <v>282</v>
      </c>
      <c r="D136" s="1" t="s">
        <v>283</v>
      </c>
      <c r="E136" s="1">
        <v>1166.432433</v>
      </c>
      <c r="F136" s="1" t="s">
        <v>284</v>
      </c>
      <c r="G136" s="1" t="s">
        <v>282</v>
      </c>
      <c r="H136" s="1" t="s">
        <v>285</v>
      </c>
      <c r="I136" s="1">
        <v>-634.607853</v>
      </c>
    </row>
    <row r="138" ht="12.75">
      <c r="B138" s="1" t="s">
        <v>286</v>
      </c>
    </row>
    <row r="139" spans="2:7" ht="12.75">
      <c r="B139" s="1" t="s">
        <v>61</v>
      </c>
      <c r="C139" s="1" t="s">
        <v>62</v>
      </c>
      <c r="D139" s="1">
        <v>11</v>
      </c>
      <c r="E139" s="1" t="s">
        <v>277</v>
      </c>
      <c r="F139" s="1" t="s">
        <v>278</v>
      </c>
      <c r="G139" s="1" t="s">
        <v>61</v>
      </c>
    </row>
    <row r="140" spans="2:5" ht="12.75">
      <c r="B140" s="1" t="s">
        <v>278</v>
      </c>
      <c r="C140" s="1" t="s">
        <v>279</v>
      </c>
      <c r="D140" s="1" t="s">
        <v>280</v>
      </c>
      <c r="E140" s="1">
        <v>-0.5095</v>
      </c>
    </row>
    <row r="141" spans="2:9" ht="12.75">
      <c r="B141" s="1" t="s">
        <v>281</v>
      </c>
      <c r="C141" s="1" t="s">
        <v>282</v>
      </c>
      <c r="D141" s="1" t="s">
        <v>283</v>
      </c>
      <c r="E141" s="1">
        <v>-746.101937</v>
      </c>
      <c r="F141" s="1" t="s">
        <v>284</v>
      </c>
      <c r="G141" s="1" t="s">
        <v>282</v>
      </c>
      <c r="H141" s="1" t="s">
        <v>285</v>
      </c>
      <c r="I141" s="1">
        <v>522.537753</v>
      </c>
    </row>
    <row r="143" ht="12.75">
      <c r="B143" s="1" t="s">
        <v>286</v>
      </c>
    </row>
    <row r="144" spans="2:7" ht="12.75">
      <c r="B144" s="1" t="s">
        <v>61</v>
      </c>
      <c r="C144" s="1" t="s">
        <v>62</v>
      </c>
      <c r="D144" s="1">
        <v>17</v>
      </c>
      <c r="E144" s="1" t="s">
        <v>277</v>
      </c>
      <c r="F144" s="1" t="s">
        <v>287</v>
      </c>
      <c r="G144" s="1" t="s">
        <v>61</v>
      </c>
    </row>
    <row r="145" spans="2:3" ht="12.75">
      <c r="B145" s="1" t="s">
        <v>288</v>
      </c>
      <c r="C145" s="1">
        <v>-278.418</v>
      </c>
    </row>
    <row r="147" ht="12.75">
      <c r="B147" s="1" t="s">
        <v>286</v>
      </c>
    </row>
    <row r="148" spans="2:7" ht="12.75">
      <c r="B148" s="1" t="s">
        <v>61</v>
      </c>
      <c r="C148" s="1" t="s">
        <v>62</v>
      </c>
      <c r="D148" s="1">
        <v>22</v>
      </c>
      <c r="E148" s="1" t="s">
        <v>277</v>
      </c>
      <c r="F148" s="1" t="s">
        <v>287</v>
      </c>
      <c r="G148" s="1" t="s">
        <v>61</v>
      </c>
    </row>
    <row r="149" spans="2:3" ht="12.75">
      <c r="B149" s="1" t="s">
        <v>288</v>
      </c>
      <c r="C149" s="1">
        <v>523.79</v>
      </c>
    </row>
    <row r="151" ht="12.75">
      <c r="B151" s="1" t="s">
        <v>286</v>
      </c>
    </row>
    <row r="152" spans="2:7" ht="12.75">
      <c r="B152" s="1" t="s">
        <v>61</v>
      </c>
      <c r="C152" s="1" t="s">
        <v>62</v>
      </c>
      <c r="D152" s="1">
        <v>36</v>
      </c>
      <c r="E152" s="1" t="s">
        <v>277</v>
      </c>
      <c r="F152" s="1" t="s">
        <v>287</v>
      </c>
      <c r="G152" s="1" t="s">
        <v>61</v>
      </c>
    </row>
    <row r="153" spans="2:3" ht="12.75">
      <c r="B153" s="1" t="s">
        <v>288</v>
      </c>
      <c r="C153" s="1">
        <v>202</v>
      </c>
    </row>
    <row r="155" ht="12.75">
      <c r="B155" s="1" t="s">
        <v>286</v>
      </c>
    </row>
    <row r="156" spans="2:7" ht="12.75">
      <c r="B156" s="1" t="s">
        <v>61</v>
      </c>
      <c r="C156" s="1" t="s">
        <v>62</v>
      </c>
      <c r="D156" s="1">
        <v>63</v>
      </c>
      <c r="E156" s="1" t="s">
        <v>277</v>
      </c>
      <c r="F156" s="1" t="s">
        <v>287</v>
      </c>
      <c r="G156" s="1" t="s">
        <v>61</v>
      </c>
    </row>
    <row r="157" spans="2:3" ht="12.75">
      <c r="B157" s="1" t="s">
        <v>288</v>
      </c>
      <c r="C157" s="1">
        <v>-169.84</v>
      </c>
    </row>
    <row r="160" spans="2:5" ht="12.75">
      <c r="B160" s="1" t="s">
        <v>289</v>
      </c>
      <c r="C160" s="1" t="s">
        <v>209</v>
      </c>
      <c r="D160" s="1" t="s">
        <v>290</v>
      </c>
      <c r="E160" s="1" t="s">
        <v>56</v>
      </c>
    </row>
    <row r="161" spans="2:3" ht="12.75">
      <c r="B161" s="1" t="s">
        <v>291</v>
      </c>
      <c r="C161" s="1" t="s">
        <v>266</v>
      </c>
    </row>
    <row r="162" ht="12.75">
      <c r="B162" s="1" t="s">
        <v>292</v>
      </c>
    </row>
    <row r="163" spans="2:9" ht="12.75">
      <c r="B163" s="1" t="s">
        <v>50</v>
      </c>
      <c r="C163" s="1" t="s">
        <v>270</v>
      </c>
      <c r="D163" s="1" t="s">
        <v>17</v>
      </c>
      <c r="E163" s="1" t="s">
        <v>80</v>
      </c>
      <c r="F163" s="1" t="s">
        <v>81</v>
      </c>
      <c r="G163" s="1" t="s">
        <v>293</v>
      </c>
      <c r="H163" s="1" t="s">
        <v>294</v>
      </c>
      <c r="I163" s="1" t="s">
        <v>295</v>
      </c>
    </row>
    <row r="164" ht="12.75">
      <c r="B164" s="1" t="s">
        <v>292</v>
      </c>
    </row>
    <row r="165" spans="2:9" ht="12.75">
      <c r="B165" s="1">
        <v>2</v>
      </c>
      <c r="C165" s="1" t="s">
        <v>296</v>
      </c>
      <c r="D165" s="1">
        <v>0</v>
      </c>
      <c r="E165" s="1">
        <v>0</v>
      </c>
      <c r="F165" s="1">
        <v>0</v>
      </c>
      <c r="G165" s="1">
        <v>0.1829</v>
      </c>
      <c r="H165" s="1">
        <v>0</v>
      </c>
      <c r="I165" s="1">
        <v>0</v>
      </c>
    </row>
    <row r="166" spans="2:9" ht="12.75">
      <c r="B166" s="1">
        <v>3</v>
      </c>
      <c r="C166" s="1" t="s">
        <v>296</v>
      </c>
      <c r="D166" s="1">
        <v>0</v>
      </c>
      <c r="E166" s="1">
        <v>0</v>
      </c>
      <c r="F166" s="1">
        <v>0</v>
      </c>
      <c r="G166" s="1">
        <v>0</v>
      </c>
      <c r="H166" s="1">
        <v>-0.123</v>
      </c>
      <c r="I166" s="1">
        <v>0</v>
      </c>
    </row>
    <row r="167" spans="2:9" ht="12.75">
      <c r="B167" s="1">
        <v>10</v>
      </c>
      <c r="C167" s="1" t="s">
        <v>296</v>
      </c>
      <c r="D167" s="1">
        <v>0</v>
      </c>
      <c r="E167" s="1">
        <v>-91.048</v>
      </c>
      <c r="F167" s="1">
        <v>0</v>
      </c>
      <c r="G167" s="1">
        <v>-1.9766</v>
      </c>
      <c r="H167" s="1">
        <v>0</v>
      </c>
      <c r="I167" s="1">
        <v>0</v>
      </c>
    </row>
    <row r="168" spans="2:9" ht="12.75">
      <c r="B168" s="1">
        <v>11</v>
      </c>
      <c r="C168" s="1" t="s">
        <v>296</v>
      </c>
      <c r="D168" s="1">
        <v>0</v>
      </c>
      <c r="E168" s="1">
        <v>-149.224</v>
      </c>
      <c r="F168" s="1">
        <v>12.676</v>
      </c>
      <c r="G168" s="1">
        <v>-6.7066</v>
      </c>
      <c r="H168" s="1">
        <v>0</v>
      </c>
      <c r="I168" s="1">
        <v>0</v>
      </c>
    </row>
    <row r="169" spans="2:9" ht="12.75">
      <c r="B169" s="1">
        <v>12</v>
      </c>
      <c r="C169" s="1" t="s">
        <v>296</v>
      </c>
      <c r="D169" s="1">
        <v>0</v>
      </c>
      <c r="E169" s="1">
        <v>0</v>
      </c>
      <c r="F169" s="1">
        <v>0</v>
      </c>
      <c r="G169" s="1">
        <v>31.93</v>
      </c>
      <c r="H169" s="1">
        <v>0</v>
      </c>
      <c r="I169" s="1">
        <v>0</v>
      </c>
    </row>
    <row r="170" spans="2:9" ht="12.75">
      <c r="B170" s="1">
        <v>13</v>
      </c>
      <c r="C170" s="1" t="s">
        <v>296</v>
      </c>
      <c r="D170" s="1">
        <v>0</v>
      </c>
      <c r="E170" s="1">
        <v>0</v>
      </c>
      <c r="F170" s="1">
        <v>0</v>
      </c>
      <c r="G170" s="1">
        <v>-12.01</v>
      </c>
      <c r="H170" s="1">
        <v>0</v>
      </c>
      <c r="I170" s="1">
        <v>0</v>
      </c>
    </row>
    <row r="171" spans="2:9" ht="12.75">
      <c r="B171" s="1">
        <v>16</v>
      </c>
      <c r="C171" s="1" t="s">
        <v>296</v>
      </c>
      <c r="D171" s="1">
        <v>0</v>
      </c>
      <c r="E171" s="1">
        <v>0</v>
      </c>
      <c r="F171" s="1">
        <v>0</v>
      </c>
      <c r="G171" s="1">
        <v>-24.02</v>
      </c>
      <c r="H171" s="1">
        <v>0</v>
      </c>
      <c r="I171" s="1">
        <v>0</v>
      </c>
    </row>
    <row r="172" spans="2:9" ht="12.75">
      <c r="B172" s="1">
        <v>17</v>
      </c>
      <c r="C172" s="1" t="s">
        <v>296</v>
      </c>
      <c r="D172" s="1">
        <v>0</v>
      </c>
      <c r="E172" s="1">
        <v>0</v>
      </c>
      <c r="F172" s="1">
        <v>0</v>
      </c>
      <c r="G172" s="1">
        <v>9.212</v>
      </c>
      <c r="H172" s="1">
        <v>0</v>
      </c>
      <c r="I172" s="1">
        <v>0</v>
      </c>
    </row>
    <row r="173" spans="2:9" ht="12.75">
      <c r="B173" s="1">
        <v>18</v>
      </c>
      <c r="C173" s="1" t="s">
        <v>296</v>
      </c>
      <c r="D173" s="1">
        <v>0</v>
      </c>
      <c r="E173" s="1">
        <v>0</v>
      </c>
      <c r="F173" s="1">
        <v>0</v>
      </c>
      <c r="G173" s="1">
        <v>18.424</v>
      </c>
      <c r="H173" s="1">
        <v>0</v>
      </c>
      <c r="I173" s="1">
        <v>0</v>
      </c>
    </row>
    <row r="174" spans="2:9" ht="12.75">
      <c r="B174" s="1">
        <v>19</v>
      </c>
      <c r="C174" s="1" t="s">
        <v>296</v>
      </c>
      <c r="D174" s="1">
        <v>0</v>
      </c>
      <c r="E174" s="1">
        <v>0</v>
      </c>
      <c r="F174" s="1">
        <v>0</v>
      </c>
      <c r="G174" s="1">
        <v>-24.3574</v>
      </c>
      <c r="H174" s="1">
        <v>0</v>
      </c>
      <c r="I174" s="1">
        <v>0</v>
      </c>
    </row>
    <row r="175" spans="2:9" ht="12.75">
      <c r="B175" s="1">
        <v>20</v>
      </c>
      <c r="C175" s="1" t="s">
        <v>296</v>
      </c>
      <c r="D175" s="1">
        <v>33.82</v>
      </c>
      <c r="E175" s="1">
        <v>-4.442</v>
      </c>
      <c r="F175" s="1">
        <v>0</v>
      </c>
      <c r="G175" s="1">
        <v>0</v>
      </c>
      <c r="H175" s="1">
        <v>0</v>
      </c>
      <c r="I175" s="1">
        <v>74</v>
      </c>
    </row>
    <row r="176" spans="2:9" ht="12.75">
      <c r="B176" s="1">
        <v>21</v>
      </c>
      <c r="C176" s="1" t="s">
        <v>296</v>
      </c>
      <c r="D176" s="1">
        <v>0</v>
      </c>
      <c r="E176" s="1">
        <v>0</v>
      </c>
      <c r="F176" s="1">
        <v>0</v>
      </c>
      <c r="G176" s="1">
        <v>45</v>
      </c>
      <c r="H176" s="1">
        <v>0</v>
      </c>
      <c r="I176" s="1">
        <v>0</v>
      </c>
    </row>
    <row r="177" spans="2:10" ht="12.75">
      <c r="B177" s="1">
        <v>22</v>
      </c>
      <c r="C177" s="1" t="s">
        <v>300</v>
      </c>
      <c r="D177" s="1" t="s">
        <v>440</v>
      </c>
      <c r="E177" s="1">
        <v>0</v>
      </c>
      <c r="F177" s="1">
        <v>0</v>
      </c>
      <c r="G177" s="1">
        <v>0</v>
      </c>
      <c r="H177" s="1">
        <v>10.926</v>
      </c>
      <c r="I177" s="1">
        <v>13.491</v>
      </c>
      <c r="J177" s="1">
        <v>-64.05</v>
      </c>
    </row>
    <row r="178" spans="2:9" ht="12.75">
      <c r="B178" s="1">
        <v>24</v>
      </c>
      <c r="C178" s="1" t="s">
        <v>296</v>
      </c>
      <c r="D178" s="1">
        <v>0</v>
      </c>
      <c r="E178" s="1">
        <v>0</v>
      </c>
      <c r="F178" s="1">
        <v>0</v>
      </c>
      <c r="G178" s="1">
        <v>49.5</v>
      </c>
      <c r="H178" s="1">
        <v>0</v>
      </c>
      <c r="I178" s="1">
        <v>0</v>
      </c>
    </row>
    <row r="179" spans="2:10" ht="12.75">
      <c r="B179" s="1">
        <v>26</v>
      </c>
      <c r="C179" s="1" t="s">
        <v>300</v>
      </c>
      <c r="D179" s="1" t="s">
        <v>440</v>
      </c>
      <c r="E179" s="1">
        <v>0</v>
      </c>
      <c r="F179" s="1">
        <v>0</v>
      </c>
      <c r="G179" s="1">
        <v>0</v>
      </c>
      <c r="H179" s="1">
        <v>26</v>
      </c>
      <c r="I179" s="1">
        <v>12</v>
      </c>
      <c r="J179" s="1">
        <v>0</v>
      </c>
    </row>
    <row r="180" spans="2:9" ht="12.75">
      <c r="B180" s="1">
        <v>28</v>
      </c>
      <c r="C180" s="1" t="s">
        <v>296</v>
      </c>
      <c r="D180" s="1">
        <v>0</v>
      </c>
      <c r="E180" s="1">
        <v>0</v>
      </c>
      <c r="F180" s="1">
        <v>0</v>
      </c>
      <c r="G180" s="1">
        <v>-45</v>
      </c>
      <c r="H180" s="1">
        <v>0</v>
      </c>
      <c r="I180" s="1">
        <v>0</v>
      </c>
    </row>
    <row r="181" spans="2:10" ht="12.75">
      <c r="B181" s="1">
        <v>30</v>
      </c>
      <c r="C181" s="1" t="s">
        <v>300</v>
      </c>
      <c r="D181" s="1" t="s">
        <v>440</v>
      </c>
      <c r="E181" s="1">
        <v>0</v>
      </c>
      <c r="F181" s="1">
        <v>0</v>
      </c>
      <c r="G181" s="1">
        <v>0</v>
      </c>
      <c r="H181" s="1">
        <v>179.559</v>
      </c>
      <c r="I181" s="1">
        <v>-6.882</v>
      </c>
      <c r="J181" s="1">
        <v>90</v>
      </c>
    </row>
    <row r="182" spans="2:9" ht="12.75">
      <c r="B182" s="1">
        <v>32</v>
      </c>
      <c r="C182" s="1" t="s">
        <v>296</v>
      </c>
      <c r="D182" s="1">
        <v>0</v>
      </c>
      <c r="E182" s="1">
        <v>0</v>
      </c>
      <c r="F182" s="1">
        <v>0</v>
      </c>
      <c r="G182" s="1">
        <v>-49.5</v>
      </c>
      <c r="H182" s="1">
        <v>0</v>
      </c>
      <c r="I182" s="1">
        <v>0</v>
      </c>
    </row>
    <row r="183" spans="2:9" ht="12.75">
      <c r="B183" s="1">
        <v>33</v>
      </c>
      <c r="C183" s="1" t="s">
        <v>296</v>
      </c>
      <c r="D183" s="1">
        <v>0</v>
      </c>
      <c r="E183" s="1">
        <v>0</v>
      </c>
      <c r="F183" s="1">
        <v>0</v>
      </c>
      <c r="G183" s="1">
        <v>0</v>
      </c>
      <c r="H183" s="1">
        <v>0</v>
      </c>
      <c r="I183" s="1">
        <v>-74</v>
      </c>
    </row>
    <row r="184" spans="2:9" ht="12.75">
      <c r="B184" s="1">
        <v>34</v>
      </c>
      <c r="C184" s="1" t="s">
        <v>296</v>
      </c>
      <c r="D184" s="1">
        <v>0</v>
      </c>
      <c r="E184" s="1">
        <v>0</v>
      </c>
      <c r="F184" s="1">
        <v>0</v>
      </c>
      <c r="G184" s="1">
        <v>10</v>
      </c>
      <c r="H184" s="1">
        <v>0</v>
      </c>
      <c r="I184" s="1">
        <v>0</v>
      </c>
    </row>
    <row r="185" spans="2:9" ht="12.75">
      <c r="B185" s="1">
        <v>35</v>
      </c>
      <c r="C185" s="1" t="s">
        <v>296</v>
      </c>
      <c r="D185" s="1">
        <v>0</v>
      </c>
      <c r="E185" s="1">
        <v>0</v>
      </c>
      <c r="F185" s="1">
        <v>0</v>
      </c>
      <c r="G185" s="1">
        <v>-20</v>
      </c>
      <c r="H185" s="1">
        <v>0</v>
      </c>
      <c r="I185" s="1">
        <v>0</v>
      </c>
    </row>
    <row r="186" spans="2:9" ht="12.75">
      <c r="B186" s="1">
        <v>36</v>
      </c>
      <c r="C186" s="1" t="s">
        <v>296</v>
      </c>
      <c r="D186" s="1">
        <v>0</v>
      </c>
      <c r="E186" s="1">
        <v>0</v>
      </c>
      <c r="F186" s="1">
        <v>0</v>
      </c>
      <c r="G186" s="1">
        <v>0</v>
      </c>
      <c r="H186" s="1">
        <v>0</v>
      </c>
      <c r="I186" s="1">
        <v>-6.22</v>
      </c>
    </row>
    <row r="187" spans="2:9" ht="12.75">
      <c r="B187" s="1">
        <v>38</v>
      </c>
      <c r="C187" s="1" t="s">
        <v>296</v>
      </c>
      <c r="D187" s="1">
        <v>0</v>
      </c>
      <c r="E187" s="1">
        <v>0</v>
      </c>
      <c r="F187" s="1">
        <v>0</v>
      </c>
      <c r="G187" s="1">
        <v>-40</v>
      </c>
      <c r="H187" s="1">
        <v>0</v>
      </c>
      <c r="I187" s="1">
        <v>0</v>
      </c>
    </row>
    <row r="188" spans="2:9" ht="12.75">
      <c r="B188" s="1">
        <v>39</v>
      </c>
      <c r="C188" s="1" t="s">
        <v>296</v>
      </c>
      <c r="D188" s="1">
        <v>0</v>
      </c>
      <c r="E188" s="1">
        <v>0</v>
      </c>
      <c r="F188" s="1">
        <v>0</v>
      </c>
      <c r="G188" s="1">
        <v>30</v>
      </c>
      <c r="H188" s="1">
        <v>0</v>
      </c>
      <c r="I188" s="1">
        <v>0</v>
      </c>
    </row>
    <row r="189" spans="2:9" ht="12.75">
      <c r="B189" s="1">
        <v>40</v>
      </c>
      <c r="C189" s="1" t="s">
        <v>296</v>
      </c>
      <c r="D189" s="1">
        <v>0</v>
      </c>
      <c r="E189" s="1">
        <v>0</v>
      </c>
      <c r="F189" s="1">
        <v>0</v>
      </c>
      <c r="G189" s="1">
        <v>60</v>
      </c>
      <c r="H189" s="1">
        <v>0</v>
      </c>
      <c r="I189" s="1">
        <v>0</v>
      </c>
    </row>
    <row r="190" spans="2:9" ht="12.75">
      <c r="B190" s="1">
        <v>43</v>
      </c>
      <c r="C190" s="1" t="s">
        <v>296</v>
      </c>
      <c r="D190" s="1">
        <v>0</v>
      </c>
      <c r="E190" s="1">
        <v>0</v>
      </c>
      <c r="F190" s="1">
        <v>0</v>
      </c>
      <c r="G190" s="1">
        <v>-15</v>
      </c>
      <c r="H190" s="1">
        <v>0</v>
      </c>
      <c r="I190" s="1">
        <v>0</v>
      </c>
    </row>
    <row r="191" spans="2:9" ht="12.75">
      <c r="B191" s="1">
        <v>44</v>
      </c>
      <c r="C191" s="1" t="s">
        <v>296</v>
      </c>
      <c r="D191" s="1">
        <v>0</v>
      </c>
      <c r="E191" s="1">
        <v>0</v>
      </c>
      <c r="F191" s="1">
        <v>0</v>
      </c>
      <c r="G191" s="1">
        <v>-30</v>
      </c>
      <c r="H191" s="1">
        <v>0</v>
      </c>
      <c r="I191" s="1">
        <v>0</v>
      </c>
    </row>
    <row r="192" spans="2:9" ht="12.75">
      <c r="B192" s="1">
        <v>46</v>
      </c>
      <c r="C192" s="1" t="s">
        <v>296</v>
      </c>
      <c r="D192" s="1">
        <v>0</v>
      </c>
      <c r="E192" s="1">
        <v>0</v>
      </c>
      <c r="F192" s="1">
        <v>0</v>
      </c>
      <c r="G192" s="1">
        <v>45</v>
      </c>
      <c r="H192" s="1">
        <v>0</v>
      </c>
      <c r="I192" s="1">
        <v>0</v>
      </c>
    </row>
    <row r="193" spans="2:9" ht="12.75">
      <c r="B193" s="1">
        <v>47</v>
      </c>
      <c r="C193" s="1" t="s">
        <v>296</v>
      </c>
      <c r="D193" s="1">
        <v>0</v>
      </c>
      <c r="E193" s="1">
        <v>0</v>
      </c>
      <c r="F193" s="1">
        <v>0</v>
      </c>
      <c r="G193" s="1">
        <v>90</v>
      </c>
      <c r="H193" s="1">
        <v>0</v>
      </c>
      <c r="I193" s="1">
        <v>0</v>
      </c>
    </row>
    <row r="194" spans="2:9" ht="12.75">
      <c r="B194" s="1">
        <v>50</v>
      </c>
      <c r="C194" s="1" t="s">
        <v>296</v>
      </c>
      <c r="D194" s="1">
        <v>0</v>
      </c>
      <c r="E194" s="1">
        <v>0</v>
      </c>
      <c r="F194" s="1">
        <v>0</v>
      </c>
      <c r="G194" s="1">
        <v>45</v>
      </c>
      <c r="H194" s="1">
        <v>0</v>
      </c>
      <c r="I194" s="1">
        <v>0</v>
      </c>
    </row>
    <row r="195" spans="2:9" ht="12.75">
      <c r="B195" s="1">
        <v>51</v>
      </c>
      <c r="C195" s="1" t="s">
        <v>296</v>
      </c>
      <c r="D195" s="1">
        <v>0</v>
      </c>
      <c r="E195" s="1">
        <v>0</v>
      </c>
      <c r="F195" s="1">
        <v>0</v>
      </c>
      <c r="G195" s="1">
        <v>0</v>
      </c>
      <c r="H195" s="1">
        <v>45</v>
      </c>
      <c r="I195" s="1">
        <v>0</v>
      </c>
    </row>
    <row r="196" spans="2:9" ht="12.75">
      <c r="B196" s="1">
        <v>53</v>
      </c>
      <c r="C196" s="1" t="s">
        <v>296</v>
      </c>
      <c r="D196" s="1">
        <v>0</v>
      </c>
      <c r="E196" s="1">
        <v>0</v>
      </c>
      <c r="F196" s="1">
        <v>0</v>
      </c>
      <c r="G196" s="1">
        <v>0</v>
      </c>
      <c r="H196" s="1">
        <v>-45</v>
      </c>
      <c r="I196" s="1">
        <v>0</v>
      </c>
    </row>
    <row r="197" spans="2:9" ht="12.75">
      <c r="B197" s="1">
        <v>54</v>
      </c>
      <c r="C197" s="1" t="s">
        <v>296</v>
      </c>
      <c r="D197" s="1">
        <v>0</v>
      </c>
      <c r="E197" s="1">
        <v>0</v>
      </c>
      <c r="F197" s="1">
        <v>0</v>
      </c>
      <c r="G197" s="1">
        <v>45</v>
      </c>
      <c r="H197" s="1">
        <v>0</v>
      </c>
      <c r="I197" s="1">
        <v>0</v>
      </c>
    </row>
    <row r="198" spans="2:9" ht="12.75">
      <c r="B198" s="1">
        <v>56</v>
      </c>
      <c r="C198" s="1" t="s">
        <v>296</v>
      </c>
      <c r="D198" s="1">
        <v>0</v>
      </c>
      <c r="E198" s="1">
        <v>0</v>
      </c>
      <c r="F198" s="1">
        <v>0</v>
      </c>
      <c r="G198" s="1">
        <v>-15</v>
      </c>
      <c r="H198" s="1">
        <v>0</v>
      </c>
      <c r="I198" s="1">
        <v>0</v>
      </c>
    </row>
    <row r="199" spans="2:9" ht="12.75">
      <c r="B199" s="1">
        <v>57</v>
      </c>
      <c r="C199" s="1" t="s">
        <v>296</v>
      </c>
      <c r="D199" s="1">
        <v>0</v>
      </c>
      <c r="E199" s="1">
        <v>0</v>
      </c>
      <c r="F199" s="1">
        <v>0</v>
      </c>
      <c r="G199" s="1">
        <v>-30</v>
      </c>
      <c r="H199" s="1">
        <v>0</v>
      </c>
      <c r="I199" s="1">
        <v>0</v>
      </c>
    </row>
    <row r="200" spans="2:9" ht="12.75">
      <c r="B200" s="1">
        <v>60</v>
      </c>
      <c r="C200" s="1" t="s">
        <v>296</v>
      </c>
      <c r="D200" s="1">
        <v>0</v>
      </c>
      <c r="E200" s="1">
        <v>0</v>
      </c>
      <c r="F200" s="1">
        <v>0</v>
      </c>
      <c r="G200" s="1">
        <v>30</v>
      </c>
      <c r="H200" s="1">
        <v>0</v>
      </c>
      <c r="I200" s="1">
        <v>0</v>
      </c>
    </row>
    <row r="201" spans="2:9" ht="12.75">
      <c r="B201" s="1">
        <v>61</v>
      </c>
      <c r="C201" s="1" t="s">
        <v>296</v>
      </c>
      <c r="D201" s="1">
        <v>0</v>
      </c>
      <c r="E201" s="1">
        <v>0</v>
      </c>
      <c r="F201" s="1">
        <v>0</v>
      </c>
      <c r="G201" s="1">
        <v>60</v>
      </c>
      <c r="H201" s="1">
        <v>0</v>
      </c>
      <c r="I201" s="1">
        <v>0</v>
      </c>
    </row>
    <row r="202" spans="2:9" ht="12.75">
      <c r="B202" s="1">
        <v>62</v>
      </c>
      <c r="C202" s="1" t="s">
        <v>296</v>
      </c>
      <c r="D202" s="1">
        <v>0</v>
      </c>
      <c r="E202" s="1">
        <v>0</v>
      </c>
      <c r="F202" s="1">
        <v>0</v>
      </c>
      <c r="G202" s="1">
        <v>-20</v>
      </c>
      <c r="H202" s="1">
        <v>0</v>
      </c>
      <c r="I202" s="1">
        <v>0</v>
      </c>
    </row>
    <row r="203" spans="2:9" ht="12.75">
      <c r="B203" s="1">
        <v>63</v>
      </c>
      <c r="C203" s="1" t="s">
        <v>296</v>
      </c>
      <c r="D203" s="1">
        <v>0</v>
      </c>
      <c r="E203" s="1">
        <v>0</v>
      </c>
      <c r="F203" s="1">
        <v>0</v>
      </c>
      <c r="G203" s="1">
        <v>0</v>
      </c>
      <c r="H203" s="1">
        <v>0</v>
      </c>
      <c r="I203" s="1">
        <v>-1.79</v>
      </c>
    </row>
    <row r="204" spans="2:9" ht="12.75">
      <c r="B204" s="1">
        <v>65</v>
      </c>
      <c r="C204" s="1" t="s">
        <v>296</v>
      </c>
      <c r="D204" s="1">
        <v>0</v>
      </c>
      <c r="E204" s="1">
        <v>0</v>
      </c>
      <c r="F204" s="1">
        <v>0</v>
      </c>
      <c r="G204" s="1">
        <v>-40</v>
      </c>
      <c r="H204" s="1">
        <v>0</v>
      </c>
      <c r="I204" s="1">
        <v>0</v>
      </c>
    </row>
    <row r="205" spans="2:9" ht="12.75">
      <c r="B205" s="1">
        <v>67</v>
      </c>
      <c r="C205" s="1" t="s">
        <v>296</v>
      </c>
      <c r="D205" s="1">
        <v>0</v>
      </c>
      <c r="E205" s="1">
        <v>0</v>
      </c>
      <c r="F205" s="1">
        <v>0</v>
      </c>
      <c r="G205" s="1">
        <v>0</v>
      </c>
      <c r="H205" s="1">
        <v>-45</v>
      </c>
      <c r="I205" s="1">
        <v>0</v>
      </c>
    </row>
    <row r="206" spans="2:9" ht="12.75">
      <c r="B206" s="1">
        <v>68</v>
      </c>
      <c r="C206" s="1" t="s">
        <v>296</v>
      </c>
      <c r="D206" s="1">
        <v>0</v>
      </c>
      <c r="E206" s="1">
        <v>0</v>
      </c>
      <c r="F206" s="1">
        <v>0</v>
      </c>
      <c r="G206" s="1">
        <v>0</v>
      </c>
      <c r="H206" s="1">
        <v>-90</v>
      </c>
      <c r="I206" s="1">
        <v>0</v>
      </c>
    </row>
    <row r="208" spans="2:5" ht="12.75">
      <c r="B208" s="1" t="s">
        <v>254</v>
      </c>
      <c r="C208" s="1" t="s">
        <v>255</v>
      </c>
      <c r="D208" s="1" t="s">
        <v>61</v>
      </c>
      <c r="E208" s="1" t="s">
        <v>297</v>
      </c>
    </row>
    <row r="209" ht="12.75">
      <c r="B209" s="1" t="s">
        <v>298</v>
      </c>
    </row>
    <row r="210" spans="2:7" ht="12.75">
      <c r="B210" s="1" t="s">
        <v>299</v>
      </c>
      <c r="C210" s="1" t="s">
        <v>52</v>
      </c>
      <c r="D210" s="1" t="s">
        <v>266</v>
      </c>
      <c r="E210" s="1" t="s">
        <v>300</v>
      </c>
      <c r="F210" s="1" t="s">
        <v>268</v>
      </c>
      <c r="G210" s="1" t="s">
        <v>266</v>
      </c>
    </row>
    <row r="211" spans="2:10" ht="12.75">
      <c r="B211" s="1" t="s">
        <v>296</v>
      </c>
      <c r="C211" s="1" t="s">
        <v>301</v>
      </c>
      <c r="D211" s="1" t="s">
        <v>266</v>
      </c>
      <c r="E211" s="1" t="s">
        <v>302</v>
      </c>
      <c r="F211" s="1" t="s">
        <v>303</v>
      </c>
      <c r="G211" s="1" t="s">
        <v>260</v>
      </c>
      <c r="H211" s="1" t="s">
        <v>57</v>
      </c>
      <c r="I211" s="1" t="s">
        <v>301</v>
      </c>
      <c r="J211" s="1" t="s">
        <v>70</v>
      </c>
    </row>
    <row r="213" spans="2:3" ht="12.75">
      <c r="B213" s="1" t="s">
        <v>50</v>
      </c>
      <c r="C213" s="1" t="s">
        <v>304</v>
      </c>
    </row>
    <row r="214" ht="12.75">
      <c r="B214" s="1" t="s">
        <v>292</v>
      </c>
    </row>
    <row r="215" spans="2:8" ht="12.75">
      <c r="B215" s="1">
        <v>12</v>
      </c>
      <c r="C215" s="1" t="s">
        <v>305</v>
      </c>
      <c r="D215" s="1" t="s">
        <v>306</v>
      </c>
      <c r="E215" s="1" t="s">
        <v>60</v>
      </c>
      <c r="F215" s="1" t="s">
        <v>61</v>
      </c>
      <c r="G215" s="1" t="s">
        <v>62</v>
      </c>
      <c r="H215" s="1">
        <v>11</v>
      </c>
    </row>
    <row r="216" spans="2:8" ht="12.75">
      <c r="B216" s="1">
        <v>16</v>
      </c>
      <c r="C216" s="1" t="s">
        <v>305</v>
      </c>
      <c r="D216" s="1" t="s">
        <v>306</v>
      </c>
      <c r="E216" s="1" t="s">
        <v>60</v>
      </c>
      <c r="F216" s="1" t="s">
        <v>61</v>
      </c>
      <c r="G216" s="1" t="s">
        <v>62</v>
      </c>
      <c r="H216" s="1">
        <v>13</v>
      </c>
    </row>
    <row r="217" spans="2:8" ht="12.75">
      <c r="B217" s="1">
        <v>18</v>
      </c>
      <c r="C217" s="1" t="s">
        <v>305</v>
      </c>
      <c r="D217" s="1" t="s">
        <v>306</v>
      </c>
      <c r="E217" s="1" t="s">
        <v>60</v>
      </c>
      <c r="F217" s="1" t="s">
        <v>61</v>
      </c>
      <c r="G217" s="1" t="s">
        <v>62</v>
      </c>
      <c r="H217" s="1">
        <v>17</v>
      </c>
    </row>
    <row r="218" spans="2:7" ht="12.75">
      <c r="B218" s="1">
        <v>23</v>
      </c>
      <c r="C218" s="1" t="s">
        <v>441</v>
      </c>
      <c r="D218" s="1" t="s">
        <v>442</v>
      </c>
      <c r="E218" s="1" t="s">
        <v>61</v>
      </c>
      <c r="F218" s="1" t="s">
        <v>62</v>
      </c>
      <c r="G218" s="1">
        <v>21</v>
      </c>
    </row>
    <row r="219" spans="2:7" ht="12.75">
      <c r="B219" s="1">
        <v>27</v>
      </c>
      <c r="C219" s="1" t="s">
        <v>441</v>
      </c>
      <c r="D219" s="1" t="s">
        <v>442</v>
      </c>
      <c r="E219" s="1" t="s">
        <v>61</v>
      </c>
      <c r="F219" s="1" t="s">
        <v>62</v>
      </c>
      <c r="G219" s="1">
        <v>25</v>
      </c>
    </row>
    <row r="220" spans="2:7" ht="12.75">
      <c r="B220" s="1">
        <v>31</v>
      </c>
      <c r="C220" s="1" t="s">
        <v>441</v>
      </c>
      <c r="D220" s="1" t="s">
        <v>442</v>
      </c>
      <c r="E220" s="1" t="s">
        <v>61</v>
      </c>
      <c r="F220" s="1" t="s">
        <v>62</v>
      </c>
      <c r="G220" s="1">
        <v>29</v>
      </c>
    </row>
    <row r="221" spans="2:8" ht="12.75">
      <c r="B221" s="1">
        <v>37</v>
      </c>
      <c r="C221" s="1" t="s">
        <v>305</v>
      </c>
      <c r="D221" s="1" t="s">
        <v>306</v>
      </c>
      <c r="E221" s="1" t="s">
        <v>60</v>
      </c>
      <c r="F221" s="1" t="s">
        <v>61</v>
      </c>
      <c r="G221" s="1" t="s">
        <v>62</v>
      </c>
      <c r="H221" s="1">
        <v>36</v>
      </c>
    </row>
    <row r="222" spans="2:8" ht="12.75">
      <c r="B222" s="1">
        <v>38</v>
      </c>
      <c r="C222" s="1" t="s">
        <v>305</v>
      </c>
      <c r="D222" s="1" t="s">
        <v>306</v>
      </c>
      <c r="E222" s="1" t="s">
        <v>60</v>
      </c>
      <c r="F222" s="1" t="s">
        <v>61</v>
      </c>
      <c r="G222" s="1" t="s">
        <v>62</v>
      </c>
      <c r="H222" s="1">
        <v>35</v>
      </c>
    </row>
    <row r="223" spans="2:8" ht="12.75">
      <c r="B223" s="1">
        <v>40</v>
      </c>
      <c r="C223" s="1" t="s">
        <v>305</v>
      </c>
      <c r="D223" s="1" t="s">
        <v>306</v>
      </c>
      <c r="E223" s="1" t="s">
        <v>60</v>
      </c>
      <c r="F223" s="1" t="s">
        <v>61</v>
      </c>
      <c r="G223" s="1" t="s">
        <v>62</v>
      </c>
      <c r="H223" s="1">
        <v>39</v>
      </c>
    </row>
    <row r="224" spans="2:8" ht="12.75">
      <c r="B224" s="1">
        <v>44</v>
      </c>
      <c r="C224" s="1" t="s">
        <v>305</v>
      </c>
      <c r="D224" s="1" t="s">
        <v>306</v>
      </c>
      <c r="E224" s="1" t="s">
        <v>60</v>
      </c>
      <c r="F224" s="1" t="s">
        <v>61</v>
      </c>
      <c r="G224" s="1" t="s">
        <v>62</v>
      </c>
      <c r="H224" s="1">
        <v>43</v>
      </c>
    </row>
    <row r="225" spans="2:8" ht="12.75">
      <c r="B225" s="1">
        <v>47</v>
      </c>
      <c r="C225" s="1" t="s">
        <v>305</v>
      </c>
      <c r="D225" s="1" t="s">
        <v>306</v>
      </c>
      <c r="E225" s="1" t="s">
        <v>60</v>
      </c>
      <c r="F225" s="1" t="s">
        <v>61</v>
      </c>
      <c r="G225" s="1" t="s">
        <v>62</v>
      </c>
      <c r="H225" s="1">
        <v>46</v>
      </c>
    </row>
    <row r="226" spans="2:8" ht="12.75">
      <c r="B226" s="1">
        <v>52</v>
      </c>
      <c r="C226" s="1" t="s">
        <v>305</v>
      </c>
      <c r="D226" s="1" t="s">
        <v>306</v>
      </c>
      <c r="E226" s="1" t="s">
        <v>60</v>
      </c>
      <c r="F226" s="1" t="s">
        <v>61</v>
      </c>
      <c r="G226" s="1" t="s">
        <v>62</v>
      </c>
      <c r="H226" s="1">
        <v>51</v>
      </c>
    </row>
    <row r="227" spans="2:8" ht="12.75">
      <c r="B227" s="1">
        <v>54</v>
      </c>
      <c r="C227" s="1" t="s">
        <v>305</v>
      </c>
      <c r="D227" s="1" t="s">
        <v>306</v>
      </c>
      <c r="E227" s="1" t="s">
        <v>60</v>
      </c>
      <c r="F227" s="1" t="s">
        <v>61</v>
      </c>
      <c r="G227" s="1" t="s">
        <v>62</v>
      </c>
      <c r="H227" s="1">
        <v>53</v>
      </c>
    </row>
    <row r="228" spans="2:8" ht="12.75">
      <c r="B228" s="1">
        <v>56</v>
      </c>
      <c r="C228" s="1" t="s">
        <v>306</v>
      </c>
      <c r="D228" s="1" t="s">
        <v>274</v>
      </c>
      <c r="E228" s="1" t="s">
        <v>307</v>
      </c>
      <c r="F228" s="1" t="s">
        <v>61</v>
      </c>
      <c r="G228" s="1" t="s">
        <v>62</v>
      </c>
      <c r="H228" s="1">
        <v>43</v>
      </c>
    </row>
    <row r="229" spans="2:8" ht="12.75">
      <c r="B229" s="1">
        <v>57</v>
      </c>
      <c r="C229" s="1" t="s">
        <v>305</v>
      </c>
      <c r="D229" s="1" t="s">
        <v>306</v>
      </c>
      <c r="E229" s="1" t="s">
        <v>60</v>
      </c>
      <c r="F229" s="1" t="s">
        <v>61</v>
      </c>
      <c r="G229" s="1" t="s">
        <v>62</v>
      </c>
      <c r="H229" s="1">
        <v>56</v>
      </c>
    </row>
    <row r="230" spans="2:8" ht="12.75">
      <c r="B230" s="1">
        <v>57</v>
      </c>
      <c r="C230" s="1" t="s">
        <v>306</v>
      </c>
      <c r="D230" s="1" t="s">
        <v>274</v>
      </c>
      <c r="E230" s="1" t="s">
        <v>307</v>
      </c>
      <c r="F230" s="1" t="s">
        <v>61</v>
      </c>
      <c r="G230" s="1" t="s">
        <v>62</v>
      </c>
      <c r="H230" s="1">
        <v>44</v>
      </c>
    </row>
    <row r="231" spans="2:8" ht="12.75">
      <c r="B231" s="1">
        <v>60</v>
      </c>
      <c r="C231" s="1" t="s">
        <v>306</v>
      </c>
      <c r="D231" s="1" t="s">
        <v>274</v>
      </c>
      <c r="E231" s="1" t="s">
        <v>307</v>
      </c>
      <c r="F231" s="1" t="s">
        <v>61</v>
      </c>
      <c r="G231" s="1" t="s">
        <v>62</v>
      </c>
      <c r="H231" s="1">
        <v>39</v>
      </c>
    </row>
    <row r="232" spans="2:8" ht="12.75">
      <c r="B232" s="1">
        <v>61</v>
      </c>
      <c r="C232" s="1" t="s">
        <v>305</v>
      </c>
      <c r="D232" s="1" t="s">
        <v>306</v>
      </c>
      <c r="E232" s="1" t="s">
        <v>60</v>
      </c>
      <c r="F232" s="1" t="s">
        <v>61</v>
      </c>
      <c r="G232" s="1" t="s">
        <v>62</v>
      </c>
      <c r="H232" s="1">
        <v>60</v>
      </c>
    </row>
    <row r="233" spans="2:8" ht="12.75">
      <c r="B233" s="1">
        <v>61</v>
      </c>
      <c r="C233" s="1" t="s">
        <v>306</v>
      </c>
      <c r="D233" s="1" t="s">
        <v>274</v>
      </c>
      <c r="E233" s="1" t="s">
        <v>307</v>
      </c>
      <c r="F233" s="1" t="s">
        <v>61</v>
      </c>
      <c r="G233" s="1" t="s">
        <v>62</v>
      </c>
      <c r="H233" s="1">
        <v>40</v>
      </c>
    </row>
    <row r="234" spans="2:8" ht="12.75">
      <c r="B234" s="1">
        <v>64</v>
      </c>
      <c r="C234" s="1" t="s">
        <v>305</v>
      </c>
      <c r="D234" s="1" t="s">
        <v>306</v>
      </c>
      <c r="E234" s="1" t="s">
        <v>60</v>
      </c>
      <c r="F234" s="1" t="s">
        <v>61</v>
      </c>
      <c r="G234" s="1" t="s">
        <v>62</v>
      </c>
      <c r="H234" s="1">
        <v>63</v>
      </c>
    </row>
    <row r="235" spans="2:8" ht="12.75">
      <c r="B235" s="1">
        <v>65</v>
      </c>
      <c r="C235" s="1" t="s">
        <v>305</v>
      </c>
      <c r="D235" s="1" t="s">
        <v>306</v>
      </c>
      <c r="E235" s="1" t="s">
        <v>60</v>
      </c>
      <c r="F235" s="1" t="s">
        <v>61</v>
      </c>
      <c r="G235" s="1" t="s">
        <v>62</v>
      </c>
      <c r="H235" s="1">
        <v>62</v>
      </c>
    </row>
    <row r="236" spans="2:8" ht="12.75">
      <c r="B236" s="1">
        <v>68</v>
      </c>
      <c r="C236" s="1" t="s">
        <v>305</v>
      </c>
      <c r="D236" s="1" t="s">
        <v>306</v>
      </c>
      <c r="E236" s="1" t="s">
        <v>60</v>
      </c>
      <c r="F236" s="1" t="s">
        <v>61</v>
      </c>
      <c r="G236" s="1" t="s">
        <v>62</v>
      </c>
      <c r="H236" s="1">
        <v>67</v>
      </c>
    </row>
    <row r="238" spans="2:4" ht="12.75">
      <c r="B238" s="1" t="s">
        <v>52</v>
      </c>
      <c r="C238" s="1" t="s">
        <v>58</v>
      </c>
      <c r="D238" s="1" t="s">
        <v>56</v>
      </c>
    </row>
    <row r="240" spans="2:11" ht="12.75">
      <c r="B240" s="1" t="s">
        <v>52</v>
      </c>
      <c r="C240" s="1" t="s">
        <v>58</v>
      </c>
      <c r="D240" s="1" t="s">
        <v>61</v>
      </c>
      <c r="E240" s="1" t="s">
        <v>181</v>
      </c>
      <c r="F240" s="1" t="s">
        <v>57</v>
      </c>
      <c r="G240" s="1" t="s">
        <v>58</v>
      </c>
      <c r="H240" s="1" t="s">
        <v>59</v>
      </c>
      <c r="I240" s="1" t="s">
        <v>60</v>
      </c>
      <c r="J240" s="1" t="s">
        <v>61</v>
      </c>
      <c r="K240" s="1">
        <v>9</v>
      </c>
    </row>
    <row r="241" ht="12.75">
      <c r="B241" s="1" t="s">
        <v>292</v>
      </c>
    </row>
    <row r="242" spans="2:9" ht="12.75">
      <c r="B242" s="1" t="s">
        <v>50</v>
      </c>
      <c r="C242" s="1" t="s">
        <v>17</v>
      </c>
      <c r="D242" s="1" t="s">
        <v>80</v>
      </c>
      <c r="E242" s="1" t="s">
        <v>81</v>
      </c>
      <c r="F242" s="1" t="s">
        <v>308</v>
      </c>
      <c r="G242" s="1" t="s">
        <v>293</v>
      </c>
      <c r="H242" s="1" t="s">
        <v>294</v>
      </c>
      <c r="I242" s="1" t="s">
        <v>295</v>
      </c>
    </row>
    <row r="243" ht="12.75">
      <c r="B243" s="1" t="s">
        <v>292</v>
      </c>
    </row>
    <row r="244" spans="2:8" ht="12.75">
      <c r="B244" s="1">
        <v>1</v>
      </c>
      <c r="C244" s="1">
        <v>38.149974</v>
      </c>
      <c r="D244" s="1">
        <v>56.739172</v>
      </c>
      <c r="E244" s="1">
        <v>-1050.030473</v>
      </c>
      <c r="F244" s="1">
        <v>-0.18293</v>
      </c>
      <c r="G244" s="1">
        <v>0.123</v>
      </c>
      <c r="H244" s="1">
        <v>-0.00039</v>
      </c>
    </row>
    <row r="245" spans="2:8" ht="12.75">
      <c r="B245" s="1">
        <v>2</v>
      </c>
      <c r="C245" s="1">
        <v>0</v>
      </c>
      <c r="D245" s="1">
        <v>0</v>
      </c>
      <c r="E245" s="4">
        <v>16700</v>
      </c>
      <c r="F245" s="1">
        <v>0</v>
      </c>
      <c r="G245" s="1">
        <v>0.123</v>
      </c>
      <c r="H245" s="1">
        <v>0</v>
      </c>
    </row>
    <row r="246" spans="2:8" ht="12.75">
      <c r="B246" s="1">
        <v>3</v>
      </c>
      <c r="C246" s="1">
        <v>0</v>
      </c>
      <c r="D246" s="1">
        <v>0</v>
      </c>
      <c r="E246" s="4">
        <v>16700</v>
      </c>
      <c r="F246" s="1">
        <v>0</v>
      </c>
      <c r="G246" s="1">
        <v>0</v>
      </c>
      <c r="H246" s="1">
        <v>0</v>
      </c>
    </row>
    <row r="247" spans="2:8" ht="12.75">
      <c r="B247" s="1">
        <v>4</v>
      </c>
      <c r="C247" s="1">
        <v>0</v>
      </c>
      <c r="D247" s="1">
        <v>0</v>
      </c>
      <c r="E247" s="1">
        <v>-1050.162</v>
      </c>
      <c r="F247" s="1">
        <v>0</v>
      </c>
      <c r="G247" s="1">
        <v>0</v>
      </c>
      <c r="H247" s="1">
        <v>0</v>
      </c>
    </row>
    <row r="248" spans="2:8" ht="12.75">
      <c r="B248" s="1">
        <v>5</v>
      </c>
      <c r="C248" s="1">
        <v>0</v>
      </c>
      <c r="D248" s="1">
        <v>0</v>
      </c>
      <c r="E248" s="1">
        <v>-3050.162</v>
      </c>
      <c r="F248" s="1">
        <v>0</v>
      </c>
      <c r="G248" s="1">
        <v>0</v>
      </c>
      <c r="H248" s="1">
        <v>0</v>
      </c>
    </row>
    <row r="249" spans="2:8" ht="12.75">
      <c r="B249" s="1">
        <v>6</v>
      </c>
      <c r="C249" s="1">
        <v>0</v>
      </c>
      <c r="D249" s="1">
        <v>0</v>
      </c>
      <c r="E249" s="1">
        <v>-1050.162</v>
      </c>
      <c r="F249" s="1">
        <v>0</v>
      </c>
      <c r="G249" s="1">
        <v>0</v>
      </c>
      <c r="H249" s="1">
        <v>0</v>
      </c>
    </row>
    <row r="250" spans="2:8" ht="12.75">
      <c r="B250" s="1" t="s">
        <v>222</v>
      </c>
      <c r="C250" s="1">
        <v>0</v>
      </c>
      <c r="D250" s="1">
        <v>0</v>
      </c>
      <c r="E250" s="1">
        <v>-2638.131</v>
      </c>
      <c r="F250" s="1">
        <v>0</v>
      </c>
      <c r="G250" s="1">
        <v>0</v>
      </c>
      <c r="H250" s="1">
        <v>0</v>
      </c>
    </row>
    <row r="251" spans="2:8" ht="12.75">
      <c r="B251" s="1">
        <v>8</v>
      </c>
      <c r="C251" s="1">
        <v>0</v>
      </c>
      <c r="D251" s="1">
        <v>0</v>
      </c>
      <c r="E251" s="1">
        <v>-1050.162</v>
      </c>
      <c r="F251" s="1">
        <v>0</v>
      </c>
      <c r="G251" s="1">
        <v>0</v>
      </c>
      <c r="H251" s="1">
        <v>0</v>
      </c>
    </row>
    <row r="252" spans="2:8" ht="12.75">
      <c r="B252" s="1">
        <v>9</v>
      </c>
      <c r="C252" s="1">
        <v>0</v>
      </c>
      <c r="D252" s="1">
        <v>0</v>
      </c>
      <c r="E252" s="1">
        <v>0</v>
      </c>
      <c r="F252" s="1">
        <v>0</v>
      </c>
      <c r="G252" s="1">
        <v>0</v>
      </c>
      <c r="H252" s="1">
        <v>0</v>
      </c>
    </row>
    <row r="253" spans="2:8" ht="12.75">
      <c r="B253" s="1">
        <v>10</v>
      </c>
      <c r="C253" s="1">
        <v>0</v>
      </c>
      <c r="D253" s="1">
        <v>-91.048</v>
      </c>
      <c r="E253" s="1">
        <v>0</v>
      </c>
      <c r="F253" s="1">
        <v>-1.9766</v>
      </c>
      <c r="G253" s="1">
        <v>0</v>
      </c>
      <c r="H253" s="1">
        <v>0</v>
      </c>
    </row>
    <row r="254" spans="2:8" ht="12.75">
      <c r="B254" s="1">
        <v>11</v>
      </c>
      <c r="C254" s="1">
        <v>0</v>
      </c>
      <c r="D254" s="1">
        <v>-243.065859</v>
      </c>
      <c r="E254" s="1">
        <v>78.379337</v>
      </c>
      <c r="F254" s="1">
        <v>-8.6832</v>
      </c>
      <c r="G254" s="1">
        <v>0</v>
      </c>
      <c r="H254" s="1">
        <v>0</v>
      </c>
    </row>
    <row r="255" spans="2:8" ht="12.75">
      <c r="B255" s="1">
        <v>12</v>
      </c>
      <c r="C255" s="1">
        <v>0</v>
      </c>
      <c r="D255" s="1">
        <v>-93.493436</v>
      </c>
      <c r="E255" s="1">
        <v>70.857814</v>
      </c>
      <c r="F255" s="1">
        <v>29.9534</v>
      </c>
      <c r="G255" s="1">
        <v>0</v>
      </c>
      <c r="H255" s="1">
        <v>0</v>
      </c>
    </row>
    <row r="256" spans="2:8" ht="12.75">
      <c r="B256" s="1">
        <v>13</v>
      </c>
      <c r="C256" s="1">
        <v>0</v>
      </c>
      <c r="D256" s="1">
        <v>-200.09302</v>
      </c>
      <c r="E256" s="1">
        <v>-114.125371</v>
      </c>
      <c r="F256" s="1">
        <v>17.9434</v>
      </c>
      <c r="G256" s="1">
        <v>0</v>
      </c>
      <c r="H256" s="1">
        <v>0</v>
      </c>
    </row>
    <row r="257" spans="2:8" ht="12.75">
      <c r="B257" s="1">
        <v>14</v>
      </c>
      <c r="C257" s="1">
        <v>0</v>
      </c>
      <c r="D257" s="1">
        <v>-200.09302</v>
      </c>
      <c r="E257" s="1">
        <v>-114.125371</v>
      </c>
      <c r="F257" s="1">
        <v>17.9434</v>
      </c>
      <c r="G257" s="1">
        <v>0</v>
      </c>
      <c r="H257" s="1">
        <v>0</v>
      </c>
    </row>
    <row r="258" spans="2:8" ht="12.75">
      <c r="B258" s="1">
        <v>15</v>
      </c>
      <c r="C258" s="1">
        <v>0</v>
      </c>
      <c r="D258" s="1">
        <v>-200.09302</v>
      </c>
      <c r="E258" s="1">
        <v>-114.125371</v>
      </c>
      <c r="F258" s="1">
        <v>17.9434</v>
      </c>
      <c r="G258" s="1">
        <v>0</v>
      </c>
      <c r="H258" s="1">
        <v>0</v>
      </c>
    </row>
    <row r="259" spans="2:8" ht="12.75">
      <c r="B259" s="1">
        <v>16</v>
      </c>
      <c r="C259" s="1">
        <v>0</v>
      </c>
      <c r="D259" s="1">
        <v>-200.09302</v>
      </c>
      <c r="E259" s="1">
        <v>-114.125371</v>
      </c>
      <c r="F259" s="1">
        <v>5.9334</v>
      </c>
      <c r="G259" s="1">
        <v>0</v>
      </c>
      <c r="H259" s="1">
        <v>0</v>
      </c>
    </row>
    <row r="260" spans="2:8" ht="12.75">
      <c r="B260" s="1">
        <v>17</v>
      </c>
      <c r="C260" s="1">
        <v>0</v>
      </c>
      <c r="D260" s="1">
        <v>-179.687314</v>
      </c>
      <c r="E260" s="1">
        <v>82.217104</v>
      </c>
      <c r="F260" s="1">
        <v>15.1454</v>
      </c>
      <c r="G260" s="1">
        <v>0</v>
      </c>
      <c r="H260" s="1">
        <v>0</v>
      </c>
    </row>
    <row r="261" spans="2:8" ht="12.75">
      <c r="B261" s="1">
        <v>18</v>
      </c>
      <c r="C261" s="1">
        <v>0</v>
      </c>
      <c r="D261" s="1">
        <v>-179.687314</v>
      </c>
      <c r="E261" s="1">
        <v>82.217104</v>
      </c>
      <c r="F261" s="1">
        <v>24.3574</v>
      </c>
      <c r="G261" s="1">
        <v>0</v>
      </c>
      <c r="H261" s="1">
        <v>0</v>
      </c>
    </row>
    <row r="262" spans="2:8" ht="12.75">
      <c r="B262" s="1">
        <v>19</v>
      </c>
      <c r="C262" s="1">
        <v>0</v>
      </c>
      <c r="D262" s="1">
        <v>-259.533222</v>
      </c>
      <c r="E262" s="1">
        <v>-94.150668</v>
      </c>
      <c r="F262" s="1">
        <v>0</v>
      </c>
      <c r="G262" s="1">
        <v>0</v>
      </c>
      <c r="H262" s="1">
        <v>0</v>
      </c>
    </row>
    <row r="263" spans="2:8" ht="12.75">
      <c r="B263" s="1">
        <v>20</v>
      </c>
      <c r="C263" s="1">
        <v>33.82</v>
      </c>
      <c r="D263" s="1">
        <v>-263.975222</v>
      </c>
      <c r="E263" s="1">
        <v>-104.150668</v>
      </c>
      <c r="F263" s="1">
        <v>0</v>
      </c>
      <c r="G263" s="1">
        <v>0</v>
      </c>
      <c r="H263" s="1">
        <v>74</v>
      </c>
    </row>
    <row r="264" spans="2:8" ht="12.75">
      <c r="B264" s="1">
        <v>21</v>
      </c>
      <c r="C264" s="1">
        <v>33.82</v>
      </c>
      <c r="D264" s="1">
        <v>-263.975222</v>
      </c>
      <c r="E264" s="1">
        <v>-104.150668</v>
      </c>
      <c r="F264" s="1">
        <v>15.4102</v>
      </c>
      <c r="G264" s="1">
        <v>-42.82135</v>
      </c>
      <c r="H264" s="1">
        <v>67.9265</v>
      </c>
    </row>
    <row r="265" spans="2:8" ht="12.75">
      <c r="B265" s="1">
        <v>22</v>
      </c>
      <c r="C265" s="1">
        <v>33.82</v>
      </c>
      <c r="D265" s="1">
        <v>-263.975222</v>
      </c>
      <c r="E265" s="1">
        <v>-104.150668</v>
      </c>
      <c r="F265" s="1">
        <v>39.32223</v>
      </c>
      <c r="G265" s="1">
        <v>-45.23104</v>
      </c>
      <c r="H265" s="1">
        <v>-14.16719</v>
      </c>
    </row>
    <row r="266" spans="2:8" ht="12.75">
      <c r="B266" s="1">
        <v>23</v>
      </c>
      <c r="C266" s="1">
        <v>33.82</v>
      </c>
      <c r="D266" s="1">
        <v>-263.975222</v>
      </c>
      <c r="E266" s="1">
        <v>-104.150668</v>
      </c>
      <c r="F266" s="1">
        <v>15.4102</v>
      </c>
      <c r="G266" s="1">
        <v>-42.82135</v>
      </c>
      <c r="H266" s="1">
        <v>67.9265</v>
      </c>
    </row>
    <row r="267" spans="2:8" ht="12.75">
      <c r="B267" s="1">
        <v>24</v>
      </c>
      <c r="C267" s="1">
        <v>33.82</v>
      </c>
      <c r="D267" s="1">
        <v>-263.975222</v>
      </c>
      <c r="E267" s="1">
        <v>-104.150668</v>
      </c>
      <c r="F267" s="1">
        <v>105.93544</v>
      </c>
      <c r="G267" s="1">
        <v>-73.39516</v>
      </c>
      <c r="H267" s="1">
        <v>-15.30268</v>
      </c>
    </row>
    <row r="268" spans="2:8" ht="12.75">
      <c r="B268" s="1">
        <v>25</v>
      </c>
      <c r="C268" s="1">
        <v>141.695656</v>
      </c>
      <c r="D268" s="1">
        <v>-233.042376</v>
      </c>
      <c r="E268" s="1">
        <v>-112.982809</v>
      </c>
      <c r="F268" s="1">
        <v>105.93544</v>
      </c>
      <c r="G268" s="1">
        <v>-73.39516</v>
      </c>
      <c r="H268" s="1">
        <v>-15.30268</v>
      </c>
    </row>
    <row r="269" spans="2:8" ht="12.75">
      <c r="B269" s="1">
        <v>26</v>
      </c>
      <c r="C269" s="1">
        <v>141.695656</v>
      </c>
      <c r="D269" s="1">
        <v>-233.042376</v>
      </c>
      <c r="E269" s="1">
        <v>-112.982809</v>
      </c>
      <c r="F269" s="1">
        <v>138.95995</v>
      </c>
      <c r="G269" s="1">
        <v>-48.8373</v>
      </c>
      <c r="H269" s="1">
        <v>-47.8363</v>
      </c>
    </row>
    <row r="270" spans="2:8" ht="12.75">
      <c r="B270" s="1">
        <v>27</v>
      </c>
      <c r="C270" s="1">
        <v>141.695656</v>
      </c>
      <c r="D270" s="1">
        <v>-233.042376</v>
      </c>
      <c r="E270" s="1">
        <v>-112.982809</v>
      </c>
      <c r="F270" s="1">
        <v>105.93544</v>
      </c>
      <c r="G270" s="1">
        <v>-73.39516</v>
      </c>
      <c r="H270" s="1">
        <v>-15.30268</v>
      </c>
    </row>
    <row r="271" spans="2:8" ht="12.75">
      <c r="B271" s="1">
        <v>28</v>
      </c>
      <c r="C271" s="1">
        <v>170.856678</v>
      </c>
      <c r="D271" s="1">
        <v>-224.680587</v>
      </c>
      <c r="E271" s="1">
        <v>-115.370319</v>
      </c>
      <c r="F271" s="1">
        <v>17.88644</v>
      </c>
      <c r="G271" s="1">
        <v>-46.96602</v>
      </c>
      <c r="H271" s="1">
        <v>66.1775</v>
      </c>
    </row>
    <row r="272" spans="2:8" ht="12.75">
      <c r="B272" s="1">
        <v>29</v>
      </c>
      <c r="C272" s="1">
        <v>170.856678</v>
      </c>
      <c r="D272" s="1">
        <v>-224.680587</v>
      </c>
      <c r="E272" s="1">
        <v>-115.370319</v>
      </c>
      <c r="F272" s="1">
        <v>17.88644</v>
      </c>
      <c r="G272" s="1">
        <v>-46.96602</v>
      </c>
      <c r="H272" s="1">
        <v>66.1775</v>
      </c>
    </row>
    <row r="273" spans="2:8" ht="12.75">
      <c r="B273" s="1">
        <v>30</v>
      </c>
      <c r="C273" s="1">
        <v>170.856678</v>
      </c>
      <c r="D273" s="1">
        <v>-224.680587</v>
      </c>
      <c r="E273" s="1">
        <v>-115.370319</v>
      </c>
      <c r="F273" s="1">
        <v>-153.67393</v>
      </c>
      <c r="G273" s="1">
        <v>43.46114</v>
      </c>
      <c r="H273" s="1">
        <v>29.79408</v>
      </c>
    </row>
    <row r="274" spans="2:8" ht="12.75">
      <c r="B274" s="1">
        <v>31</v>
      </c>
      <c r="C274" s="1">
        <v>170.856678</v>
      </c>
      <c r="D274" s="1">
        <v>-224.680587</v>
      </c>
      <c r="E274" s="1">
        <v>-115.370319</v>
      </c>
      <c r="F274" s="1">
        <v>17.88644</v>
      </c>
      <c r="G274" s="1">
        <v>-46.96602</v>
      </c>
      <c r="H274" s="1">
        <v>66.1775</v>
      </c>
    </row>
    <row r="275" spans="2:8" ht="12.75">
      <c r="B275" s="1">
        <v>32</v>
      </c>
      <c r="C275" s="1">
        <v>170.856678</v>
      </c>
      <c r="D275" s="1">
        <v>-224.680587</v>
      </c>
      <c r="E275" s="1">
        <v>-115.370319</v>
      </c>
      <c r="F275" s="1">
        <v>0</v>
      </c>
      <c r="G275" s="1">
        <v>0</v>
      </c>
      <c r="H275" s="1">
        <v>74</v>
      </c>
    </row>
    <row r="276" spans="2:8" ht="12.75">
      <c r="B276" s="1">
        <v>33</v>
      </c>
      <c r="C276" s="1">
        <v>170.856678</v>
      </c>
      <c r="D276" s="1">
        <v>-224.680587</v>
      </c>
      <c r="E276" s="1">
        <v>-115.370319</v>
      </c>
      <c r="F276" s="4">
        <v>0</v>
      </c>
      <c r="G276" s="1">
        <v>0</v>
      </c>
      <c r="H276" s="4">
        <v>0</v>
      </c>
    </row>
    <row r="277" spans="2:8" ht="12.75">
      <c r="B277" s="1">
        <v>34</v>
      </c>
      <c r="C277" s="1">
        <v>170.856678</v>
      </c>
      <c r="D277" s="1">
        <v>-224.680587</v>
      </c>
      <c r="E277" s="1">
        <v>-115.370319</v>
      </c>
      <c r="F277" s="1">
        <v>10</v>
      </c>
      <c r="G277" s="1">
        <v>0</v>
      </c>
      <c r="H277" s="1">
        <v>0</v>
      </c>
    </row>
    <row r="278" spans="2:8" ht="12.75">
      <c r="B278" s="1">
        <v>35</v>
      </c>
      <c r="C278" s="1">
        <v>170.856678</v>
      </c>
      <c r="D278" s="1">
        <v>-234.578533</v>
      </c>
      <c r="E278" s="1">
        <v>-171.504361</v>
      </c>
      <c r="F278" s="1">
        <v>-10</v>
      </c>
      <c r="G278" s="1">
        <v>0</v>
      </c>
      <c r="H278" s="1">
        <v>0</v>
      </c>
    </row>
    <row r="279" spans="2:8" ht="12.75">
      <c r="B279" s="1">
        <v>36</v>
      </c>
      <c r="C279" s="1">
        <v>170.856678</v>
      </c>
      <c r="D279" s="1">
        <v>-234.578533</v>
      </c>
      <c r="E279" s="1">
        <v>-171.504361</v>
      </c>
      <c r="F279" s="1">
        <v>-10</v>
      </c>
      <c r="G279" s="1">
        <v>0</v>
      </c>
      <c r="H279" s="1">
        <v>-6.22</v>
      </c>
    </row>
    <row r="280" spans="2:8" ht="12.75">
      <c r="B280" s="1">
        <v>37</v>
      </c>
      <c r="C280" s="1">
        <v>170.856678</v>
      </c>
      <c r="D280" s="1">
        <v>-234.578533</v>
      </c>
      <c r="E280" s="1">
        <v>-171.504361</v>
      </c>
      <c r="F280" s="1">
        <v>-10</v>
      </c>
      <c r="G280" s="1">
        <v>0</v>
      </c>
      <c r="H280" s="1">
        <v>0</v>
      </c>
    </row>
    <row r="281" spans="2:8" ht="12.75">
      <c r="B281" s="1">
        <v>38</v>
      </c>
      <c r="C281" s="1">
        <v>170.856678</v>
      </c>
      <c r="D281" s="1">
        <v>-234.578533</v>
      </c>
      <c r="E281" s="1">
        <v>-171.504361</v>
      </c>
      <c r="F281" s="1">
        <v>-30</v>
      </c>
      <c r="G281" s="1">
        <v>0</v>
      </c>
      <c r="H281" s="1">
        <v>0</v>
      </c>
    </row>
    <row r="282" spans="2:8" ht="12.75">
      <c r="B282" s="1">
        <v>39</v>
      </c>
      <c r="C282" s="1">
        <v>170.856678</v>
      </c>
      <c r="D282" s="1">
        <v>-321.398533</v>
      </c>
      <c r="E282" s="1">
        <v>-21.12771</v>
      </c>
      <c r="F282" s="4">
        <v>0</v>
      </c>
      <c r="G282" s="1">
        <v>0</v>
      </c>
      <c r="H282" s="4">
        <v>0</v>
      </c>
    </row>
    <row r="283" spans="2:8" ht="12.75">
      <c r="B283" s="1">
        <v>40</v>
      </c>
      <c r="C283" s="1">
        <v>170.856678</v>
      </c>
      <c r="D283" s="1">
        <v>-321.398533</v>
      </c>
      <c r="E283" s="1">
        <v>-21.12771</v>
      </c>
      <c r="F283" s="1">
        <v>30</v>
      </c>
      <c r="G283" s="1">
        <v>0</v>
      </c>
      <c r="H283" s="1">
        <v>0</v>
      </c>
    </row>
    <row r="284" spans="2:8" ht="12.75">
      <c r="B284" s="1">
        <v>41</v>
      </c>
      <c r="C284" s="1">
        <v>170.856678</v>
      </c>
      <c r="D284" s="1">
        <v>-341.398533</v>
      </c>
      <c r="E284" s="1">
        <v>-55.768726</v>
      </c>
      <c r="F284" s="1">
        <v>30</v>
      </c>
      <c r="G284" s="1">
        <v>0</v>
      </c>
      <c r="H284" s="1">
        <v>0</v>
      </c>
    </row>
    <row r="285" spans="2:8" ht="12.75">
      <c r="B285" s="1">
        <v>42</v>
      </c>
      <c r="C285" s="1">
        <v>170.856678</v>
      </c>
      <c r="D285" s="1">
        <v>-341.398533</v>
      </c>
      <c r="E285" s="1">
        <v>-55.768726</v>
      </c>
      <c r="F285" s="1">
        <v>30</v>
      </c>
      <c r="G285" s="1">
        <v>0</v>
      </c>
      <c r="H285" s="1">
        <v>0</v>
      </c>
    </row>
    <row r="286" spans="2:8" ht="12.75">
      <c r="B286" s="1">
        <v>43</v>
      </c>
      <c r="C286" s="1">
        <v>170.856678</v>
      </c>
      <c r="D286" s="1">
        <v>-407.998533</v>
      </c>
      <c r="E286" s="1">
        <v>-171.12331</v>
      </c>
      <c r="F286" s="1">
        <v>15</v>
      </c>
      <c r="G286" s="1">
        <v>0</v>
      </c>
      <c r="H286" s="1">
        <v>0</v>
      </c>
    </row>
    <row r="287" spans="2:8" ht="12.75">
      <c r="B287" s="1">
        <v>44</v>
      </c>
      <c r="C287" s="1">
        <v>170.856678</v>
      </c>
      <c r="D287" s="1">
        <v>-407.998533</v>
      </c>
      <c r="E287" s="1">
        <v>-171.12331</v>
      </c>
      <c r="F287" s="4">
        <v>0</v>
      </c>
      <c r="G287" s="1">
        <v>0</v>
      </c>
      <c r="H287" s="4">
        <v>0</v>
      </c>
    </row>
    <row r="288" spans="2:8" ht="12.75">
      <c r="B288" s="1">
        <v>45</v>
      </c>
      <c r="C288" s="1">
        <v>170.856678</v>
      </c>
      <c r="D288" s="1">
        <v>-407.998533</v>
      </c>
      <c r="E288" s="1">
        <v>-21.12331</v>
      </c>
      <c r="F288" s="4">
        <v>0</v>
      </c>
      <c r="G288" s="1">
        <v>0</v>
      </c>
      <c r="H288" s="4">
        <v>0</v>
      </c>
    </row>
    <row r="289" spans="2:8" ht="12.75">
      <c r="B289" s="1">
        <v>46</v>
      </c>
      <c r="C289" s="1">
        <v>170.856678</v>
      </c>
      <c r="D289" s="1">
        <v>-407.998533</v>
      </c>
      <c r="E289" s="1">
        <v>-46.12331</v>
      </c>
      <c r="F289" s="1">
        <v>45</v>
      </c>
      <c r="G289" s="1">
        <v>0</v>
      </c>
      <c r="H289" s="1">
        <v>0</v>
      </c>
    </row>
    <row r="290" spans="2:8" ht="12.75">
      <c r="B290" s="1">
        <v>47</v>
      </c>
      <c r="C290" s="1">
        <v>170.856678</v>
      </c>
      <c r="D290" s="1">
        <v>-407.998533</v>
      </c>
      <c r="E290" s="1">
        <v>-46.12331</v>
      </c>
      <c r="F290" s="1">
        <v>90</v>
      </c>
      <c r="G290" s="1">
        <v>0</v>
      </c>
      <c r="H290" s="1">
        <v>0</v>
      </c>
    </row>
    <row r="291" spans="2:8" ht="12.75">
      <c r="B291" s="1">
        <v>48</v>
      </c>
      <c r="C291" s="1">
        <v>170.856678</v>
      </c>
      <c r="D291" s="1">
        <v>-432.998533</v>
      </c>
      <c r="E291" s="1">
        <v>-46.12331</v>
      </c>
      <c r="F291" s="1">
        <v>90</v>
      </c>
      <c r="G291" s="1">
        <v>0</v>
      </c>
      <c r="H291" s="1">
        <v>0</v>
      </c>
    </row>
    <row r="292" spans="2:8" ht="12.75">
      <c r="B292" s="1">
        <v>49</v>
      </c>
      <c r="C292" s="1">
        <v>170.856678</v>
      </c>
      <c r="D292" s="1">
        <v>-432.998533</v>
      </c>
      <c r="E292" s="1">
        <v>-46.12331</v>
      </c>
      <c r="F292" s="1">
        <v>90</v>
      </c>
      <c r="G292" s="1">
        <v>0</v>
      </c>
      <c r="H292" s="1">
        <v>0</v>
      </c>
    </row>
    <row r="293" spans="2:8" ht="12.75">
      <c r="B293" s="1">
        <v>50</v>
      </c>
      <c r="C293" s="1">
        <v>170.856678</v>
      </c>
      <c r="D293" s="1">
        <v>-457.998533</v>
      </c>
      <c r="E293" s="1">
        <v>-46.12331</v>
      </c>
      <c r="F293" s="1">
        <v>135</v>
      </c>
      <c r="G293" s="1">
        <v>0</v>
      </c>
      <c r="H293" s="1">
        <v>0</v>
      </c>
    </row>
    <row r="294" spans="2:8" ht="12.75">
      <c r="B294" s="1">
        <v>51</v>
      </c>
      <c r="C294" s="1">
        <v>170.856678</v>
      </c>
      <c r="D294" s="1">
        <v>-457.998533</v>
      </c>
      <c r="E294" s="1">
        <v>-46.12331</v>
      </c>
      <c r="F294" s="1">
        <v>135</v>
      </c>
      <c r="G294" s="1">
        <v>45</v>
      </c>
      <c r="H294" s="1">
        <v>0</v>
      </c>
    </row>
    <row r="295" spans="2:8" ht="12.75">
      <c r="B295" s="1">
        <v>52</v>
      </c>
      <c r="C295" s="1">
        <v>170.856678</v>
      </c>
      <c r="D295" s="1">
        <v>-457.998533</v>
      </c>
      <c r="E295" s="1">
        <v>-46.12331</v>
      </c>
      <c r="F295" s="1">
        <v>135</v>
      </c>
      <c r="G295" s="1">
        <v>0</v>
      </c>
      <c r="H295" s="1">
        <v>0</v>
      </c>
    </row>
    <row r="296" spans="2:8" ht="12.75">
      <c r="B296" s="1">
        <v>53</v>
      </c>
      <c r="C296" s="1">
        <v>170.856678</v>
      </c>
      <c r="D296" s="1">
        <v>-457.998533</v>
      </c>
      <c r="E296" s="1">
        <v>-46.12331</v>
      </c>
      <c r="F296" s="1">
        <v>135</v>
      </c>
      <c r="G296" s="1">
        <v>-45</v>
      </c>
      <c r="H296" s="1">
        <v>0</v>
      </c>
    </row>
    <row r="297" spans="2:8" ht="12.75">
      <c r="B297" s="1">
        <v>54</v>
      </c>
      <c r="C297" s="1">
        <v>170.856678</v>
      </c>
      <c r="D297" s="1">
        <v>-457.998533</v>
      </c>
      <c r="E297" s="1">
        <v>-46.12331</v>
      </c>
      <c r="F297" s="1">
        <v>180</v>
      </c>
      <c r="G297" s="1">
        <v>0</v>
      </c>
      <c r="H297" s="4">
        <v>-7.39E-07</v>
      </c>
    </row>
    <row r="298" spans="2:8" ht="12.75">
      <c r="B298" s="1">
        <v>55</v>
      </c>
      <c r="C298" s="1">
        <v>170.856678</v>
      </c>
      <c r="D298" s="1">
        <v>-457.998533</v>
      </c>
      <c r="E298" s="1">
        <v>-21.12331</v>
      </c>
      <c r="F298" s="1">
        <v>180</v>
      </c>
      <c r="G298" s="1">
        <v>0</v>
      </c>
      <c r="H298" s="4">
        <v>-7.39E-07</v>
      </c>
    </row>
    <row r="299" spans="2:8" ht="12.75">
      <c r="B299" s="1">
        <v>56</v>
      </c>
      <c r="C299" s="1">
        <v>170.856678</v>
      </c>
      <c r="D299" s="1">
        <v>-457.998533</v>
      </c>
      <c r="E299" s="1">
        <v>-171.12331</v>
      </c>
      <c r="F299" s="1">
        <v>165</v>
      </c>
      <c r="G299" s="1">
        <v>0</v>
      </c>
      <c r="H299" s="1">
        <v>0</v>
      </c>
    </row>
    <row r="300" spans="2:8" ht="12.75">
      <c r="B300" s="1">
        <v>57</v>
      </c>
      <c r="C300" s="1">
        <v>170.856678</v>
      </c>
      <c r="D300" s="1">
        <v>-457.998533</v>
      </c>
      <c r="E300" s="1">
        <v>-171.12331</v>
      </c>
      <c r="F300" s="1">
        <v>150</v>
      </c>
      <c r="G300" s="1">
        <v>0</v>
      </c>
      <c r="H300" s="1">
        <v>0</v>
      </c>
    </row>
    <row r="301" spans="2:8" ht="12.75">
      <c r="B301" s="1">
        <v>58</v>
      </c>
      <c r="C301" s="1">
        <v>170.856678</v>
      </c>
      <c r="D301" s="1">
        <v>-524.598533</v>
      </c>
      <c r="E301" s="1">
        <v>-55.768726</v>
      </c>
      <c r="F301" s="1">
        <v>150</v>
      </c>
      <c r="G301" s="1">
        <v>0</v>
      </c>
      <c r="H301" s="1">
        <v>0</v>
      </c>
    </row>
    <row r="302" spans="2:8" ht="12.75">
      <c r="B302" s="1">
        <v>59</v>
      </c>
      <c r="C302" s="1">
        <v>170.856678</v>
      </c>
      <c r="D302" s="1">
        <v>-524.598533</v>
      </c>
      <c r="E302" s="1">
        <v>-55.768726</v>
      </c>
      <c r="F302" s="1">
        <v>150</v>
      </c>
      <c r="G302" s="1">
        <v>0</v>
      </c>
      <c r="H302" s="1">
        <v>0</v>
      </c>
    </row>
    <row r="303" spans="2:8" ht="12.75">
      <c r="B303" s="1">
        <v>60</v>
      </c>
      <c r="C303" s="1">
        <v>170.856678</v>
      </c>
      <c r="D303" s="1">
        <v>-544.598533</v>
      </c>
      <c r="E303" s="1">
        <v>-21.12771</v>
      </c>
      <c r="F303" s="1">
        <v>180</v>
      </c>
      <c r="G303" s="1">
        <v>0</v>
      </c>
      <c r="H303" s="4">
        <v>-8.54E-07</v>
      </c>
    </row>
    <row r="304" spans="2:8" ht="12.75">
      <c r="B304" s="1">
        <v>61</v>
      </c>
      <c r="C304" s="1">
        <v>170.856678</v>
      </c>
      <c r="D304" s="1">
        <v>-544.598533</v>
      </c>
      <c r="E304" s="1">
        <v>-21.12771</v>
      </c>
      <c r="F304" s="1">
        <v>-150</v>
      </c>
      <c r="G304" s="1">
        <v>0</v>
      </c>
      <c r="H304" s="1">
        <v>0</v>
      </c>
    </row>
    <row r="305" spans="2:8" ht="12.75">
      <c r="B305" s="1">
        <v>62</v>
      </c>
      <c r="C305" s="1">
        <v>170.856678</v>
      </c>
      <c r="D305" s="1">
        <v>-620.588533</v>
      </c>
      <c r="E305" s="1">
        <v>-152.74625</v>
      </c>
      <c r="F305" s="1">
        <v>-170</v>
      </c>
      <c r="G305" s="1">
        <v>0</v>
      </c>
      <c r="H305" s="1">
        <v>0</v>
      </c>
    </row>
    <row r="306" spans="2:8" ht="12.75">
      <c r="B306" s="1">
        <v>63</v>
      </c>
      <c r="C306" s="1">
        <v>170.856678</v>
      </c>
      <c r="D306" s="1">
        <v>-620.588533</v>
      </c>
      <c r="E306" s="1">
        <v>-152.74625</v>
      </c>
      <c r="F306" s="1">
        <v>-170</v>
      </c>
      <c r="G306" s="1">
        <v>0</v>
      </c>
      <c r="H306" s="1">
        <v>-1.79</v>
      </c>
    </row>
    <row r="307" spans="2:8" ht="12.75">
      <c r="B307" s="1">
        <v>64</v>
      </c>
      <c r="C307" s="1">
        <v>170.856678</v>
      </c>
      <c r="D307" s="1">
        <v>-620.588533</v>
      </c>
      <c r="E307" s="1">
        <v>-152.74625</v>
      </c>
      <c r="F307" s="1">
        <v>-170</v>
      </c>
      <c r="G307" s="1">
        <v>0</v>
      </c>
      <c r="H307" s="1">
        <v>0</v>
      </c>
    </row>
    <row r="308" spans="2:8" ht="12.75">
      <c r="B308" s="1">
        <v>65</v>
      </c>
      <c r="C308" s="1">
        <v>170.856678</v>
      </c>
      <c r="D308" s="1">
        <v>-620.588533</v>
      </c>
      <c r="E308" s="1">
        <v>-152.74625</v>
      </c>
      <c r="F308" s="1">
        <v>170</v>
      </c>
      <c r="G308" s="1">
        <v>0</v>
      </c>
      <c r="H308" s="1">
        <v>0</v>
      </c>
    </row>
    <row r="309" spans="2:8" ht="12.75">
      <c r="B309" s="1">
        <v>66</v>
      </c>
      <c r="C309" s="1">
        <v>170.856678</v>
      </c>
      <c r="D309" s="1">
        <v>-631.007424</v>
      </c>
      <c r="E309" s="1">
        <v>-93.657785</v>
      </c>
      <c r="F309" s="1">
        <v>170</v>
      </c>
      <c r="G309" s="1">
        <v>0</v>
      </c>
      <c r="H309" s="1">
        <v>0</v>
      </c>
    </row>
    <row r="310" spans="2:8" ht="12.75">
      <c r="B310" s="1">
        <v>67</v>
      </c>
      <c r="C310" s="1">
        <v>170.856678</v>
      </c>
      <c r="D310" s="1">
        <v>-636.663145</v>
      </c>
      <c r="E310" s="1">
        <v>-61.582597</v>
      </c>
      <c r="F310" s="1">
        <v>170</v>
      </c>
      <c r="G310" s="1">
        <v>-45</v>
      </c>
      <c r="H310" s="1">
        <v>0</v>
      </c>
    </row>
    <row r="311" spans="2:8" ht="12.75">
      <c r="B311" s="1">
        <v>68</v>
      </c>
      <c r="C311" s="1">
        <v>170.856678</v>
      </c>
      <c r="D311" s="1">
        <v>-636.663145</v>
      </c>
      <c r="E311" s="1">
        <v>-61.582597</v>
      </c>
      <c r="F311" s="1">
        <v>-139.79703</v>
      </c>
      <c r="G311" s="1">
        <v>-90</v>
      </c>
      <c r="H311" s="1">
        <v>-49.79703</v>
      </c>
    </row>
    <row r="312" spans="2:8" ht="12.75">
      <c r="B312" s="1">
        <v>69</v>
      </c>
      <c r="C312" s="1">
        <v>250.856678</v>
      </c>
      <c r="D312" s="1">
        <v>-636.663145</v>
      </c>
      <c r="E312" s="1">
        <v>-61.582597</v>
      </c>
      <c r="F312" s="1">
        <v>-139.79703</v>
      </c>
      <c r="G312" s="1">
        <v>-90</v>
      </c>
      <c r="H312" s="1">
        <v>-49.79703</v>
      </c>
    </row>
    <row r="313" spans="2:8" ht="12.75">
      <c r="B313" s="1">
        <v>70</v>
      </c>
      <c r="C313" s="1">
        <v>250.856678</v>
      </c>
      <c r="D313" s="1">
        <v>-636.663145</v>
      </c>
      <c r="E313" s="1">
        <v>-61.582597</v>
      </c>
      <c r="F313" s="1">
        <v>-139.79703</v>
      </c>
      <c r="G313" s="1">
        <v>-90</v>
      </c>
      <c r="H313" s="1">
        <v>-49.79703</v>
      </c>
    </row>
    <row r="315" spans="2:13" ht="12.75">
      <c r="B315" s="1" t="s">
        <v>309</v>
      </c>
      <c r="C315" s="1" t="s">
        <v>310</v>
      </c>
      <c r="D315" s="1" t="s">
        <v>311</v>
      </c>
      <c r="E315" s="1" t="s">
        <v>312</v>
      </c>
      <c r="F315" s="1" t="s">
        <v>313</v>
      </c>
      <c r="G315" s="1" t="s">
        <v>314</v>
      </c>
      <c r="H315" s="1" t="s">
        <v>315</v>
      </c>
      <c r="I315" s="1" t="s">
        <v>316</v>
      </c>
      <c r="J315" s="1" t="s">
        <v>317</v>
      </c>
      <c r="K315" s="1" t="s">
        <v>318</v>
      </c>
      <c r="L315" s="1" t="s">
        <v>319</v>
      </c>
      <c r="M315" s="1" t="s">
        <v>320</v>
      </c>
    </row>
    <row r="316" ht="12.75">
      <c r="B316" s="1" t="s">
        <v>39</v>
      </c>
    </row>
    <row r="317" ht="12.75">
      <c r="B317" s="1" t="s">
        <v>39</v>
      </c>
    </row>
    <row r="318" spans="2:4" ht="12.75">
      <c r="B318" s="1" t="s">
        <v>39</v>
      </c>
      <c r="C318" s="1" t="s">
        <v>85</v>
      </c>
      <c r="D318" s="1" t="s">
        <v>86</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B1:M313"/>
  <sheetViews>
    <sheetView workbookViewId="0" topLeftCell="A257">
      <selection activeCell="A238" sqref="A238:IV23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422</v>
      </c>
      <c r="J4" s="1" t="s">
        <v>473</v>
      </c>
    </row>
    <row r="6" spans="2:3" ht="12.75">
      <c r="B6" s="1" t="s">
        <v>39</v>
      </c>
      <c r="C6" s="1" t="s">
        <v>48</v>
      </c>
    </row>
    <row r="7" spans="2:3" ht="12.75">
      <c r="B7" s="2">
        <v>36965</v>
      </c>
      <c r="C7" s="3">
        <v>0.500636574074074</v>
      </c>
    </row>
    <row r="8" ht="12.75">
      <c r="B8" s="1" t="s">
        <v>39</v>
      </c>
    </row>
    <row r="9" spans="2:10" ht="12.75">
      <c r="B9" s="1" t="s">
        <v>39</v>
      </c>
      <c r="C9" s="1" t="s">
        <v>148</v>
      </c>
      <c r="D9" s="1">
        <v>2</v>
      </c>
      <c r="E9" s="1">
        <v>0</v>
      </c>
      <c r="F9" s="1">
        <v>0</v>
      </c>
      <c r="G9" s="1">
        <v>0</v>
      </c>
      <c r="H9" s="1" t="s">
        <v>50</v>
      </c>
      <c r="I9" s="1">
        <v>0</v>
      </c>
      <c r="J9" s="1" t="s">
        <v>51</v>
      </c>
    </row>
    <row r="10" spans="2:9" ht="12.75">
      <c r="B10" s="1" t="s">
        <v>148</v>
      </c>
      <c r="C10" s="1">
        <v>2</v>
      </c>
      <c r="D10" s="1">
        <v>0</v>
      </c>
      <c r="E10" s="1">
        <v>0</v>
      </c>
      <c r="F10" s="1">
        <v>0</v>
      </c>
      <c r="G10" s="1" t="s">
        <v>50</v>
      </c>
      <c r="H10" s="1">
        <v>0</v>
      </c>
      <c r="I10" s="1" t="s">
        <v>51</v>
      </c>
    </row>
    <row r="11" spans="2:5" ht="12.75">
      <c r="B11" s="1" t="s">
        <v>39</v>
      </c>
      <c r="C11" s="1" t="s">
        <v>149</v>
      </c>
      <c r="D11" s="1" t="s">
        <v>150</v>
      </c>
      <c r="E11" s="1" t="s">
        <v>51</v>
      </c>
    </row>
    <row r="13" spans="2:8" ht="12.75">
      <c r="B13" s="1" t="s">
        <v>44</v>
      </c>
      <c r="C13" s="1" t="s">
        <v>46</v>
      </c>
      <c r="D13" s="1" t="s">
        <v>422</v>
      </c>
      <c r="E13" s="1" t="s">
        <v>473</v>
      </c>
      <c r="F13" s="1">
        <v>242</v>
      </c>
      <c r="G13" s="2">
        <v>36965</v>
      </c>
      <c r="H13" s="3">
        <v>0.500636574074074</v>
      </c>
    </row>
    <row r="14" spans="2:3" ht="12.75">
      <c r="B14" s="1" t="s">
        <v>151</v>
      </c>
      <c r="C14" s="1" t="s">
        <v>152</v>
      </c>
    </row>
    <row r="16" spans="2:3" ht="12.75">
      <c r="B16" s="1" t="s">
        <v>59</v>
      </c>
      <c r="C16" s="1" t="s">
        <v>153</v>
      </c>
    </row>
    <row r="17" ht="12.75">
      <c r="B17" s="1" t="s">
        <v>154</v>
      </c>
    </row>
    <row r="18" spans="2:9" ht="12.75">
      <c r="B18" s="1" t="s">
        <v>64</v>
      </c>
      <c r="C18" s="1" t="s">
        <v>155</v>
      </c>
      <c r="D18" s="1" t="s">
        <v>156</v>
      </c>
      <c r="E18" s="1" t="s">
        <v>157</v>
      </c>
      <c r="F18" s="1" t="s">
        <v>158</v>
      </c>
      <c r="G18" s="1" t="s">
        <v>159</v>
      </c>
      <c r="H18" s="1" t="s">
        <v>160</v>
      </c>
      <c r="I18" s="1">
        <v>46037.9196</v>
      </c>
    </row>
    <row r="19" spans="2:9" ht="12.75">
      <c r="B19" s="1" t="s">
        <v>64</v>
      </c>
      <c r="C19" s="1" t="s">
        <v>65</v>
      </c>
      <c r="D19" s="1" t="s">
        <v>161</v>
      </c>
      <c r="E19" s="1" t="s">
        <v>157</v>
      </c>
      <c r="F19" s="1" t="s">
        <v>162</v>
      </c>
      <c r="G19" s="1" t="s">
        <v>158</v>
      </c>
      <c r="H19" s="1" t="s">
        <v>159</v>
      </c>
      <c r="I19" s="1">
        <v>-133.6632</v>
      </c>
    </row>
    <row r="20" spans="2:10" ht="12.75">
      <c r="B20" s="1" t="s">
        <v>163</v>
      </c>
      <c r="C20" s="1" t="s">
        <v>55</v>
      </c>
      <c r="D20" s="1" t="s">
        <v>65</v>
      </c>
      <c r="E20" s="1" t="s">
        <v>164</v>
      </c>
      <c r="F20" s="1">
        <v>1641.705</v>
      </c>
      <c r="G20" s="1" t="s">
        <v>165</v>
      </c>
      <c r="H20" s="1" t="s">
        <v>155</v>
      </c>
      <c r="I20" s="1" t="s">
        <v>166</v>
      </c>
      <c r="J20" s="1">
        <v>0</v>
      </c>
    </row>
    <row r="21" spans="2:10" ht="12.75">
      <c r="B21" s="1" t="s">
        <v>163</v>
      </c>
      <c r="C21" s="1" t="s">
        <v>55</v>
      </c>
      <c r="D21" s="1" t="s">
        <v>167</v>
      </c>
      <c r="E21" s="1" t="s">
        <v>168</v>
      </c>
      <c r="F21" s="1">
        <v>0</v>
      </c>
      <c r="G21" s="1" t="s">
        <v>169</v>
      </c>
      <c r="H21" s="1" t="s">
        <v>159</v>
      </c>
      <c r="I21" s="1" t="s">
        <v>170</v>
      </c>
      <c r="J21" s="1">
        <v>1167.992</v>
      </c>
    </row>
    <row r="22" spans="2:9" ht="12.75">
      <c r="B22" s="1" t="s">
        <v>171</v>
      </c>
      <c r="C22" s="1" t="s">
        <v>55</v>
      </c>
      <c r="D22" s="1" t="s">
        <v>65</v>
      </c>
      <c r="E22" s="1" t="s">
        <v>172</v>
      </c>
      <c r="F22" s="1">
        <v>-4.989</v>
      </c>
      <c r="G22" s="1" t="s">
        <v>173</v>
      </c>
      <c r="H22" s="1" t="s">
        <v>174</v>
      </c>
      <c r="I22" s="1">
        <v>-14.0214</v>
      </c>
    </row>
    <row r="23" spans="2:10" ht="12.75">
      <c r="B23" s="1" t="s">
        <v>171</v>
      </c>
      <c r="C23" s="1" t="s">
        <v>55</v>
      </c>
      <c r="D23" s="1" t="s">
        <v>167</v>
      </c>
      <c r="E23" s="1" t="s">
        <v>175</v>
      </c>
      <c r="F23" s="1">
        <v>0.0167</v>
      </c>
      <c r="G23" s="1" t="s">
        <v>176</v>
      </c>
      <c r="H23" s="1" t="s">
        <v>165</v>
      </c>
      <c r="I23" s="1" t="s">
        <v>177</v>
      </c>
      <c r="J23" s="1">
        <v>4.689</v>
      </c>
    </row>
    <row r="24" spans="2:9" ht="12.75">
      <c r="B24" s="1" t="s">
        <v>178</v>
      </c>
      <c r="C24" s="1" t="s">
        <v>69</v>
      </c>
      <c r="D24" s="1" t="s">
        <v>179</v>
      </c>
      <c r="E24" s="1">
        <v>1641.705</v>
      </c>
      <c r="F24" s="1" t="s">
        <v>180</v>
      </c>
      <c r="G24" s="1" t="s">
        <v>69</v>
      </c>
      <c r="H24" s="1" t="s">
        <v>179</v>
      </c>
      <c r="I24" s="1">
        <v>7.3344</v>
      </c>
    </row>
    <row r="25" spans="2:9" ht="12.75">
      <c r="B25" s="1" t="s">
        <v>178</v>
      </c>
      <c r="C25" s="1" t="s">
        <v>69</v>
      </c>
      <c r="D25" s="1" t="s">
        <v>181</v>
      </c>
      <c r="E25" s="1">
        <v>17150.7042</v>
      </c>
      <c r="F25" s="1" t="s">
        <v>180</v>
      </c>
      <c r="G25" s="1" t="s">
        <v>69</v>
      </c>
      <c r="H25" s="1" t="s">
        <v>181</v>
      </c>
      <c r="I25" s="1">
        <v>72.0137</v>
      </c>
    </row>
    <row r="27" spans="2:5" ht="12.75">
      <c r="B27" s="1" t="s">
        <v>182</v>
      </c>
      <c r="C27" s="1" t="s">
        <v>65</v>
      </c>
      <c r="D27" s="1" t="s">
        <v>183</v>
      </c>
      <c r="E27" s="1" t="s">
        <v>157</v>
      </c>
    </row>
    <row r="28" spans="2:11" ht="12.75">
      <c r="B28" s="1" t="s">
        <v>184</v>
      </c>
      <c r="C28" s="1" t="s">
        <v>55</v>
      </c>
      <c r="D28" s="1" t="s">
        <v>65</v>
      </c>
      <c r="E28" s="1" t="s">
        <v>185</v>
      </c>
      <c r="F28" s="1">
        <v>1641.705</v>
      </c>
      <c r="G28" s="1" t="s">
        <v>186</v>
      </c>
      <c r="H28" s="1" t="s">
        <v>55</v>
      </c>
      <c r="I28" s="1" t="s">
        <v>187</v>
      </c>
      <c r="J28" s="1" t="s">
        <v>188</v>
      </c>
      <c r="K28" s="1">
        <v>-4.989</v>
      </c>
    </row>
    <row r="29" spans="2:10" ht="12.75">
      <c r="B29" s="1" t="s">
        <v>184</v>
      </c>
      <c r="C29" s="1" t="s">
        <v>55</v>
      </c>
      <c r="D29" s="1" t="s">
        <v>167</v>
      </c>
      <c r="E29" s="1" t="s">
        <v>189</v>
      </c>
      <c r="F29" s="1">
        <v>0</v>
      </c>
      <c r="G29" s="1" t="s">
        <v>186</v>
      </c>
      <c r="H29" s="1" t="s">
        <v>55</v>
      </c>
      <c r="I29" s="1" t="s">
        <v>190</v>
      </c>
      <c r="J29" s="1">
        <v>0.0167</v>
      </c>
    </row>
    <row r="31" spans="2:8" ht="12.75">
      <c r="B31" s="1" t="s">
        <v>191</v>
      </c>
      <c r="C31" s="1" t="s">
        <v>192</v>
      </c>
      <c r="D31" s="1">
        <v>200</v>
      </c>
      <c r="E31" s="1">
        <v>400</v>
      </c>
      <c r="F31" s="1">
        <v>600</v>
      </c>
      <c r="G31" s="1">
        <v>250</v>
      </c>
      <c r="H31" s="1">
        <v>0.6328</v>
      </c>
    </row>
    <row r="32" spans="2:7" ht="12.75">
      <c r="B32" s="1" t="s">
        <v>193</v>
      </c>
      <c r="C32" s="1">
        <v>1</v>
      </c>
      <c r="D32" s="1">
        <v>1</v>
      </c>
      <c r="E32" s="1">
        <v>1</v>
      </c>
      <c r="F32" s="1">
        <v>1</v>
      </c>
      <c r="G32" s="1">
        <v>1</v>
      </c>
    </row>
    <row r="33" spans="2:8" ht="12.75">
      <c r="B33" s="1" t="s">
        <v>73</v>
      </c>
      <c r="C33" s="1" t="s">
        <v>194</v>
      </c>
      <c r="D33" s="1">
        <v>2</v>
      </c>
      <c r="E33" s="1">
        <v>1</v>
      </c>
      <c r="F33" s="1">
        <v>3</v>
      </c>
      <c r="G33" s="1">
        <v>4</v>
      </c>
      <c r="H33" s="1">
        <v>5</v>
      </c>
    </row>
    <row r="34" spans="2:3" ht="12.75">
      <c r="B34" s="1" t="s">
        <v>195</v>
      </c>
      <c r="C34" s="1" t="s">
        <v>196</v>
      </c>
    </row>
    <row r="35" spans="2:8" ht="12.75">
      <c r="B35" s="1" t="s">
        <v>197</v>
      </c>
      <c r="C35" s="1" t="s">
        <v>198</v>
      </c>
      <c r="D35" s="1" t="s">
        <v>61</v>
      </c>
      <c r="E35" s="1" t="s">
        <v>199</v>
      </c>
      <c r="F35" s="1">
        <v>7</v>
      </c>
      <c r="G35" s="1" t="s">
        <v>179</v>
      </c>
      <c r="H35" s="1">
        <v>155.17235</v>
      </c>
    </row>
    <row r="36" spans="2:5" ht="12.75">
      <c r="B36" s="1" t="s">
        <v>200</v>
      </c>
      <c r="C36" s="1" t="s">
        <v>69</v>
      </c>
      <c r="D36" s="1" t="s">
        <v>201</v>
      </c>
      <c r="E36" s="1" t="s">
        <v>202</v>
      </c>
    </row>
    <row r="37" spans="2:4" ht="12.75">
      <c r="B37" s="1" t="s">
        <v>424</v>
      </c>
      <c r="C37" s="1" t="s">
        <v>53</v>
      </c>
      <c r="D37" s="1" t="s">
        <v>202</v>
      </c>
    </row>
    <row r="38" spans="2:4" ht="12.75">
      <c r="B38" s="1" t="s">
        <v>158</v>
      </c>
      <c r="C38" s="1" t="s">
        <v>203</v>
      </c>
      <c r="D38" s="1" t="s">
        <v>202</v>
      </c>
    </row>
    <row r="39" spans="2:3" ht="12.75">
      <c r="B39" s="1" t="s">
        <v>204</v>
      </c>
      <c r="C39" s="4">
        <v>-1.61E-08</v>
      </c>
    </row>
    <row r="40" spans="2:4" ht="12.75">
      <c r="B40" s="1" t="s">
        <v>52</v>
      </c>
      <c r="C40" s="1" t="s">
        <v>201</v>
      </c>
      <c r="D40" s="1" t="s">
        <v>202</v>
      </c>
    </row>
    <row r="41" spans="2:5" ht="12.75">
      <c r="B41" s="1" t="s">
        <v>205</v>
      </c>
      <c r="C41" s="1" t="s">
        <v>201</v>
      </c>
      <c r="D41" s="1" t="s">
        <v>206</v>
      </c>
      <c r="E41" s="1" t="s">
        <v>207</v>
      </c>
    </row>
    <row r="42" spans="2:6" ht="12.75">
      <c r="B42" s="1" t="s">
        <v>208</v>
      </c>
      <c r="C42" s="1" t="s">
        <v>209</v>
      </c>
      <c r="D42" s="1" t="s">
        <v>210</v>
      </c>
      <c r="E42" s="1" t="s">
        <v>211</v>
      </c>
      <c r="F42" s="1" t="s">
        <v>212</v>
      </c>
    </row>
    <row r="44" spans="2:3" ht="12.75">
      <c r="B44" s="1" t="s">
        <v>61</v>
      </c>
      <c r="C44" s="1" t="s">
        <v>56</v>
      </c>
    </row>
    <row r="45" ht="12.75">
      <c r="B45" s="1" t="s">
        <v>154</v>
      </c>
    </row>
    <row r="46" spans="2:7" ht="12.75">
      <c r="B46" s="1" t="s">
        <v>50</v>
      </c>
      <c r="C46" s="1" t="s">
        <v>213</v>
      </c>
      <c r="D46" s="1" t="s">
        <v>214</v>
      </c>
      <c r="E46" s="1" t="s">
        <v>215</v>
      </c>
      <c r="F46" s="1" t="s">
        <v>216</v>
      </c>
      <c r="G46" s="1" t="s">
        <v>217</v>
      </c>
    </row>
    <row r="47" ht="12.75">
      <c r="B47" s="1" t="s">
        <v>154</v>
      </c>
    </row>
    <row r="48" spans="2:5" ht="12.75">
      <c r="B48" s="1">
        <v>0</v>
      </c>
      <c r="C48" s="1" t="s">
        <v>157</v>
      </c>
      <c r="D48" s="1" t="s">
        <v>157</v>
      </c>
      <c r="E48" s="1" t="s">
        <v>218</v>
      </c>
    </row>
    <row r="49" spans="2:5" ht="12.75">
      <c r="B49" s="1">
        <v>1</v>
      </c>
      <c r="C49" s="1" t="s">
        <v>157</v>
      </c>
      <c r="D49" s="1">
        <v>17771.1</v>
      </c>
      <c r="E49" s="1" t="s">
        <v>218</v>
      </c>
    </row>
    <row r="50" spans="2:5" ht="12.75">
      <c r="B50" s="1" t="s">
        <v>219</v>
      </c>
      <c r="C50" s="1" t="s">
        <v>157</v>
      </c>
      <c r="D50" s="1">
        <v>0</v>
      </c>
      <c r="E50" s="1" t="s">
        <v>218</v>
      </c>
    </row>
    <row r="51" spans="2:5" ht="12.75">
      <c r="B51" s="1" t="s">
        <v>425</v>
      </c>
      <c r="C51" s="1" t="s">
        <v>157</v>
      </c>
      <c r="D51" s="1">
        <v>-17771.1</v>
      </c>
      <c r="E51" s="1" t="s">
        <v>218</v>
      </c>
    </row>
    <row r="52" spans="2:5" ht="12.75">
      <c r="B52" s="1">
        <v>4</v>
      </c>
      <c r="C52" s="1" t="s">
        <v>157</v>
      </c>
      <c r="D52" s="1">
        <v>-2000</v>
      </c>
      <c r="E52" s="1" t="s">
        <v>218</v>
      </c>
    </row>
    <row r="53" spans="2:5" ht="12.75">
      <c r="B53" s="1">
        <v>5</v>
      </c>
      <c r="C53" s="1" t="s">
        <v>157</v>
      </c>
      <c r="D53" s="1" t="s">
        <v>220</v>
      </c>
      <c r="E53" s="1" t="s">
        <v>218</v>
      </c>
    </row>
    <row r="54" spans="2:6" ht="12.75">
      <c r="B54" s="1">
        <v>6</v>
      </c>
      <c r="C54" s="1">
        <v>-3500</v>
      </c>
      <c r="D54" s="1" t="s">
        <v>221</v>
      </c>
      <c r="E54" s="1">
        <v>-1587.969</v>
      </c>
      <c r="F54" s="1" t="e">
        <v>#NAME?</v>
      </c>
    </row>
    <row r="55" spans="2:6" ht="12.75">
      <c r="B55" s="1" t="s">
        <v>222</v>
      </c>
      <c r="C55" s="1">
        <v>-345.264</v>
      </c>
      <c r="D55" s="1" t="s">
        <v>221</v>
      </c>
      <c r="E55" s="1" t="s">
        <v>223</v>
      </c>
      <c r="F55" s="1" t="s">
        <v>218</v>
      </c>
    </row>
    <row r="56" spans="2:5" ht="12.75">
      <c r="B56" s="1">
        <v>8</v>
      </c>
      <c r="C56" s="1" t="s">
        <v>157</v>
      </c>
      <c r="D56" s="1">
        <v>1050.162</v>
      </c>
      <c r="E56" s="1" t="s">
        <v>218</v>
      </c>
    </row>
    <row r="57" spans="2:5" ht="12.75">
      <c r="B57" s="1">
        <v>9</v>
      </c>
      <c r="C57" s="1">
        <v>-167.171</v>
      </c>
      <c r="D57" s="1">
        <v>0</v>
      </c>
      <c r="E57" s="1" t="s">
        <v>218</v>
      </c>
    </row>
    <row r="58" spans="2:5" ht="12.75">
      <c r="B58" s="1" t="s">
        <v>224</v>
      </c>
      <c r="C58" s="1" t="s">
        <v>157</v>
      </c>
      <c r="D58" s="1">
        <v>70.9</v>
      </c>
      <c r="E58" s="1" t="s">
        <v>218</v>
      </c>
    </row>
    <row r="59" spans="2:6" ht="12.75">
      <c r="B59" s="1" t="s">
        <v>225</v>
      </c>
      <c r="C59" s="1">
        <v>-365.963</v>
      </c>
      <c r="D59" s="1" t="s">
        <v>221</v>
      </c>
      <c r="E59" s="1">
        <v>0</v>
      </c>
      <c r="F59" s="1" t="e">
        <v>#NAME?</v>
      </c>
    </row>
    <row r="60" spans="2:5" ht="12.75">
      <c r="B60" s="1" t="s">
        <v>226</v>
      </c>
      <c r="C60" s="1" t="s">
        <v>157</v>
      </c>
      <c r="D60" s="1">
        <v>-213.5</v>
      </c>
      <c r="E60" s="1" t="e">
        <v>#NAME?</v>
      </c>
    </row>
    <row r="61" spans="2:5" ht="12.75">
      <c r="B61" s="1" t="s">
        <v>227</v>
      </c>
      <c r="C61" s="1" t="s">
        <v>157</v>
      </c>
      <c r="D61" s="1">
        <v>0</v>
      </c>
      <c r="E61" s="1" t="e">
        <v>#NAME?</v>
      </c>
    </row>
    <row r="62" spans="2:5" ht="12.75">
      <c r="B62" s="1">
        <v>14</v>
      </c>
      <c r="C62" s="1" t="s">
        <v>157</v>
      </c>
      <c r="D62" s="1" t="s">
        <v>228</v>
      </c>
      <c r="E62" s="1" t="s">
        <v>218</v>
      </c>
    </row>
    <row r="63" spans="2:5" ht="12.75">
      <c r="B63" s="1">
        <v>15</v>
      </c>
      <c r="C63" s="1" t="s">
        <v>157</v>
      </c>
      <c r="D63" s="1">
        <v>0</v>
      </c>
      <c r="E63" s="1" t="s">
        <v>218</v>
      </c>
    </row>
    <row r="64" spans="2:5" ht="12.75">
      <c r="B64" s="1" t="s">
        <v>229</v>
      </c>
      <c r="C64" s="1" t="s">
        <v>157</v>
      </c>
      <c r="D64" s="1">
        <v>197.4</v>
      </c>
      <c r="E64" s="1" t="s">
        <v>218</v>
      </c>
    </row>
    <row r="65" spans="2:6" ht="12.75">
      <c r="B65" s="1" t="s">
        <v>230</v>
      </c>
      <c r="C65" s="1">
        <v>-294.638</v>
      </c>
      <c r="D65" s="1" t="s">
        <v>221</v>
      </c>
      <c r="E65" s="1">
        <v>0</v>
      </c>
      <c r="F65" s="1" t="e">
        <v>#NAME?</v>
      </c>
    </row>
    <row r="66" spans="2:5" ht="12.75">
      <c r="B66" s="1" t="s">
        <v>231</v>
      </c>
      <c r="C66" s="1" t="s">
        <v>157</v>
      </c>
      <c r="D66" s="1">
        <v>-193.6</v>
      </c>
      <c r="E66" s="1" t="e">
        <v>#NAME?</v>
      </c>
    </row>
    <row r="67" spans="2:5" ht="12.75">
      <c r="B67" s="1" t="s">
        <v>232</v>
      </c>
      <c r="C67" s="1" t="s">
        <v>157</v>
      </c>
      <c r="D67" s="1">
        <v>-10</v>
      </c>
      <c r="E67" s="1" t="e">
        <v>#NAME?</v>
      </c>
    </row>
    <row r="68" spans="2:5" ht="12.75">
      <c r="B68" s="1" t="s">
        <v>233</v>
      </c>
      <c r="C68" s="1" t="s">
        <v>157</v>
      </c>
      <c r="D68" s="1">
        <v>0</v>
      </c>
      <c r="E68" s="1" t="e">
        <v>#NAME?</v>
      </c>
    </row>
    <row r="69" spans="2:5" ht="12.75">
      <c r="B69" s="1" t="s">
        <v>234</v>
      </c>
      <c r="C69" s="1" t="s">
        <v>157</v>
      </c>
      <c r="D69" s="1">
        <v>0</v>
      </c>
      <c r="E69" s="1" t="e">
        <v>#NAME?</v>
      </c>
    </row>
    <row r="70" spans="2:7" ht="12.75">
      <c r="B70" s="1">
        <v>22</v>
      </c>
      <c r="C70" s="1" t="s">
        <v>267</v>
      </c>
      <c r="D70" s="1">
        <v>523.79</v>
      </c>
      <c r="E70" s="1" t="s">
        <v>221</v>
      </c>
      <c r="F70" s="4">
        <v>-1.61E-13</v>
      </c>
      <c r="G70" s="1" t="s">
        <v>218</v>
      </c>
    </row>
    <row r="71" spans="2:5" ht="12.75">
      <c r="B71" s="1">
        <v>23</v>
      </c>
      <c r="C71" s="1" t="s">
        <v>157</v>
      </c>
      <c r="D71" s="1">
        <v>0</v>
      </c>
      <c r="E71" s="1" t="s">
        <v>218</v>
      </c>
    </row>
    <row r="72" spans="2:5" ht="12.75">
      <c r="B72" s="1" t="s">
        <v>235</v>
      </c>
      <c r="C72" s="1" t="s">
        <v>157</v>
      </c>
      <c r="D72" s="1">
        <v>112.57</v>
      </c>
      <c r="E72" s="1" t="s">
        <v>218</v>
      </c>
    </row>
    <row r="73" spans="2:5" ht="12.75">
      <c r="B73" s="1">
        <v>25</v>
      </c>
      <c r="C73" s="1" t="s">
        <v>157</v>
      </c>
      <c r="D73" s="1">
        <v>0</v>
      </c>
      <c r="E73" s="1" t="s">
        <v>218</v>
      </c>
    </row>
    <row r="74" spans="2:6" ht="12.75">
      <c r="B74" s="1">
        <v>26</v>
      </c>
      <c r="C74" s="1" t="s">
        <v>267</v>
      </c>
      <c r="D74" s="1" t="s">
        <v>157</v>
      </c>
      <c r="E74" s="4">
        <v>-5.73E-14</v>
      </c>
      <c r="F74" s="1" t="s">
        <v>218</v>
      </c>
    </row>
    <row r="75" spans="2:5" ht="12.75">
      <c r="B75" s="1">
        <v>27</v>
      </c>
      <c r="C75" s="1" t="s">
        <v>157</v>
      </c>
      <c r="D75" s="1">
        <v>30.43</v>
      </c>
      <c r="E75" s="1" t="s">
        <v>218</v>
      </c>
    </row>
    <row r="76" spans="2:5" ht="12.75">
      <c r="B76" s="1" t="s">
        <v>236</v>
      </c>
      <c r="C76" s="1" t="s">
        <v>157</v>
      </c>
      <c r="D76" s="1">
        <v>0</v>
      </c>
      <c r="E76" s="1" t="s">
        <v>218</v>
      </c>
    </row>
    <row r="77" spans="2:5" ht="12.75">
      <c r="B77" s="1">
        <v>29</v>
      </c>
      <c r="C77" s="1" t="s">
        <v>157</v>
      </c>
      <c r="D77" s="1">
        <v>0</v>
      </c>
      <c r="E77" s="1" t="s">
        <v>218</v>
      </c>
    </row>
    <row r="78" spans="2:6" ht="12.75">
      <c r="B78" s="1">
        <v>30</v>
      </c>
      <c r="C78" s="1" t="s">
        <v>267</v>
      </c>
      <c r="D78" s="1" t="s">
        <v>157</v>
      </c>
      <c r="E78" s="4">
        <v>1.27E-13</v>
      </c>
      <c r="F78" s="1" t="e">
        <v>#NAME?</v>
      </c>
    </row>
    <row r="79" spans="2:5" ht="12.75">
      <c r="B79" s="1">
        <v>31</v>
      </c>
      <c r="C79" s="1" t="s">
        <v>157</v>
      </c>
      <c r="D79" s="1">
        <v>0</v>
      </c>
      <c r="E79" s="1" t="e">
        <v>#NAME?</v>
      </c>
    </row>
    <row r="80" spans="2:5" ht="12.75">
      <c r="B80" s="1" t="s">
        <v>237</v>
      </c>
      <c r="C80" s="1" t="s">
        <v>157</v>
      </c>
      <c r="D80" s="1">
        <v>0</v>
      </c>
      <c r="E80" s="1" t="e">
        <v>#NAME?</v>
      </c>
    </row>
    <row r="81" spans="2:5" ht="12.75">
      <c r="B81" s="1" t="s">
        <v>238</v>
      </c>
      <c r="C81" s="1" t="s">
        <v>157</v>
      </c>
      <c r="D81" s="1">
        <v>0</v>
      </c>
      <c r="E81" s="1" t="e">
        <v>#NAME?</v>
      </c>
    </row>
    <row r="82" spans="2:5" ht="12.75">
      <c r="B82" s="1" t="s">
        <v>426</v>
      </c>
      <c r="C82" s="1" t="s">
        <v>157</v>
      </c>
      <c r="D82" s="1">
        <v>-57</v>
      </c>
      <c r="E82" s="1" t="e">
        <v>#NAME?</v>
      </c>
    </row>
    <row r="83" spans="2:5" ht="12.75">
      <c r="B83" s="1" t="s">
        <v>239</v>
      </c>
      <c r="C83" s="1" t="s">
        <v>157</v>
      </c>
      <c r="D83" s="1">
        <v>0</v>
      </c>
      <c r="E83" s="1" t="e">
        <v>#NAME?</v>
      </c>
    </row>
    <row r="84" spans="2:6" ht="12.75">
      <c r="B84" s="1" t="s">
        <v>240</v>
      </c>
      <c r="C84" s="1">
        <v>230.34</v>
      </c>
      <c r="D84" s="1" t="s">
        <v>221</v>
      </c>
      <c r="E84" s="1">
        <v>0</v>
      </c>
      <c r="F84" s="1" t="s">
        <v>218</v>
      </c>
    </row>
    <row r="85" spans="2:5" ht="12.75">
      <c r="B85" s="1">
        <v>37</v>
      </c>
      <c r="C85" s="1" t="s">
        <v>157</v>
      </c>
      <c r="D85" s="1">
        <v>0</v>
      </c>
      <c r="E85" s="1" t="s">
        <v>218</v>
      </c>
    </row>
    <row r="86" spans="2:5" ht="12.75">
      <c r="B86" s="1" t="s">
        <v>427</v>
      </c>
      <c r="C86" s="1" t="s">
        <v>157</v>
      </c>
      <c r="D86" s="1">
        <v>173.64</v>
      </c>
      <c r="E86" s="1" t="s">
        <v>218</v>
      </c>
    </row>
    <row r="87" spans="2:5" ht="12.75">
      <c r="B87" s="1" t="s">
        <v>241</v>
      </c>
      <c r="C87" s="1" t="s">
        <v>157</v>
      </c>
      <c r="D87" s="1">
        <v>0</v>
      </c>
      <c r="E87" s="1" t="s">
        <v>218</v>
      </c>
    </row>
    <row r="88" spans="2:5" ht="12.75">
      <c r="B88" s="1" t="s">
        <v>242</v>
      </c>
      <c r="C88" s="1" t="s">
        <v>157</v>
      </c>
      <c r="D88" s="1">
        <v>40</v>
      </c>
      <c r="E88" s="1" t="s">
        <v>218</v>
      </c>
    </row>
    <row r="89" spans="2:5" ht="12.75">
      <c r="B89" s="1">
        <v>41</v>
      </c>
      <c r="C89" s="1" t="s">
        <v>157</v>
      </c>
      <c r="D89" s="1">
        <v>0</v>
      </c>
      <c r="E89" s="1" t="s">
        <v>218</v>
      </c>
    </row>
    <row r="90" spans="2:5" ht="12.75">
      <c r="B90" s="1">
        <v>42</v>
      </c>
      <c r="C90" s="1" t="s">
        <v>157</v>
      </c>
      <c r="D90" s="1">
        <v>133.2</v>
      </c>
      <c r="E90" s="1" t="s">
        <v>218</v>
      </c>
    </row>
    <row r="91" spans="2:5" ht="12.75">
      <c r="B91" s="1" t="s">
        <v>243</v>
      </c>
      <c r="C91" s="1">
        <v>-259.5</v>
      </c>
      <c r="D91" s="1">
        <v>0</v>
      </c>
      <c r="E91" s="1" t="e">
        <v>#NAME?</v>
      </c>
    </row>
    <row r="92" spans="2:5" ht="12.75">
      <c r="B92" s="1" t="s">
        <v>244</v>
      </c>
      <c r="C92" s="1" t="s">
        <v>157</v>
      </c>
      <c r="D92" s="1">
        <v>-150</v>
      </c>
      <c r="E92" s="1" t="e">
        <v>#NAME?</v>
      </c>
    </row>
    <row r="93" spans="2:5" ht="12.75">
      <c r="B93" s="1">
        <v>45</v>
      </c>
      <c r="C93" s="1" t="s">
        <v>157</v>
      </c>
      <c r="D93" s="1">
        <v>25</v>
      </c>
      <c r="E93" s="1" t="e">
        <v>#NAME?</v>
      </c>
    </row>
    <row r="94" spans="2:5" ht="12.75">
      <c r="B94" s="1" t="s">
        <v>245</v>
      </c>
      <c r="C94" s="1" t="s">
        <v>157</v>
      </c>
      <c r="D94" s="1">
        <v>0</v>
      </c>
      <c r="E94" s="1" t="s">
        <v>218</v>
      </c>
    </row>
    <row r="95" spans="2:5" ht="12.75">
      <c r="B95" s="1" t="s">
        <v>246</v>
      </c>
      <c r="C95" s="1" t="s">
        <v>157</v>
      </c>
      <c r="D95" s="1" t="s">
        <v>474</v>
      </c>
      <c r="E95" s="1" t="s">
        <v>218</v>
      </c>
    </row>
    <row r="96" spans="2:5" ht="12.75">
      <c r="B96" s="1">
        <v>48</v>
      </c>
      <c r="C96" s="1" t="s">
        <v>157</v>
      </c>
      <c r="D96" s="1">
        <v>0</v>
      </c>
      <c r="E96" s="1" t="s">
        <v>218</v>
      </c>
    </row>
    <row r="97" spans="2:5" ht="12.75">
      <c r="B97" s="1">
        <v>49</v>
      </c>
      <c r="C97" s="1" t="s">
        <v>157</v>
      </c>
      <c r="D97" s="1" t="s">
        <v>474</v>
      </c>
      <c r="E97" s="1" t="s">
        <v>218</v>
      </c>
    </row>
    <row r="98" spans="2:5" ht="12.75">
      <c r="B98" s="1" t="s">
        <v>247</v>
      </c>
      <c r="C98" s="1" t="s">
        <v>157</v>
      </c>
      <c r="D98" s="1">
        <v>0</v>
      </c>
      <c r="E98" s="1" t="s">
        <v>218</v>
      </c>
    </row>
    <row r="99" spans="2:5" ht="12.75">
      <c r="B99" s="1" t="s">
        <v>429</v>
      </c>
      <c r="C99" s="1" t="s">
        <v>157</v>
      </c>
      <c r="D99" s="1">
        <v>0</v>
      </c>
      <c r="E99" s="1" t="e">
        <v>#NAME?</v>
      </c>
    </row>
    <row r="100" spans="2:5" ht="12.75">
      <c r="B100" s="1">
        <v>52</v>
      </c>
      <c r="C100" s="1" t="s">
        <v>157</v>
      </c>
      <c r="D100" s="1">
        <v>0</v>
      </c>
      <c r="E100" s="1" t="s">
        <v>218</v>
      </c>
    </row>
    <row r="101" spans="2:5" ht="12.75">
      <c r="B101" s="1" t="s">
        <v>248</v>
      </c>
      <c r="C101" s="1" t="s">
        <v>157</v>
      </c>
      <c r="D101" s="1">
        <v>0</v>
      </c>
      <c r="E101" s="1" t="e">
        <v>#NAME?</v>
      </c>
    </row>
    <row r="102" spans="2:5" ht="12.75">
      <c r="B102" s="1" t="s">
        <v>430</v>
      </c>
      <c r="C102" s="1" t="s">
        <v>157</v>
      </c>
      <c r="D102" s="1" t="s">
        <v>474</v>
      </c>
      <c r="E102" s="1" t="e">
        <v>#NAME?</v>
      </c>
    </row>
    <row r="103" spans="2:5" ht="12.75">
      <c r="B103" s="1">
        <v>55</v>
      </c>
      <c r="C103" s="1" t="s">
        <v>157</v>
      </c>
      <c r="D103" s="1" t="s">
        <v>475</v>
      </c>
      <c r="E103" s="1" t="e">
        <v>#NAME?</v>
      </c>
    </row>
    <row r="104" spans="2:5" ht="12.75">
      <c r="B104" s="1" t="s">
        <v>249</v>
      </c>
      <c r="C104" s="1">
        <v>260</v>
      </c>
      <c r="D104" s="1">
        <v>0</v>
      </c>
      <c r="E104" s="1" t="s">
        <v>218</v>
      </c>
    </row>
    <row r="105" spans="2:5" ht="12.75">
      <c r="B105" s="1" t="s">
        <v>250</v>
      </c>
      <c r="C105" s="1" t="s">
        <v>157</v>
      </c>
      <c r="D105" s="1" t="s">
        <v>476</v>
      </c>
      <c r="E105" s="1" t="s">
        <v>218</v>
      </c>
    </row>
    <row r="106" spans="2:5" ht="12.75">
      <c r="B106" s="1">
        <v>58</v>
      </c>
      <c r="C106" s="1" t="s">
        <v>157</v>
      </c>
      <c r="D106" s="1">
        <v>0</v>
      </c>
      <c r="E106" s="1" t="s">
        <v>218</v>
      </c>
    </row>
    <row r="107" spans="2:5" ht="12.75">
      <c r="B107" s="1">
        <v>59</v>
      </c>
      <c r="C107" s="1" t="s">
        <v>157</v>
      </c>
      <c r="D107" s="1" t="s">
        <v>477</v>
      </c>
      <c r="E107" s="1" t="s">
        <v>218</v>
      </c>
    </row>
    <row r="108" spans="2:5" ht="12.75">
      <c r="B108" s="1" t="s">
        <v>251</v>
      </c>
      <c r="C108" s="1" t="s">
        <v>434</v>
      </c>
      <c r="D108" s="1">
        <v>0</v>
      </c>
      <c r="E108" s="1" t="e">
        <v>#NAME?</v>
      </c>
    </row>
    <row r="109" spans="2:5" ht="12.75">
      <c r="B109" s="1" t="s">
        <v>252</v>
      </c>
      <c r="C109" s="1" t="s">
        <v>157</v>
      </c>
      <c r="D109" s="1">
        <v>-151.98</v>
      </c>
      <c r="E109" s="1" t="e">
        <v>#NAME?</v>
      </c>
    </row>
    <row r="110" spans="2:5" ht="12.75">
      <c r="B110" s="1" t="s">
        <v>435</v>
      </c>
      <c r="C110" s="1" t="s">
        <v>157</v>
      </c>
      <c r="D110" s="1">
        <v>0</v>
      </c>
      <c r="E110" s="1" t="e">
        <v>#NAME?</v>
      </c>
    </row>
    <row r="111" spans="2:6" ht="12.75">
      <c r="B111" s="1" t="s">
        <v>436</v>
      </c>
      <c r="C111" s="1">
        <v>196.99</v>
      </c>
      <c r="D111" s="1" t="s">
        <v>221</v>
      </c>
      <c r="E111" s="1">
        <v>0</v>
      </c>
      <c r="F111" s="1" t="s">
        <v>218</v>
      </c>
    </row>
    <row r="112" spans="2:5" ht="12.75">
      <c r="B112" s="1">
        <v>64</v>
      </c>
      <c r="C112" s="1" t="s">
        <v>157</v>
      </c>
      <c r="D112" s="1">
        <v>0</v>
      </c>
      <c r="E112" s="1" t="s">
        <v>218</v>
      </c>
    </row>
    <row r="113" spans="2:5" ht="12.75">
      <c r="B113" s="1" t="s">
        <v>437</v>
      </c>
      <c r="C113" s="1" t="s">
        <v>157</v>
      </c>
      <c r="D113" s="1">
        <v>60</v>
      </c>
      <c r="E113" s="1" t="s">
        <v>218</v>
      </c>
    </row>
    <row r="114" spans="2:5" ht="12.75">
      <c r="B114" s="1">
        <v>66</v>
      </c>
      <c r="C114" s="1" t="s">
        <v>157</v>
      </c>
      <c r="D114" s="1">
        <v>32.57</v>
      </c>
      <c r="E114" s="1" t="s">
        <v>218</v>
      </c>
    </row>
    <row r="115" spans="2:5" ht="12.75">
      <c r="B115" s="1" t="s">
        <v>438</v>
      </c>
      <c r="C115" s="1" t="s">
        <v>157</v>
      </c>
      <c r="D115" s="1">
        <v>0</v>
      </c>
      <c r="E115" s="1" t="e">
        <v>#NAME?</v>
      </c>
    </row>
    <row r="116" spans="2:5" ht="12.75">
      <c r="B116" s="1" t="s">
        <v>439</v>
      </c>
      <c r="C116" s="1" t="s">
        <v>157</v>
      </c>
      <c r="D116" s="1">
        <v>-80</v>
      </c>
      <c r="E116" s="1" t="e">
        <v>#NAME?</v>
      </c>
    </row>
    <row r="117" spans="2:5" ht="12.75">
      <c r="B117" s="1">
        <v>69</v>
      </c>
      <c r="C117" s="1" t="s">
        <v>157</v>
      </c>
      <c r="D117" s="1">
        <v>0</v>
      </c>
      <c r="E117" s="1" t="e">
        <v>#NAME?</v>
      </c>
    </row>
    <row r="118" spans="2:3" ht="12.75">
      <c r="B118" s="1" t="s">
        <v>253</v>
      </c>
      <c r="C118" s="1" t="s">
        <v>157</v>
      </c>
    </row>
    <row r="120" spans="2:4" ht="12.75">
      <c r="B120" s="1" t="s">
        <v>254</v>
      </c>
      <c r="C120" s="1" t="s">
        <v>255</v>
      </c>
      <c r="D120" s="1" t="s">
        <v>256</v>
      </c>
    </row>
    <row r="121" ht="12.75">
      <c r="B121" s="1" t="s">
        <v>257</v>
      </c>
    </row>
    <row r="122" spans="2:11" ht="12.75">
      <c r="B122" s="1" t="s">
        <v>258</v>
      </c>
      <c r="C122" s="1" t="s">
        <v>61</v>
      </c>
      <c r="D122" s="1" t="s">
        <v>259</v>
      </c>
      <c r="E122" s="1" t="s">
        <v>260</v>
      </c>
      <c r="F122" s="1" t="s">
        <v>209</v>
      </c>
      <c r="G122" s="1" t="s">
        <v>261</v>
      </c>
      <c r="H122" s="1" t="s">
        <v>262</v>
      </c>
      <c r="I122" s="1" t="s">
        <v>263</v>
      </c>
      <c r="J122" s="1" t="s">
        <v>202</v>
      </c>
      <c r="K122" s="1" t="s">
        <v>61</v>
      </c>
    </row>
    <row r="123" spans="2:13" ht="12.75">
      <c r="B123" s="1" t="s">
        <v>264</v>
      </c>
      <c r="C123" s="1" t="s">
        <v>61</v>
      </c>
      <c r="D123" s="1" t="s">
        <v>265</v>
      </c>
      <c r="E123" s="1" t="s">
        <v>57</v>
      </c>
      <c r="F123" s="1" t="s">
        <v>52</v>
      </c>
      <c r="G123" s="1" t="s">
        <v>266</v>
      </c>
      <c r="H123" s="1" t="s">
        <v>267</v>
      </c>
      <c r="I123" s="1" t="s">
        <v>61</v>
      </c>
      <c r="J123" s="1" t="s">
        <v>265</v>
      </c>
      <c r="K123" s="1" t="s">
        <v>57</v>
      </c>
      <c r="L123" s="1" t="s">
        <v>268</v>
      </c>
      <c r="M123" s="1" t="s">
        <v>266</v>
      </c>
    </row>
    <row r="124" spans="2:11" ht="12.75">
      <c r="B124" s="1" t="s">
        <v>221</v>
      </c>
      <c r="C124" s="1" t="s">
        <v>269</v>
      </c>
      <c r="D124" s="1" t="s">
        <v>61</v>
      </c>
      <c r="E124" s="1" t="s">
        <v>270</v>
      </c>
      <c r="F124" s="1" t="s">
        <v>271</v>
      </c>
      <c r="G124" s="1" t="s">
        <v>272</v>
      </c>
      <c r="H124" s="1" t="s">
        <v>265</v>
      </c>
      <c r="I124" s="1" t="s">
        <v>273</v>
      </c>
      <c r="J124" s="1" t="s">
        <v>255</v>
      </c>
      <c r="K124" s="1" t="s">
        <v>274</v>
      </c>
    </row>
    <row r="125" spans="2:7" ht="12.75">
      <c r="B125" s="1" t="s">
        <v>275</v>
      </c>
      <c r="C125" s="1" t="s">
        <v>272</v>
      </c>
      <c r="D125" s="1" t="s">
        <v>265</v>
      </c>
      <c r="E125" s="1" t="s">
        <v>273</v>
      </c>
      <c r="F125" s="1" t="s">
        <v>255</v>
      </c>
      <c r="G125" s="1" t="s">
        <v>276</v>
      </c>
    </row>
    <row r="127" spans="2:4" ht="12.75">
      <c r="B127" s="1" t="s">
        <v>269</v>
      </c>
      <c r="C127" s="1" t="s">
        <v>61</v>
      </c>
      <c r="D127" s="1" t="s">
        <v>56</v>
      </c>
    </row>
    <row r="128" ht="12.75">
      <c r="B128" s="1" t="s">
        <v>154</v>
      </c>
    </row>
    <row r="129" spans="2:7" ht="12.75">
      <c r="B129" s="1" t="s">
        <v>61</v>
      </c>
      <c r="C129" s="1" t="s">
        <v>62</v>
      </c>
      <c r="D129" s="1">
        <v>6</v>
      </c>
      <c r="E129" s="1" t="s">
        <v>277</v>
      </c>
      <c r="F129" s="1" t="s">
        <v>278</v>
      </c>
      <c r="G129" s="1" t="s">
        <v>61</v>
      </c>
    </row>
    <row r="130" spans="2:5" ht="12.75">
      <c r="B130" s="1" t="s">
        <v>278</v>
      </c>
      <c r="C130" s="1" t="s">
        <v>279</v>
      </c>
      <c r="D130" s="1" t="s">
        <v>280</v>
      </c>
      <c r="E130" s="1">
        <v>-1.00129</v>
      </c>
    </row>
    <row r="131" spans="2:9" ht="12.75">
      <c r="B131" s="1" t="s">
        <v>281</v>
      </c>
      <c r="C131" s="1" t="s">
        <v>282</v>
      </c>
      <c r="D131" s="1" t="s">
        <v>283</v>
      </c>
      <c r="E131" s="4">
        <v>2710000</v>
      </c>
      <c r="F131" s="1" t="s">
        <v>284</v>
      </c>
      <c r="G131" s="1" t="s">
        <v>282</v>
      </c>
      <c r="H131" s="1" t="s">
        <v>285</v>
      </c>
      <c r="I131" s="1">
        <v>-97448.0619</v>
      </c>
    </row>
    <row r="133" ht="12.75">
      <c r="B133" s="1" t="s">
        <v>286</v>
      </c>
    </row>
    <row r="134" spans="2:7" ht="12.75">
      <c r="B134" s="1" t="s">
        <v>61</v>
      </c>
      <c r="C134" s="1" t="s">
        <v>62</v>
      </c>
      <c r="D134" s="1">
        <v>7</v>
      </c>
      <c r="E134" s="1" t="s">
        <v>277</v>
      </c>
      <c r="F134" s="1" t="s">
        <v>278</v>
      </c>
      <c r="G134" s="1" t="s">
        <v>61</v>
      </c>
    </row>
    <row r="135" spans="2:5" ht="12.75">
      <c r="B135" s="1" t="s">
        <v>278</v>
      </c>
      <c r="C135" s="1" t="s">
        <v>279</v>
      </c>
      <c r="D135" s="1" t="s">
        <v>280</v>
      </c>
      <c r="E135" s="1">
        <v>-1.296</v>
      </c>
    </row>
    <row r="136" spans="2:9" ht="12.75">
      <c r="B136" s="1" t="s">
        <v>281</v>
      </c>
      <c r="C136" s="1" t="s">
        <v>282</v>
      </c>
      <c r="D136" s="1" t="s">
        <v>283</v>
      </c>
      <c r="E136" s="1">
        <v>1166.432433</v>
      </c>
      <c r="F136" s="1" t="s">
        <v>284</v>
      </c>
      <c r="G136" s="1" t="s">
        <v>282</v>
      </c>
      <c r="H136" s="1" t="s">
        <v>285</v>
      </c>
      <c r="I136" s="1">
        <v>-634.607853</v>
      </c>
    </row>
    <row r="138" ht="12.75">
      <c r="B138" s="1" t="s">
        <v>286</v>
      </c>
    </row>
    <row r="139" spans="2:7" ht="12.75">
      <c r="B139" s="1" t="s">
        <v>61</v>
      </c>
      <c r="C139" s="1" t="s">
        <v>62</v>
      </c>
      <c r="D139" s="1">
        <v>11</v>
      </c>
      <c r="E139" s="1" t="s">
        <v>277</v>
      </c>
      <c r="F139" s="1" t="s">
        <v>278</v>
      </c>
      <c r="G139" s="1" t="s">
        <v>61</v>
      </c>
    </row>
    <row r="140" spans="2:5" ht="12.75">
      <c r="B140" s="1" t="s">
        <v>278</v>
      </c>
      <c r="C140" s="1" t="s">
        <v>279</v>
      </c>
      <c r="D140" s="1" t="s">
        <v>280</v>
      </c>
      <c r="E140" s="1">
        <v>-0.5095</v>
      </c>
    </row>
    <row r="141" spans="2:9" ht="12.75">
      <c r="B141" s="1" t="s">
        <v>281</v>
      </c>
      <c r="C141" s="1" t="s">
        <v>282</v>
      </c>
      <c r="D141" s="1" t="s">
        <v>283</v>
      </c>
      <c r="E141" s="1">
        <v>-746.101937</v>
      </c>
      <c r="F141" s="1" t="s">
        <v>284</v>
      </c>
      <c r="G141" s="1" t="s">
        <v>282</v>
      </c>
      <c r="H141" s="1" t="s">
        <v>285</v>
      </c>
      <c r="I141" s="1">
        <v>522.537753</v>
      </c>
    </row>
    <row r="143" ht="12.75">
      <c r="B143" s="1" t="s">
        <v>286</v>
      </c>
    </row>
    <row r="144" spans="2:7" ht="12.75">
      <c r="B144" s="1" t="s">
        <v>61</v>
      </c>
      <c r="C144" s="1" t="s">
        <v>62</v>
      </c>
      <c r="D144" s="1">
        <v>17</v>
      </c>
      <c r="E144" s="1" t="s">
        <v>277</v>
      </c>
      <c r="F144" s="1" t="s">
        <v>287</v>
      </c>
      <c r="G144" s="1" t="s">
        <v>61</v>
      </c>
    </row>
    <row r="145" spans="2:3" ht="12.75">
      <c r="B145" s="1" t="s">
        <v>288</v>
      </c>
      <c r="C145" s="1">
        <v>-278.418</v>
      </c>
    </row>
    <row r="147" ht="12.75">
      <c r="B147" s="1" t="s">
        <v>286</v>
      </c>
    </row>
    <row r="148" spans="2:7" ht="12.75">
      <c r="B148" s="1" t="s">
        <v>61</v>
      </c>
      <c r="C148" s="1" t="s">
        <v>62</v>
      </c>
      <c r="D148" s="1">
        <v>22</v>
      </c>
      <c r="E148" s="1" t="s">
        <v>277</v>
      </c>
      <c r="F148" s="1" t="s">
        <v>287</v>
      </c>
      <c r="G148" s="1" t="s">
        <v>61</v>
      </c>
    </row>
    <row r="149" spans="2:3" ht="12.75">
      <c r="B149" s="1" t="s">
        <v>288</v>
      </c>
      <c r="C149" s="1">
        <v>269.92</v>
      </c>
    </row>
    <row r="151" ht="12.75">
      <c r="B151" s="1" t="s">
        <v>286</v>
      </c>
    </row>
    <row r="152" spans="2:7" ht="12.75">
      <c r="B152" s="1" t="s">
        <v>61</v>
      </c>
      <c r="C152" s="1" t="s">
        <v>62</v>
      </c>
      <c r="D152" s="1">
        <v>36</v>
      </c>
      <c r="E152" s="1" t="s">
        <v>277</v>
      </c>
      <c r="F152" s="1" t="s">
        <v>287</v>
      </c>
      <c r="G152" s="1" t="s">
        <v>61</v>
      </c>
    </row>
    <row r="153" spans="2:3" ht="12.75">
      <c r="B153" s="1" t="s">
        <v>288</v>
      </c>
      <c r="C153" s="1">
        <v>202</v>
      </c>
    </row>
    <row r="155" ht="12.75">
      <c r="B155" s="1" t="s">
        <v>286</v>
      </c>
    </row>
    <row r="156" spans="2:7" ht="12.75">
      <c r="B156" s="1" t="s">
        <v>61</v>
      </c>
      <c r="C156" s="1" t="s">
        <v>62</v>
      </c>
      <c r="D156" s="1">
        <v>63</v>
      </c>
      <c r="E156" s="1" t="s">
        <v>277</v>
      </c>
      <c r="F156" s="1" t="s">
        <v>287</v>
      </c>
      <c r="G156" s="1" t="s">
        <v>61</v>
      </c>
    </row>
    <row r="157" spans="2:3" ht="12.75">
      <c r="B157" s="1" t="s">
        <v>288</v>
      </c>
      <c r="C157" s="1">
        <v>169.84</v>
      </c>
    </row>
    <row r="160" spans="2:5" ht="12.75">
      <c r="B160" s="1" t="s">
        <v>289</v>
      </c>
      <c r="C160" s="1" t="s">
        <v>209</v>
      </c>
      <c r="D160" s="1" t="s">
        <v>290</v>
      </c>
      <c r="E160" s="1" t="s">
        <v>56</v>
      </c>
    </row>
    <row r="161" spans="2:3" ht="12.75">
      <c r="B161" s="1" t="s">
        <v>291</v>
      </c>
      <c r="C161" s="1" t="s">
        <v>266</v>
      </c>
    </row>
    <row r="162" ht="12.75">
      <c r="B162" s="1" t="s">
        <v>292</v>
      </c>
    </row>
    <row r="163" spans="2:9" ht="12.75">
      <c r="B163" s="1" t="s">
        <v>50</v>
      </c>
      <c r="C163" s="1" t="s">
        <v>270</v>
      </c>
      <c r="D163" s="1" t="s">
        <v>17</v>
      </c>
      <c r="E163" s="1" t="s">
        <v>80</v>
      </c>
      <c r="F163" s="1" t="s">
        <v>81</v>
      </c>
      <c r="G163" s="1" t="s">
        <v>293</v>
      </c>
      <c r="H163" s="1" t="s">
        <v>294</v>
      </c>
      <c r="I163" s="1" t="s">
        <v>295</v>
      </c>
    </row>
    <row r="164" ht="12.75">
      <c r="B164" s="1" t="s">
        <v>292</v>
      </c>
    </row>
    <row r="165" spans="2:9" ht="12.75">
      <c r="B165" s="1">
        <v>2</v>
      </c>
      <c r="C165" s="1" t="s">
        <v>296</v>
      </c>
      <c r="D165" s="1">
        <v>0</v>
      </c>
      <c r="E165" s="1">
        <v>0</v>
      </c>
      <c r="F165" s="1">
        <v>0</v>
      </c>
      <c r="G165" s="1">
        <v>0.1829</v>
      </c>
      <c r="H165" s="1">
        <v>0</v>
      </c>
      <c r="I165" s="1">
        <v>0</v>
      </c>
    </row>
    <row r="166" spans="2:9" ht="12.75">
      <c r="B166" s="1">
        <v>3</v>
      </c>
      <c r="C166" s="1" t="s">
        <v>296</v>
      </c>
      <c r="D166" s="1">
        <v>0</v>
      </c>
      <c r="E166" s="1">
        <v>0</v>
      </c>
      <c r="F166" s="1">
        <v>0</v>
      </c>
      <c r="G166" s="1">
        <v>0</v>
      </c>
      <c r="H166" s="1">
        <v>-0.123</v>
      </c>
      <c r="I166" s="1">
        <v>0</v>
      </c>
    </row>
    <row r="167" spans="2:9" ht="12.75">
      <c r="B167" s="1">
        <v>10</v>
      </c>
      <c r="C167" s="1" t="s">
        <v>296</v>
      </c>
      <c r="D167" s="1">
        <v>0</v>
      </c>
      <c r="E167" s="1">
        <v>-91.048</v>
      </c>
      <c r="F167" s="1">
        <v>0</v>
      </c>
      <c r="G167" s="1">
        <v>-1.9766</v>
      </c>
      <c r="H167" s="1">
        <v>0</v>
      </c>
      <c r="I167" s="1">
        <v>0</v>
      </c>
    </row>
    <row r="168" spans="2:9" ht="12.75">
      <c r="B168" s="1">
        <v>11</v>
      </c>
      <c r="C168" s="1" t="s">
        <v>296</v>
      </c>
      <c r="D168" s="1">
        <v>0</v>
      </c>
      <c r="E168" s="1">
        <v>-149.224</v>
      </c>
      <c r="F168" s="1">
        <v>12.676</v>
      </c>
      <c r="G168" s="1">
        <v>-6.7066</v>
      </c>
      <c r="H168" s="1">
        <v>0</v>
      </c>
      <c r="I168" s="1">
        <v>0</v>
      </c>
    </row>
    <row r="169" spans="2:9" ht="12.75">
      <c r="B169" s="1">
        <v>12</v>
      </c>
      <c r="C169" s="1" t="s">
        <v>296</v>
      </c>
      <c r="D169" s="1">
        <v>0</v>
      </c>
      <c r="E169" s="1">
        <v>0</v>
      </c>
      <c r="F169" s="1">
        <v>0</v>
      </c>
      <c r="G169" s="1">
        <v>31.93</v>
      </c>
      <c r="H169" s="1">
        <v>0</v>
      </c>
      <c r="I169" s="1">
        <v>0</v>
      </c>
    </row>
    <row r="170" spans="2:9" ht="12.75">
      <c r="B170" s="1">
        <v>13</v>
      </c>
      <c r="C170" s="1" t="s">
        <v>296</v>
      </c>
      <c r="D170" s="1">
        <v>0</v>
      </c>
      <c r="E170" s="1">
        <v>0</v>
      </c>
      <c r="F170" s="1">
        <v>0</v>
      </c>
      <c r="G170" s="1">
        <v>-12.01</v>
      </c>
      <c r="H170" s="1">
        <v>0</v>
      </c>
      <c r="I170" s="1">
        <v>0</v>
      </c>
    </row>
    <row r="171" spans="2:9" ht="12.75">
      <c r="B171" s="1">
        <v>16</v>
      </c>
      <c r="C171" s="1" t="s">
        <v>296</v>
      </c>
      <c r="D171" s="1">
        <v>0</v>
      </c>
      <c r="E171" s="1">
        <v>0</v>
      </c>
      <c r="F171" s="1">
        <v>0</v>
      </c>
      <c r="G171" s="1">
        <v>-24.02</v>
      </c>
      <c r="H171" s="1">
        <v>0</v>
      </c>
      <c r="I171" s="1">
        <v>0</v>
      </c>
    </row>
    <row r="172" spans="2:9" ht="12.75">
      <c r="B172" s="1">
        <v>17</v>
      </c>
      <c r="C172" s="1" t="s">
        <v>296</v>
      </c>
      <c r="D172" s="1">
        <v>0</v>
      </c>
      <c r="E172" s="1">
        <v>0</v>
      </c>
      <c r="F172" s="1">
        <v>0</v>
      </c>
      <c r="G172" s="1">
        <v>9.212</v>
      </c>
      <c r="H172" s="1">
        <v>0</v>
      </c>
      <c r="I172" s="1">
        <v>0</v>
      </c>
    </row>
    <row r="173" spans="2:9" ht="12.75">
      <c r="B173" s="1">
        <v>18</v>
      </c>
      <c r="C173" s="1" t="s">
        <v>296</v>
      </c>
      <c r="D173" s="1">
        <v>0</v>
      </c>
      <c r="E173" s="1">
        <v>0</v>
      </c>
      <c r="F173" s="1">
        <v>0</v>
      </c>
      <c r="G173" s="1">
        <v>18.424</v>
      </c>
      <c r="H173" s="1">
        <v>0</v>
      </c>
      <c r="I173" s="1">
        <v>0</v>
      </c>
    </row>
    <row r="174" spans="2:9" ht="12.75">
      <c r="B174" s="1">
        <v>19</v>
      </c>
      <c r="C174" s="1" t="s">
        <v>296</v>
      </c>
      <c r="D174" s="1">
        <v>0</v>
      </c>
      <c r="E174" s="1">
        <v>0</v>
      </c>
      <c r="F174" s="1">
        <v>0</v>
      </c>
      <c r="G174" s="1">
        <v>-24.3574</v>
      </c>
      <c r="H174" s="1">
        <v>0</v>
      </c>
      <c r="I174" s="1">
        <v>0</v>
      </c>
    </row>
    <row r="175" spans="2:9" ht="12.75">
      <c r="B175" s="1">
        <v>20</v>
      </c>
      <c r="C175" s="1" t="s">
        <v>296</v>
      </c>
      <c r="D175" s="1">
        <v>33.82</v>
      </c>
      <c r="E175" s="1">
        <v>-4.442</v>
      </c>
      <c r="F175" s="1">
        <v>0</v>
      </c>
      <c r="G175" s="1">
        <v>0</v>
      </c>
      <c r="H175" s="1">
        <v>0</v>
      </c>
      <c r="I175" s="1">
        <v>74</v>
      </c>
    </row>
    <row r="176" spans="2:9" ht="12.75">
      <c r="B176" s="1">
        <v>21</v>
      </c>
      <c r="C176" s="1" t="s">
        <v>296</v>
      </c>
      <c r="D176" s="1">
        <v>0</v>
      </c>
      <c r="E176" s="1">
        <v>0</v>
      </c>
      <c r="F176" s="1">
        <v>0</v>
      </c>
      <c r="G176" s="1">
        <v>45</v>
      </c>
      <c r="H176" s="1">
        <v>0</v>
      </c>
      <c r="I176" s="1">
        <v>0</v>
      </c>
    </row>
    <row r="177" spans="2:10" ht="12.75">
      <c r="B177" s="1">
        <v>22</v>
      </c>
      <c r="C177" s="1" t="s">
        <v>300</v>
      </c>
      <c r="D177" s="1" t="s">
        <v>440</v>
      </c>
      <c r="E177" s="1">
        <v>0</v>
      </c>
      <c r="F177" s="1">
        <v>0</v>
      </c>
      <c r="G177" s="1">
        <v>0</v>
      </c>
      <c r="H177" s="1">
        <v>10.926</v>
      </c>
      <c r="I177" s="1">
        <v>13.491</v>
      </c>
      <c r="J177" s="1">
        <v>25.95</v>
      </c>
    </row>
    <row r="178" spans="2:9" ht="12.75">
      <c r="B178" s="1">
        <v>24</v>
      </c>
      <c r="C178" s="1" t="s">
        <v>296</v>
      </c>
      <c r="D178" s="1">
        <v>0</v>
      </c>
      <c r="E178" s="1">
        <v>0</v>
      </c>
      <c r="F178" s="1">
        <v>0</v>
      </c>
      <c r="G178" s="1">
        <v>49.5</v>
      </c>
      <c r="H178" s="1">
        <v>0</v>
      </c>
      <c r="I178" s="1">
        <v>0</v>
      </c>
    </row>
    <row r="179" spans="2:10" ht="12.75">
      <c r="B179" s="1">
        <v>26</v>
      </c>
      <c r="C179" s="1" t="s">
        <v>300</v>
      </c>
      <c r="D179" s="1" t="s">
        <v>440</v>
      </c>
      <c r="E179" s="1">
        <v>0</v>
      </c>
      <c r="F179" s="1">
        <v>0</v>
      </c>
      <c r="G179" s="1">
        <v>0</v>
      </c>
      <c r="H179" s="1">
        <v>26</v>
      </c>
      <c r="I179" s="1">
        <v>12</v>
      </c>
      <c r="J179" s="1">
        <v>0</v>
      </c>
    </row>
    <row r="180" spans="2:9" ht="12.75">
      <c r="B180" s="1">
        <v>28</v>
      </c>
      <c r="C180" s="1" t="s">
        <v>296</v>
      </c>
      <c r="D180" s="1">
        <v>0</v>
      </c>
      <c r="E180" s="1">
        <v>0</v>
      </c>
      <c r="F180" s="1">
        <v>0</v>
      </c>
      <c r="G180" s="1">
        <v>-45</v>
      </c>
      <c r="H180" s="1">
        <v>0</v>
      </c>
      <c r="I180" s="1">
        <v>0</v>
      </c>
    </row>
    <row r="181" spans="2:10" ht="12.75">
      <c r="B181" s="1">
        <v>30</v>
      </c>
      <c r="C181" s="1" t="s">
        <v>300</v>
      </c>
      <c r="D181" s="1" t="s">
        <v>440</v>
      </c>
      <c r="E181" s="1">
        <v>0</v>
      </c>
      <c r="F181" s="1">
        <v>0</v>
      </c>
      <c r="G181" s="1">
        <v>0</v>
      </c>
      <c r="H181" s="1">
        <v>-0.441</v>
      </c>
      <c r="I181" s="1">
        <v>-173.118</v>
      </c>
      <c r="J181" s="1">
        <v>0</v>
      </c>
    </row>
    <row r="182" spans="2:9" ht="12.75">
      <c r="B182" s="1">
        <v>32</v>
      </c>
      <c r="C182" s="1" t="s">
        <v>296</v>
      </c>
      <c r="D182" s="1">
        <v>0</v>
      </c>
      <c r="E182" s="1">
        <v>0</v>
      </c>
      <c r="F182" s="1">
        <v>0</v>
      </c>
      <c r="G182" s="1">
        <v>-49.5</v>
      </c>
      <c r="H182" s="1">
        <v>0</v>
      </c>
      <c r="I182" s="1">
        <v>0</v>
      </c>
    </row>
    <row r="183" spans="2:9" ht="12.75">
      <c r="B183" s="1">
        <v>33</v>
      </c>
      <c r="C183" s="1" t="s">
        <v>296</v>
      </c>
      <c r="D183" s="1">
        <v>0</v>
      </c>
      <c r="E183" s="1">
        <v>0</v>
      </c>
      <c r="F183" s="1">
        <v>0</v>
      </c>
      <c r="G183" s="1">
        <v>0</v>
      </c>
      <c r="H183" s="1">
        <v>0</v>
      </c>
      <c r="I183" s="1">
        <v>-74</v>
      </c>
    </row>
    <row r="184" spans="2:9" ht="12.75">
      <c r="B184" s="1">
        <v>34</v>
      </c>
      <c r="C184" s="1" t="s">
        <v>296</v>
      </c>
      <c r="D184" s="1">
        <v>0</v>
      </c>
      <c r="E184" s="1">
        <v>0</v>
      </c>
      <c r="F184" s="1">
        <v>0</v>
      </c>
      <c r="G184" s="1">
        <v>10</v>
      </c>
      <c r="H184" s="1">
        <v>0</v>
      </c>
      <c r="I184" s="1">
        <v>0</v>
      </c>
    </row>
    <row r="185" spans="2:9" ht="12.75">
      <c r="B185" s="1">
        <v>35</v>
      </c>
      <c r="C185" s="1" t="s">
        <v>296</v>
      </c>
      <c r="D185" s="1">
        <v>0</v>
      </c>
      <c r="E185" s="1">
        <v>0</v>
      </c>
      <c r="F185" s="1">
        <v>0</v>
      </c>
      <c r="G185" s="1">
        <v>-20</v>
      </c>
      <c r="H185" s="1">
        <v>0</v>
      </c>
      <c r="I185" s="1">
        <v>0</v>
      </c>
    </row>
    <row r="186" spans="2:9" ht="12.75">
      <c r="B186" s="1">
        <v>36</v>
      </c>
      <c r="C186" s="1" t="s">
        <v>296</v>
      </c>
      <c r="D186" s="1">
        <v>0</v>
      </c>
      <c r="E186" s="1">
        <v>0</v>
      </c>
      <c r="F186" s="1">
        <v>0</v>
      </c>
      <c r="G186" s="1">
        <v>0</v>
      </c>
      <c r="H186" s="1">
        <v>0</v>
      </c>
      <c r="I186" s="1">
        <v>-6.22</v>
      </c>
    </row>
    <row r="187" spans="2:9" ht="12.75">
      <c r="B187" s="1">
        <v>38</v>
      </c>
      <c r="C187" s="1" t="s">
        <v>296</v>
      </c>
      <c r="D187" s="1">
        <v>0</v>
      </c>
      <c r="E187" s="1">
        <v>0</v>
      </c>
      <c r="F187" s="1">
        <v>0</v>
      </c>
      <c r="G187" s="1">
        <v>-40</v>
      </c>
      <c r="H187" s="1">
        <v>0</v>
      </c>
      <c r="I187" s="1">
        <v>0</v>
      </c>
    </row>
    <row r="188" spans="2:9" ht="12.75">
      <c r="B188" s="1">
        <v>39</v>
      </c>
      <c r="C188" s="1" t="s">
        <v>296</v>
      </c>
      <c r="D188" s="1">
        <v>0</v>
      </c>
      <c r="E188" s="1">
        <v>0</v>
      </c>
      <c r="F188" s="1">
        <v>0</v>
      </c>
      <c r="G188" s="1">
        <v>30</v>
      </c>
      <c r="H188" s="1">
        <v>0</v>
      </c>
      <c r="I188" s="1">
        <v>0</v>
      </c>
    </row>
    <row r="189" spans="2:9" ht="12.75">
      <c r="B189" s="1">
        <v>40</v>
      </c>
      <c r="C189" s="1" t="s">
        <v>296</v>
      </c>
      <c r="D189" s="1">
        <v>0</v>
      </c>
      <c r="E189" s="1">
        <v>0</v>
      </c>
      <c r="F189" s="1">
        <v>0</v>
      </c>
      <c r="G189" s="1">
        <v>90</v>
      </c>
      <c r="H189" s="1">
        <v>0</v>
      </c>
      <c r="I189" s="1">
        <v>0</v>
      </c>
    </row>
    <row r="190" spans="2:9" ht="12.75">
      <c r="B190" s="1">
        <v>43</v>
      </c>
      <c r="C190" s="1" t="s">
        <v>296</v>
      </c>
      <c r="D190" s="1">
        <v>0</v>
      </c>
      <c r="E190" s="1">
        <v>0</v>
      </c>
      <c r="F190" s="1">
        <v>0</v>
      </c>
      <c r="G190" s="1">
        <v>15</v>
      </c>
      <c r="H190" s="1">
        <v>0</v>
      </c>
      <c r="I190" s="1">
        <v>0</v>
      </c>
    </row>
    <row r="191" spans="2:9" ht="12.75">
      <c r="B191" s="1">
        <v>44</v>
      </c>
      <c r="C191" s="1" t="s">
        <v>296</v>
      </c>
      <c r="D191" s="1">
        <v>0</v>
      </c>
      <c r="E191" s="1">
        <v>0</v>
      </c>
      <c r="F191" s="1">
        <v>0</v>
      </c>
      <c r="G191" s="1">
        <v>30</v>
      </c>
      <c r="H191" s="1">
        <v>0</v>
      </c>
      <c r="I191" s="1">
        <v>0</v>
      </c>
    </row>
    <row r="192" spans="2:9" ht="12.75">
      <c r="B192" s="1">
        <v>46</v>
      </c>
      <c r="C192" s="1" t="s">
        <v>296</v>
      </c>
      <c r="D192" s="1">
        <v>0</v>
      </c>
      <c r="E192" s="1">
        <v>0</v>
      </c>
      <c r="F192" s="1">
        <v>0</v>
      </c>
      <c r="G192" s="1">
        <v>-45</v>
      </c>
      <c r="H192" s="1">
        <v>0</v>
      </c>
      <c r="I192" s="1">
        <v>0</v>
      </c>
    </row>
    <row r="193" spans="2:9" ht="12.75">
      <c r="B193" s="1">
        <v>47</v>
      </c>
      <c r="C193" s="1" t="s">
        <v>296</v>
      </c>
      <c r="D193" s="1">
        <v>0</v>
      </c>
      <c r="E193" s="1">
        <v>0</v>
      </c>
      <c r="F193" s="1">
        <v>0</v>
      </c>
      <c r="G193" s="1">
        <v>-90</v>
      </c>
      <c r="H193" s="1">
        <v>0</v>
      </c>
      <c r="I193" s="1">
        <v>0</v>
      </c>
    </row>
    <row r="194" spans="2:9" ht="12.75">
      <c r="B194" s="1">
        <v>50</v>
      </c>
      <c r="C194" s="1" t="s">
        <v>296</v>
      </c>
      <c r="D194" s="1">
        <v>0</v>
      </c>
      <c r="E194" s="1">
        <v>0</v>
      </c>
      <c r="F194" s="1">
        <v>0</v>
      </c>
      <c r="G194" s="1">
        <v>-45</v>
      </c>
      <c r="H194" s="1">
        <v>0</v>
      </c>
      <c r="I194" s="1">
        <v>0</v>
      </c>
    </row>
    <row r="195" spans="2:9" ht="12.75">
      <c r="B195" s="1">
        <v>51</v>
      </c>
      <c r="C195" s="1" t="s">
        <v>296</v>
      </c>
      <c r="D195" s="1">
        <v>0</v>
      </c>
      <c r="E195" s="1">
        <v>0</v>
      </c>
      <c r="F195" s="1">
        <v>0</v>
      </c>
      <c r="G195" s="1">
        <v>0</v>
      </c>
      <c r="H195" s="1">
        <v>-45</v>
      </c>
      <c r="I195" s="1">
        <v>0</v>
      </c>
    </row>
    <row r="196" spans="2:9" ht="12.75">
      <c r="B196" s="1">
        <v>53</v>
      </c>
      <c r="C196" s="1" t="s">
        <v>296</v>
      </c>
      <c r="D196" s="1">
        <v>0</v>
      </c>
      <c r="E196" s="1">
        <v>0</v>
      </c>
      <c r="F196" s="1">
        <v>0</v>
      </c>
      <c r="G196" s="1">
        <v>0</v>
      </c>
      <c r="H196" s="1">
        <v>45</v>
      </c>
      <c r="I196" s="1">
        <v>0</v>
      </c>
    </row>
    <row r="197" spans="2:9" ht="12.75">
      <c r="B197" s="1">
        <v>54</v>
      </c>
      <c r="C197" s="1" t="s">
        <v>296</v>
      </c>
      <c r="D197" s="1">
        <v>0</v>
      </c>
      <c r="E197" s="1">
        <v>0</v>
      </c>
      <c r="F197" s="1">
        <v>0</v>
      </c>
      <c r="G197" s="1">
        <v>-45</v>
      </c>
      <c r="H197" s="1">
        <v>0</v>
      </c>
      <c r="I197" s="1">
        <v>0</v>
      </c>
    </row>
    <row r="198" spans="2:9" ht="12.75">
      <c r="B198" s="1">
        <v>56</v>
      </c>
      <c r="C198" s="1" t="s">
        <v>296</v>
      </c>
      <c r="D198" s="1">
        <v>0</v>
      </c>
      <c r="E198" s="1">
        <v>0</v>
      </c>
      <c r="F198" s="1">
        <v>0</v>
      </c>
      <c r="G198" s="1">
        <v>15</v>
      </c>
      <c r="H198" s="1">
        <v>0</v>
      </c>
      <c r="I198" s="1">
        <v>0</v>
      </c>
    </row>
    <row r="199" spans="2:9" ht="12.75">
      <c r="B199" s="1">
        <v>57</v>
      </c>
      <c r="C199" s="1" t="s">
        <v>296</v>
      </c>
      <c r="D199" s="1">
        <v>0</v>
      </c>
      <c r="E199" s="1">
        <v>0</v>
      </c>
      <c r="F199" s="1">
        <v>0</v>
      </c>
      <c r="G199" s="1">
        <v>30</v>
      </c>
      <c r="H199" s="1">
        <v>0</v>
      </c>
      <c r="I199" s="1">
        <v>0</v>
      </c>
    </row>
    <row r="200" spans="2:9" ht="12.75">
      <c r="B200" s="1">
        <v>60</v>
      </c>
      <c r="C200" s="1" t="s">
        <v>296</v>
      </c>
      <c r="D200" s="1">
        <v>0</v>
      </c>
      <c r="E200" s="1">
        <v>0</v>
      </c>
      <c r="F200" s="1">
        <v>0</v>
      </c>
      <c r="G200" s="1">
        <v>-30</v>
      </c>
      <c r="H200" s="1">
        <v>0</v>
      </c>
      <c r="I200" s="1">
        <v>0</v>
      </c>
    </row>
    <row r="201" spans="2:9" ht="12.75">
      <c r="B201" s="1">
        <v>61</v>
      </c>
      <c r="C201" s="1" t="s">
        <v>296</v>
      </c>
      <c r="D201" s="1">
        <v>0</v>
      </c>
      <c r="E201" s="1">
        <v>0</v>
      </c>
      <c r="F201" s="1">
        <v>0</v>
      </c>
      <c r="G201" s="1">
        <v>-30</v>
      </c>
      <c r="H201" s="1">
        <v>0</v>
      </c>
      <c r="I201" s="1">
        <v>0</v>
      </c>
    </row>
    <row r="202" spans="2:9" ht="12.75">
      <c r="B202" s="1">
        <v>62</v>
      </c>
      <c r="C202" s="1" t="s">
        <v>296</v>
      </c>
      <c r="D202" s="1">
        <v>0</v>
      </c>
      <c r="E202" s="1">
        <v>0</v>
      </c>
      <c r="F202" s="1">
        <v>0</v>
      </c>
      <c r="G202" s="1">
        <v>20</v>
      </c>
      <c r="H202" s="1">
        <v>0</v>
      </c>
      <c r="I202" s="1">
        <v>0</v>
      </c>
    </row>
    <row r="203" spans="2:9" ht="12.75">
      <c r="B203" s="1">
        <v>63</v>
      </c>
      <c r="C203" s="1" t="s">
        <v>296</v>
      </c>
      <c r="D203" s="1">
        <v>0</v>
      </c>
      <c r="E203" s="1">
        <v>0</v>
      </c>
      <c r="F203" s="1">
        <v>0</v>
      </c>
      <c r="G203" s="1">
        <v>0</v>
      </c>
      <c r="H203" s="1">
        <v>0</v>
      </c>
      <c r="I203" s="1">
        <v>-1.79</v>
      </c>
    </row>
    <row r="204" spans="2:9" ht="12.75">
      <c r="B204" s="1">
        <v>65</v>
      </c>
      <c r="C204" s="1" t="s">
        <v>296</v>
      </c>
      <c r="D204" s="1">
        <v>0</v>
      </c>
      <c r="E204" s="1">
        <v>0</v>
      </c>
      <c r="F204" s="1">
        <v>0</v>
      </c>
      <c r="G204" s="1">
        <v>20</v>
      </c>
      <c r="H204" s="1">
        <v>0</v>
      </c>
      <c r="I204" s="1">
        <v>0</v>
      </c>
    </row>
    <row r="205" spans="2:9" ht="12.75">
      <c r="B205" s="1">
        <v>67</v>
      </c>
      <c r="C205" s="1" t="s">
        <v>296</v>
      </c>
      <c r="D205" s="1">
        <v>0</v>
      </c>
      <c r="E205" s="1">
        <v>0</v>
      </c>
      <c r="F205" s="1">
        <v>0</v>
      </c>
      <c r="G205" s="1">
        <v>0</v>
      </c>
      <c r="H205" s="1">
        <v>45</v>
      </c>
      <c r="I205" s="1">
        <v>0</v>
      </c>
    </row>
    <row r="206" spans="2:9" ht="12.75">
      <c r="B206" s="1">
        <v>68</v>
      </c>
      <c r="C206" s="1" t="s">
        <v>296</v>
      </c>
      <c r="D206" s="1">
        <v>0</v>
      </c>
      <c r="E206" s="1">
        <v>0</v>
      </c>
      <c r="F206" s="1">
        <v>0</v>
      </c>
      <c r="G206" s="1">
        <v>0</v>
      </c>
      <c r="H206" s="1">
        <v>90</v>
      </c>
      <c r="I206" s="1">
        <v>0</v>
      </c>
    </row>
    <row r="208" spans="2:5" ht="12.75">
      <c r="B208" s="1" t="s">
        <v>254</v>
      </c>
      <c r="C208" s="1" t="s">
        <v>255</v>
      </c>
      <c r="D208" s="1" t="s">
        <v>61</v>
      </c>
      <c r="E208" s="1" t="s">
        <v>297</v>
      </c>
    </row>
    <row r="209" ht="12.75">
      <c r="B209" s="1" t="s">
        <v>298</v>
      </c>
    </row>
    <row r="210" spans="2:7" ht="12.75">
      <c r="B210" s="1" t="s">
        <v>299</v>
      </c>
      <c r="C210" s="1" t="s">
        <v>52</v>
      </c>
      <c r="D210" s="1" t="s">
        <v>266</v>
      </c>
      <c r="E210" s="1" t="s">
        <v>300</v>
      </c>
      <c r="F210" s="1" t="s">
        <v>268</v>
      </c>
      <c r="G210" s="1" t="s">
        <v>266</v>
      </c>
    </row>
    <row r="211" spans="2:10" ht="12.75">
      <c r="B211" s="1" t="s">
        <v>296</v>
      </c>
      <c r="C211" s="1" t="s">
        <v>301</v>
      </c>
      <c r="D211" s="1" t="s">
        <v>266</v>
      </c>
      <c r="E211" s="1" t="s">
        <v>302</v>
      </c>
      <c r="F211" s="1" t="s">
        <v>303</v>
      </c>
      <c r="G211" s="1" t="s">
        <v>260</v>
      </c>
      <c r="H211" s="1" t="s">
        <v>57</v>
      </c>
      <c r="I211" s="1" t="s">
        <v>301</v>
      </c>
      <c r="J211" s="1" t="s">
        <v>70</v>
      </c>
    </row>
    <row r="213" spans="2:3" ht="12.75">
      <c r="B213" s="1" t="s">
        <v>50</v>
      </c>
      <c r="C213" s="1" t="s">
        <v>304</v>
      </c>
    </row>
    <row r="214" ht="12.75">
      <c r="B214" s="1" t="s">
        <v>292</v>
      </c>
    </row>
    <row r="215" spans="2:8" ht="12.75">
      <c r="B215" s="1">
        <v>12</v>
      </c>
      <c r="C215" s="1" t="s">
        <v>305</v>
      </c>
      <c r="D215" s="1" t="s">
        <v>306</v>
      </c>
      <c r="E215" s="1" t="s">
        <v>60</v>
      </c>
      <c r="F215" s="1" t="s">
        <v>61</v>
      </c>
      <c r="G215" s="1" t="s">
        <v>62</v>
      </c>
      <c r="H215" s="1">
        <v>11</v>
      </c>
    </row>
    <row r="216" spans="2:8" ht="12.75">
      <c r="B216" s="1">
        <v>16</v>
      </c>
      <c r="C216" s="1" t="s">
        <v>305</v>
      </c>
      <c r="D216" s="1" t="s">
        <v>306</v>
      </c>
      <c r="E216" s="1" t="s">
        <v>60</v>
      </c>
      <c r="F216" s="1" t="s">
        <v>61</v>
      </c>
      <c r="G216" s="1" t="s">
        <v>62</v>
      </c>
      <c r="H216" s="1">
        <v>13</v>
      </c>
    </row>
    <row r="217" spans="2:8" ht="12.75">
      <c r="B217" s="1">
        <v>18</v>
      </c>
      <c r="C217" s="1" t="s">
        <v>305</v>
      </c>
      <c r="D217" s="1" t="s">
        <v>306</v>
      </c>
      <c r="E217" s="1" t="s">
        <v>60</v>
      </c>
      <c r="F217" s="1" t="s">
        <v>61</v>
      </c>
      <c r="G217" s="1" t="s">
        <v>62</v>
      </c>
      <c r="H217" s="1">
        <v>17</v>
      </c>
    </row>
    <row r="218" spans="2:7" ht="12.75">
      <c r="B218" s="1">
        <v>23</v>
      </c>
      <c r="C218" s="1" t="s">
        <v>441</v>
      </c>
      <c r="D218" s="1" t="s">
        <v>442</v>
      </c>
      <c r="E218" s="1" t="s">
        <v>61</v>
      </c>
      <c r="F218" s="1" t="s">
        <v>62</v>
      </c>
      <c r="G218" s="1">
        <v>21</v>
      </c>
    </row>
    <row r="219" spans="2:7" ht="12.75">
      <c r="B219" s="1">
        <v>27</v>
      </c>
      <c r="C219" s="1" t="s">
        <v>441</v>
      </c>
      <c r="D219" s="1" t="s">
        <v>442</v>
      </c>
      <c r="E219" s="1" t="s">
        <v>61</v>
      </c>
      <c r="F219" s="1" t="s">
        <v>62</v>
      </c>
      <c r="G219" s="1">
        <v>25</v>
      </c>
    </row>
    <row r="220" spans="2:7" ht="12.75">
      <c r="B220" s="1">
        <v>31</v>
      </c>
      <c r="C220" s="1" t="s">
        <v>441</v>
      </c>
      <c r="D220" s="1" t="s">
        <v>442</v>
      </c>
      <c r="E220" s="1" t="s">
        <v>61</v>
      </c>
      <c r="F220" s="1" t="s">
        <v>62</v>
      </c>
      <c r="G220" s="1">
        <v>29</v>
      </c>
    </row>
    <row r="221" spans="2:8" ht="12.75">
      <c r="B221" s="1">
        <v>37</v>
      </c>
      <c r="C221" s="1" t="s">
        <v>305</v>
      </c>
      <c r="D221" s="1" t="s">
        <v>306</v>
      </c>
      <c r="E221" s="1" t="s">
        <v>60</v>
      </c>
      <c r="F221" s="1" t="s">
        <v>61</v>
      </c>
      <c r="G221" s="1" t="s">
        <v>62</v>
      </c>
      <c r="H221" s="1">
        <v>36</v>
      </c>
    </row>
    <row r="222" spans="2:8" ht="12.75">
      <c r="B222" s="1">
        <v>38</v>
      </c>
      <c r="C222" s="1" t="s">
        <v>305</v>
      </c>
      <c r="D222" s="1" t="s">
        <v>306</v>
      </c>
      <c r="E222" s="1" t="s">
        <v>60</v>
      </c>
      <c r="F222" s="1" t="s">
        <v>61</v>
      </c>
      <c r="G222" s="1" t="s">
        <v>62</v>
      </c>
      <c r="H222" s="1">
        <v>35</v>
      </c>
    </row>
    <row r="223" spans="2:8" ht="12.75">
      <c r="B223" s="1">
        <v>40</v>
      </c>
      <c r="C223" s="1" t="s">
        <v>305</v>
      </c>
      <c r="D223" s="1" t="s">
        <v>306</v>
      </c>
      <c r="E223" s="1" t="s">
        <v>60</v>
      </c>
      <c r="F223" s="1" t="s">
        <v>61</v>
      </c>
      <c r="G223" s="1" t="s">
        <v>62</v>
      </c>
      <c r="H223" s="1">
        <v>39</v>
      </c>
    </row>
    <row r="224" spans="2:8" ht="12.75">
      <c r="B224" s="1">
        <v>41</v>
      </c>
      <c r="C224" s="1" t="s">
        <v>305</v>
      </c>
      <c r="D224" s="1" t="s">
        <v>306</v>
      </c>
      <c r="E224" s="1" t="s">
        <v>60</v>
      </c>
      <c r="F224" s="1" t="s">
        <v>61</v>
      </c>
      <c r="G224" s="1" t="s">
        <v>62</v>
      </c>
      <c r="H224" s="1">
        <v>40</v>
      </c>
    </row>
    <row r="225" spans="2:8" ht="12.75">
      <c r="B225" s="1">
        <v>44</v>
      </c>
      <c r="C225" s="1" t="s">
        <v>305</v>
      </c>
      <c r="D225" s="1" t="s">
        <v>306</v>
      </c>
      <c r="E225" s="1" t="s">
        <v>60</v>
      </c>
      <c r="F225" s="1" t="s">
        <v>61</v>
      </c>
      <c r="G225" s="1" t="s">
        <v>62</v>
      </c>
      <c r="H225" s="1">
        <v>43</v>
      </c>
    </row>
    <row r="226" spans="2:8" ht="12.75">
      <c r="B226" s="1">
        <v>47</v>
      </c>
      <c r="C226" s="1" t="s">
        <v>305</v>
      </c>
      <c r="D226" s="1" t="s">
        <v>306</v>
      </c>
      <c r="E226" s="1" t="s">
        <v>60</v>
      </c>
      <c r="F226" s="1" t="s">
        <v>61</v>
      </c>
      <c r="G226" s="1" t="s">
        <v>62</v>
      </c>
      <c r="H226" s="1">
        <v>46</v>
      </c>
    </row>
    <row r="227" spans="2:8" ht="12.75">
      <c r="B227" s="1">
        <v>52</v>
      </c>
      <c r="C227" s="1" t="s">
        <v>305</v>
      </c>
      <c r="D227" s="1" t="s">
        <v>306</v>
      </c>
      <c r="E227" s="1" t="s">
        <v>60</v>
      </c>
      <c r="F227" s="1" t="s">
        <v>61</v>
      </c>
      <c r="G227" s="1" t="s">
        <v>62</v>
      </c>
      <c r="H227" s="1">
        <v>51</v>
      </c>
    </row>
    <row r="228" spans="2:8" ht="12.75">
      <c r="B228" s="1">
        <v>54</v>
      </c>
      <c r="C228" s="1" t="s">
        <v>305</v>
      </c>
      <c r="D228" s="1" t="s">
        <v>306</v>
      </c>
      <c r="E228" s="1" t="s">
        <v>60</v>
      </c>
      <c r="F228" s="1" t="s">
        <v>61</v>
      </c>
      <c r="G228" s="1" t="s">
        <v>62</v>
      </c>
      <c r="H228" s="1">
        <v>53</v>
      </c>
    </row>
    <row r="229" spans="2:8" ht="12.75">
      <c r="B229" s="1">
        <v>57</v>
      </c>
      <c r="C229" s="1" t="s">
        <v>305</v>
      </c>
      <c r="D229" s="1" t="s">
        <v>306</v>
      </c>
      <c r="E229" s="1" t="s">
        <v>60</v>
      </c>
      <c r="F229" s="1" t="s">
        <v>61</v>
      </c>
      <c r="G229" s="1" t="s">
        <v>62</v>
      </c>
      <c r="H229" s="1">
        <v>56</v>
      </c>
    </row>
    <row r="230" spans="2:8" ht="12.75">
      <c r="B230" s="1">
        <v>64</v>
      </c>
      <c r="C230" s="1" t="s">
        <v>305</v>
      </c>
      <c r="D230" s="1" t="s">
        <v>306</v>
      </c>
      <c r="E230" s="1" t="s">
        <v>60</v>
      </c>
      <c r="F230" s="1" t="s">
        <v>61</v>
      </c>
      <c r="G230" s="1" t="s">
        <v>62</v>
      </c>
      <c r="H230" s="1">
        <v>63</v>
      </c>
    </row>
    <row r="231" spans="2:8" ht="12.75">
      <c r="B231" s="1">
        <v>68</v>
      </c>
      <c r="C231" s="1" t="s">
        <v>305</v>
      </c>
      <c r="D231" s="1" t="s">
        <v>306</v>
      </c>
      <c r="E231" s="1" t="s">
        <v>60</v>
      </c>
      <c r="F231" s="1" t="s">
        <v>61</v>
      </c>
      <c r="G231" s="1" t="s">
        <v>62</v>
      </c>
      <c r="H231" s="1">
        <v>67</v>
      </c>
    </row>
    <row r="233" spans="2:4" ht="12.75">
      <c r="B233" s="1" t="s">
        <v>52</v>
      </c>
      <c r="C233" s="1" t="s">
        <v>58</v>
      </c>
      <c r="D233" s="1" t="s">
        <v>56</v>
      </c>
    </row>
    <row r="235" spans="2:11" ht="12.75">
      <c r="B235" s="1" t="s">
        <v>52</v>
      </c>
      <c r="C235" s="1" t="s">
        <v>58</v>
      </c>
      <c r="D235" s="1" t="s">
        <v>61</v>
      </c>
      <c r="E235" s="1" t="s">
        <v>181</v>
      </c>
      <c r="F235" s="1" t="s">
        <v>57</v>
      </c>
      <c r="G235" s="1" t="s">
        <v>58</v>
      </c>
      <c r="H235" s="1" t="s">
        <v>59</v>
      </c>
      <c r="I235" s="1" t="s">
        <v>60</v>
      </c>
      <c r="J235" s="1" t="s">
        <v>61</v>
      </c>
      <c r="K235" s="1">
        <v>9</v>
      </c>
    </row>
    <row r="236" ht="12.75">
      <c r="B236" s="1" t="s">
        <v>292</v>
      </c>
    </row>
    <row r="237" spans="2:9" ht="12.75">
      <c r="B237" s="1" t="s">
        <v>50</v>
      </c>
      <c r="C237" s="1" t="s">
        <v>17</v>
      </c>
      <c r="D237" s="1" t="s">
        <v>80</v>
      </c>
      <c r="E237" s="1" t="s">
        <v>81</v>
      </c>
      <c r="F237" s="1" t="s">
        <v>308</v>
      </c>
      <c r="G237" s="1" t="s">
        <v>293</v>
      </c>
      <c r="H237" s="1" t="s">
        <v>294</v>
      </c>
      <c r="I237" s="1" t="s">
        <v>295</v>
      </c>
    </row>
    <row r="238" spans="2:5" ht="12.75">
      <c r="B238" s="1" t="s">
        <v>292</v>
      </c>
      <c r="E238" s="4"/>
    </row>
    <row r="239" spans="2:8" ht="12.75">
      <c r="B239" s="1">
        <v>1</v>
      </c>
      <c r="C239" s="1">
        <v>38.149974</v>
      </c>
      <c r="D239" s="1">
        <v>56.739172</v>
      </c>
      <c r="E239" s="4">
        <v>-1050.030473</v>
      </c>
      <c r="F239" s="1">
        <v>-0.18293</v>
      </c>
      <c r="G239" s="1">
        <v>0.123</v>
      </c>
      <c r="H239" s="1">
        <v>-0.00039</v>
      </c>
    </row>
    <row r="240" spans="2:8" ht="12.75">
      <c r="B240" s="1">
        <v>2</v>
      </c>
      <c r="C240" s="1">
        <v>0</v>
      </c>
      <c r="D240" s="1">
        <v>0</v>
      </c>
      <c r="E240" s="4">
        <v>16700</v>
      </c>
      <c r="F240" s="1">
        <v>0</v>
      </c>
      <c r="G240" s="1">
        <v>0.123</v>
      </c>
      <c r="H240" s="1">
        <v>0</v>
      </c>
    </row>
    <row r="241" spans="2:8" ht="12.75">
      <c r="B241" s="1">
        <v>3</v>
      </c>
      <c r="C241" s="1">
        <v>0</v>
      </c>
      <c r="D241" s="1">
        <v>0</v>
      </c>
      <c r="E241" s="4">
        <v>16700</v>
      </c>
      <c r="F241" s="1">
        <v>0</v>
      </c>
      <c r="G241" s="1">
        <v>0</v>
      </c>
      <c r="H241" s="1">
        <v>0</v>
      </c>
    </row>
    <row r="242" spans="2:8" ht="12.75">
      <c r="B242" s="1">
        <v>4</v>
      </c>
      <c r="C242" s="1">
        <v>0</v>
      </c>
      <c r="D242" s="1">
        <v>0</v>
      </c>
      <c r="E242" s="1">
        <v>-1050.162</v>
      </c>
      <c r="F242" s="1">
        <v>0</v>
      </c>
      <c r="G242" s="1">
        <v>0</v>
      </c>
      <c r="H242" s="1">
        <v>0</v>
      </c>
    </row>
    <row r="243" spans="2:8" ht="12.75">
      <c r="B243" s="1">
        <v>5</v>
      </c>
      <c r="C243" s="1">
        <v>0</v>
      </c>
      <c r="D243" s="1">
        <v>0</v>
      </c>
      <c r="E243" s="1">
        <v>-3050.162</v>
      </c>
      <c r="F243" s="1">
        <v>0</v>
      </c>
      <c r="G243" s="1">
        <v>0</v>
      </c>
      <c r="H243" s="1">
        <v>0</v>
      </c>
    </row>
    <row r="244" spans="2:8" ht="12.75">
      <c r="B244" s="1">
        <v>6</v>
      </c>
      <c r="C244" s="1">
        <v>0</v>
      </c>
      <c r="D244" s="1">
        <v>0</v>
      </c>
      <c r="E244" s="1">
        <v>-1050.162</v>
      </c>
      <c r="F244" s="1">
        <v>0</v>
      </c>
      <c r="G244" s="1">
        <v>0</v>
      </c>
      <c r="H244" s="1">
        <v>0</v>
      </c>
    </row>
    <row r="245" spans="2:8" ht="12.75">
      <c r="B245" s="1" t="s">
        <v>222</v>
      </c>
      <c r="C245" s="1">
        <v>0</v>
      </c>
      <c r="D245" s="1">
        <v>0</v>
      </c>
      <c r="E245" s="1">
        <v>-2638.131</v>
      </c>
      <c r="F245" s="1">
        <v>0</v>
      </c>
      <c r="G245" s="1">
        <v>0</v>
      </c>
      <c r="H245" s="1">
        <v>0</v>
      </c>
    </row>
    <row r="246" spans="2:8" ht="12.75">
      <c r="B246" s="1">
        <v>8</v>
      </c>
      <c r="C246" s="1">
        <v>0</v>
      </c>
      <c r="D246" s="1">
        <v>0</v>
      </c>
      <c r="E246" s="1">
        <v>-1050.162</v>
      </c>
      <c r="F246" s="1">
        <v>0</v>
      </c>
      <c r="G246" s="1">
        <v>0</v>
      </c>
      <c r="H246" s="1">
        <v>0</v>
      </c>
    </row>
    <row r="247" spans="2:8" ht="12.75">
      <c r="B247" s="1">
        <v>9</v>
      </c>
      <c r="C247" s="1">
        <v>0</v>
      </c>
      <c r="D247" s="1">
        <v>0</v>
      </c>
      <c r="E247" s="1">
        <v>0</v>
      </c>
      <c r="F247" s="1">
        <v>0</v>
      </c>
      <c r="G247" s="1">
        <v>0</v>
      </c>
      <c r="H247" s="1">
        <v>0</v>
      </c>
    </row>
    <row r="248" spans="2:8" ht="12.75">
      <c r="B248" s="1">
        <v>10</v>
      </c>
      <c r="C248" s="1">
        <v>0</v>
      </c>
      <c r="D248" s="1">
        <v>-91.048</v>
      </c>
      <c r="E248" s="1">
        <v>0</v>
      </c>
      <c r="F248" s="1">
        <v>-1.9766</v>
      </c>
      <c r="G248" s="1">
        <v>0</v>
      </c>
      <c r="H248" s="1">
        <v>0</v>
      </c>
    </row>
    <row r="249" spans="2:8" ht="12.75">
      <c r="B249" s="1">
        <v>11</v>
      </c>
      <c r="C249" s="1">
        <v>0</v>
      </c>
      <c r="D249" s="1">
        <v>-243.065859</v>
      </c>
      <c r="E249" s="1">
        <v>78.379337</v>
      </c>
      <c r="F249" s="1">
        <v>-8.6832</v>
      </c>
      <c r="G249" s="1">
        <v>0</v>
      </c>
      <c r="H249" s="1">
        <v>0</v>
      </c>
    </row>
    <row r="250" spans="2:8" ht="12.75">
      <c r="B250" s="1">
        <v>12</v>
      </c>
      <c r="C250" s="1">
        <v>0</v>
      </c>
      <c r="D250" s="1">
        <v>-93.493436</v>
      </c>
      <c r="E250" s="1">
        <v>70.857814</v>
      </c>
      <c r="F250" s="1">
        <v>29.9534</v>
      </c>
      <c r="G250" s="1">
        <v>0</v>
      </c>
      <c r="H250" s="1">
        <v>0</v>
      </c>
    </row>
    <row r="251" spans="2:8" ht="12.75">
      <c r="B251" s="1">
        <v>13</v>
      </c>
      <c r="C251" s="1">
        <v>0</v>
      </c>
      <c r="D251" s="1">
        <v>-200.09302</v>
      </c>
      <c r="E251" s="1">
        <v>-114.125371</v>
      </c>
      <c r="F251" s="1">
        <v>17.9434</v>
      </c>
      <c r="G251" s="1">
        <v>0</v>
      </c>
      <c r="H251" s="1">
        <v>0</v>
      </c>
    </row>
    <row r="252" spans="2:8" ht="12.75">
      <c r="B252" s="1">
        <v>14</v>
      </c>
      <c r="C252" s="1">
        <v>0</v>
      </c>
      <c r="D252" s="1">
        <v>-200.09302</v>
      </c>
      <c r="E252" s="1">
        <v>-114.125371</v>
      </c>
      <c r="F252" s="1">
        <v>17.9434</v>
      </c>
      <c r="G252" s="1">
        <v>0</v>
      </c>
      <c r="H252" s="1">
        <v>0</v>
      </c>
    </row>
    <row r="253" spans="2:8" ht="12.75">
      <c r="B253" s="1">
        <v>15</v>
      </c>
      <c r="C253" s="1">
        <v>0</v>
      </c>
      <c r="D253" s="1">
        <v>-200.09302</v>
      </c>
      <c r="E253" s="1">
        <v>-114.125371</v>
      </c>
      <c r="F253" s="1">
        <v>17.9434</v>
      </c>
      <c r="G253" s="1">
        <v>0</v>
      </c>
      <c r="H253" s="1">
        <v>0</v>
      </c>
    </row>
    <row r="254" spans="2:8" ht="12.75">
      <c r="B254" s="1">
        <v>16</v>
      </c>
      <c r="C254" s="1">
        <v>0</v>
      </c>
      <c r="D254" s="1">
        <v>-200.09302</v>
      </c>
      <c r="E254" s="1">
        <v>-114.125371</v>
      </c>
      <c r="F254" s="1">
        <v>5.9334</v>
      </c>
      <c r="G254" s="1">
        <v>0</v>
      </c>
      <c r="H254" s="1">
        <v>0</v>
      </c>
    </row>
    <row r="255" spans="2:8" ht="12.75">
      <c r="B255" s="1">
        <v>17</v>
      </c>
      <c r="C255" s="1">
        <v>0</v>
      </c>
      <c r="D255" s="1">
        <v>-179.687314</v>
      </c>
      <c r="E255" s="1">
        <v>82.217104</v>
      </c>
      <c r="F255" s="1">
        <v>15.1454</v>
      </c>
      <c r="G255" s="1">
        <v>0</v>
      </c>
      <c r="H255" s="1">
        <v>0</v>
      </c>
    </row>
    <row r="256" spans="2:8" ht="12.75">
      <c r="B256" s="1">
        <v>18</v>
      </c>
      <c r="C256" s="1">
        <v>0</v>
      </c>
      <c r="D256" s="1">
        <v>-179.687314</v>
      </c>
      <c r="E256" s="1">
        <v>82.217104</v>
      </c>
      <c r="F256" s="1">
        <v>24.3574</v>
      </c>
      <c r="G256" s="1">
        <v>0</v>
      </c>
      <c r="H256" s="1">
        <v>0</v>
      </c>
    </row>
    <row r="257" spans="2:8" ht="12.75">
      <c r="B257" s="1">
        <v>19</v>
      </c>
      <c r="C257" s="1">
        <v>0</v>
      </c>
      <c r="D257" s="1">
        <v>-259.533222</v>
      </c>
      <c r="E257" s="1">
        <v>-94.150668</v>
      </c>
      <c r="F257" s="1">
        <v>0</v>
      </c>
      <c r="G257" s="1">
        <v>0</v>
      </c>
      <c r="H257" s="1">
        <v>0</v>
      </c>
    </row>
    <row r="258" spans="2:8" ht="12.75">
      <c r="B258" s="1">
        <v>20</v>
      </c>
      <c r="C258" s="1">
        <v>33.82</v>
      </c>
      <c r="D258" s="1">
        <v>-263.975222</v>
      </c>
      <c r="E258" s="1">
        <v>-104.150668</v>
      </c>
      <c r="F258" s="1">
        <v>0</v>
      </c>
      <c r="G258" s="1">
        <v>0</v>
      </c>
      <c r="H258" s="1">
        <v>74</v>
      </c>
    </row>
    <row r="259" spans="2:8" ht="12.75">
      <c r="B259" s="1">
        <v>21</v>
      </c>
      <c r="C259" s="1">
        <v>33.82</v>
      </c>
      <c r="D259" s="1">
        <v>-263.975222</v>
      </c>
      <c r="E259" s="1">
        <v>-104.150668</v>
      </c>
      <c r="F259" s="1">
        <v>15.4102</v>
      </c>
      <c r="G259" s="1">
        <v>-42.82135</v>
      </c>
      <c r="H259" s="1">
        <v>67.9265</v>
      </c>
    </row>
    <row r="260" spans="2:8" ht="12.75">
      <c r="B260" s="1">
        <v>22</v>
      </c>
      <c r="C260" s="1">
        <v>33.82</v>
      </c>
      <c r="D260" s="1">
        <v>-263.975222</v>
      </c>
      <c r="E260" s="1">
        <v>-104.150668</v>
      </c>
      <c r="F260" s="1">
        <v>39.32223</v>
      </c>
      <c r="G260" s="1">
        <v>-45.23104</v>
      </c>
      <c r="H260" s="1">
        <v>75.83281</v>
      </c>
    </row>
    <row r="261" spans="2:8" ht="12.75">
      <c r="B261" s="1">
        <v>23</v>
      </c>
      <c r="C261" s="1">
        <v>33.82</v>
      </c>
      <c r="D261" s="1">
        <v>-263.975222</v>
      </c>
      <c r="E261" s="1">
        <v>-104.150668</v>
      </c>
      <c r="F261" s="1">
        <v>15.4102</v>
      </c>
      <c r="G261" s="1">
        <v>-42.82135</v>
      </c>
      <c r="H261" s="1">
        <v>67.9265</v>
      </c>
    </row>
    <row r="262" spans="2:8" ht="12.75">
      <c r="B262" s="1">
        <v>24</v>
      </c>
      <c r="C262" s="1">
        <v>33.82</v>
      </c>
      <c r="D262" s="1">
        <v>-263.975222</v>
      </c>
      <c r="E262" s="1">
        <v>-104.150668</v>
      </c>
      <c r="F262" s="1">
        <v>105.93544</v>
      </c>
      <c r="G262" s="1">
        <v>-73.39516</v>
      </c>
      <c r="H262" s="1">
        <v>-15.30268</v>
      </c>
    </row>
    <row r="263" spans="2:8" ht="12.75">
      <c r="B263" s="1">
        <v>25</v>
      </c>
      <c r="C263" s="1">
        <v>141.695656</v>
      </c>
      <c r="D263" s="1">
        <v>-233.042376</v>
      </c>
      <c r="E263" s="1">
        <v>-112.982809</v>
      </c>
      <c r="F263" s="1">
        <v>105.93544</v>
      </c>
      <c r="G263" s="1">
        <v>-73.39516</v>
      </c>
      <c r="H263" s="1">
        <v>-15.30268</v>
      </c>
    </row>
    <row r="264" spans="2:8" ht="12.75">
      <c r="B264" s="1">
        <v>26</v>
      </c>
      <c r="C264" s="1">
        <v>141.695656</v>
      </c>
      <c r="D264" s="1">
        <v>-233.042376</v>
      </c>
      <c r="E264" s="1">
        <v>-112.982809</v>
      </c>
      <c r="F264" s="1">
        <v>138.95995</v>
      </c>
      <c r="G264" s="1">
        <v>-48.8373</v>
      </c>
      <c r="H264" s="1">
        <v>-47.8363</v>
      </c>
    </row>
    <row r="265" spans="2:8" ht="12.75">
      <c r="B265" s="1">
        <v>27</v>
      </c>
      <c r="C265" s="1">
        <v>141.695656</v>
      </c>
      <c r="D265" s="1">
        <v>-233.042376</v>
      </c>
      <c r="E265" s="1">
        <v>-112.982809</v>
      </c>
      <c r="F265" s="1">
        <v>105.93544</v>
      </c>
      <c r="G265" s="1">
        <v>-73.39516</v>
      </c>
      <c r="H265" s="1">
        <v>-15.30268</v>
      </c>
    </row>
    <row r="266" spans="2:8" ht="12.75">
      <c r="B266" s="1">
        <v>28</v>
      </c>
      <c r="C266" s="1">
        <v>170.856678</v>
      </c>
      <c r="D266" s="1">
        <v>-224.680587</v>
      </c>
      <c r="E266" s="1">
        <v>-115.370319</v>
      </c>
      <c r="F266" s="1">
        <v>17.88644</v>
      </c>
      <c r="G266" s="1">
        <v>-46.96602</v>
      </c>
      <c r="H266" s="1">
        <v>66.1775</v>
      </c>
    </row>
    <row r="267" spans="2:8" ht="12.75">
      <c r="B267" s="1">
        <v>29</v>
      </c>
      <c r="C267" s="1">
        <v>170.856678</v>
      </c>
      <c r="D267" s="1">
        <v>-224.680587</v>
      </c>
      <c r="E267" s="1">
        <v>-115.370319</v>
      </c>
      <c r="F267" s="1">
        <v>17.88644</v>
      </c>
      <c r="G267" s="1">
        <v>-46.96602</v>
      </c>
      <c r="H267" s="1">
        <v>66.1775</v>
      </c>
    </row>
    <row r="268" spans="2:8" ht="12.75">
      <c r="B268" s="1">
        <v>30</v>
      </c>
      <c r="C268" s="1">
        <v>170.856678</v>
      </c>
      <c r="D268" s="1">
        <v>-224.680587</v>
      </c>
      <c r="E268" s="1">
        <v>-115.370319</v>
      </c>
      <c r="F268" s="1">
        <v>26.32607</v>
      </c>
      <c r="G268" s="1">
        <v>136.53886</v>
      </c>
      <c r="H268" s="1">
        <v>-60.20592</v>
      </c>
    </row>
    <row r="269" spans="2:8" ht="12.75">
      <c r="B269" s="1">
        <v>31</v>
      </c>
      <c r="C269" s="1">
        <v>170.856678</v>
      </c>
      <c r="D269" s="1">
        <v>-224.680587</v>
      </c>
      <c r="E269" s="1">
        <v>-115.370319</v>
      </c>
      <c r="F269" s="1">
        <v>17.88644</v>
      </c>
      <c r="G269" s="1">
        <v>-46.96602</v>
      </c>
      <c r="H269" s="1">
        <v>66.1775</v>
      </c>
    </row>
    <row r="270" spans="2:8" ht="12.75">
      <c r="B270" s="1">
        <v>32</v>
      </c>
      <c r="C270" s="1">
        <v>170.856678</v>
      </c>
      <c r="D270" s="1">
        <v>-224.680587</v>
      </c>
      <c r="E270" s="1">
        <v>-115.370319</v>
      </c>
      <c r="F270" s="1">
        <v>0</v>
      </c>
      <c r="G270" s="1">
        <v>0</v>
      </c>
      <c r="H270" s="1">
        <v>74</v>
      </c>
    </row>
    <row r="271" spans="2:8" ht="12.75">
      <c r="B271" s="1">
        <v>33</v>
      </c>
      <c r="C271" s="1">
        <v>170.856678</v>
      </c>
      <c r="D271" s="1">
        <v>-224.680587</v>
      </c>
      <c r="E271" s="1">
        <v>-115.370319</v>
      </c>
      <c r="F271" s="1">
        <v>0</v>
      </c>
      <c r="G271" s="1">
        <v>0</v>
      </c>
      <c r="H271" s="1">
        <v>0</v>
      </c>
    </row>
    <row r="272" spans="2:8" ht="12.75">
      <c r="B272" s="1">
        <v>34</v>
      </c>
      <c r="C272" s="1">
        <v>170.856678</v>
      </c>
      <c r="D272" s="1">
        <v>-224.680587</v>
      </c>
      <c r="E272" s="1">
        <v>-115.370319</v>
      </c>
      <c r="F272" s="1">
        <v>10</v>
      </c>
      <c r="G272" s="1">
        <v>0</v>
      </c>
      <c r="H272" s="1">
        <v>0</v>
      </c>
    </row>
    <row r="273" spans="2:8" ht="12.75">
      <c r="B273" s="1">
        <v>35</v>
      </c>
      <c r="C273" s="1">
        <v>170.856678</v>
      </c>
      <c r="D273" s="1">
        <v>-234.578533</v>
      </c>
      <c r="E273" s="1">
        <v>-171.504361</v>
      </c>
      <c r="F273" s="1">
        <v>-10</v>
      </c>
      <c r="G273" s="1">
        <v>0</v>
      </c>
      <c r="H273" s="1">
        <v>0</v>
      </c>
    </row>
    <row r="274" spans="2:8" ht="12.75">
      <c r="B274" s="1">
        <v>36</v>
      </c>
      <c r="C274" s="1">
        <v>170.856678</v>
      </c>
      <c r="D274" s="1">
        <v>-234.578533</v>
      </c>
      <c r="E274" s="1">
        <v>-171.504361</v>
      </c>
      <c r="F274" s="1">
        <v>-10</v>
      </c>
      <c r="G274" s="1">
        <v>0</v>
      </c>
      <c r="H274" s="1">
        <v>-6.22</v>
      </c>
    </row>
    <row r="275" spans="2:8" ht="12.75">
      <c r="B275" s="1">
        <v>37</v>
      </c>
      <c r="C275" s="1">
        <v>170.856678</v>
      </c>
      <c r="D275" s="1">
        <v>-234.578533</v>
      </c>
      <c r="E275" s="1">
        <v>-171.504361</v>
      </c>
      <c r="F275" s="1">
        <v>-10</v>
      </c>
      <c r="G275" s="1">
        <v>0</v>
      </c>
      <c r="H275" s="1">
        <v>0</v>
      </c>
    </row>
    <row r="276" spans="2:8" ht="12.75">
      <c r="B276" s="1">
        <v>38</v>
      </c>
      <c r="C276" s="1">
        <v>170.856678</v>
      </c>
      <c r="D276" s="1">
        <v>-234.578533</v>
      </c>
      <c r="E276" s="1">
        <v>-171.504361</v>
      </c>
      <c r="F276" s="1">
        <v>-30</v>
      </c>
      <c r="G276" s="1">
        <v>0</v>
      </c>
      <c r="H276" s="1">
        <v>0</v>
      </c>
    </row>
    <row r="277" spans="2:8" ht="12.75">
      <c r="B277" s="1">
        <v>39</v>
      </c>
      <c r="C277" s="1">
        <v>170.856678</v>
      </c>
      <c r="D277" s="1">
        <v>-321.398533</v>
      </c>
      <c r="E277" s="1">
        <v>-21.12771</v>
      </c>
      <c r="F277" s="1">
        <v>0</v>
      </c>
      <c r="G277" s="1">
        <v>0</v>
      </c>
      <c r="H277" s="1">
        <v>0</v>
      </c>
    </row>
    <row r="278" spans="2:8" ht="12.75">
      <c r="B278" s="1">
        <v>40</v>
      </c>
      <c r="C278" s="1">
        <v>170.856678</v>
      </c>
      <c r="D278" s="1">
        <v>-321.398533</v>
      </c>
      <c r="E278" s="1">
        <v>-21.12771</v>
      </c>
      <c r="F278" s="1">
        <v>60</v>
      </c>
      <c r="G278" s="1">
        <v>0</v>
      </c>
      <c r="H278" s="1">
        <v>0</v>
      </c>
    </row>
    <row r="279" spans="2:8" ht="12.75">
      <c r="B279" s="1">
        <v>41</v>
      </c>
      <c r="C279" s="1">
        <v>170.856678</v>
      </c>
      <c r="D279" s="1">
        <v>-341.398533</v>
      </c>
      <c r="E279" s="1">
        <v>13.513306</v>
      </c>
      <c r="F279" s="1">
        <v>-30</v>
      </c>
      <c r="G279" s="1">
        <v>0</v>
      </c>
      <c r="H279" s="1">
        <v>0</v>
      </c>
    </row>
    <row r="280" spans="2:8" ht="12.75">
      <c r="B280" s="1">
        <v>42</v>
      </c>
      <c r="C280" s="1">
        <v>170.856678</v>
      </c>
      <c r="D280" s="1">
        <v>-341.398533</v>
      </c>
      <c r="E280" s="1">
        <v>13.513306</v>
      </c>
      <c r="F280" s="1">
        <v>-30</v>
      </c>
      <c r="G280" s="1">
        <v>0</v>
      </c>
      <c r="H280" s="1">
        <v>0</v>
      </c>
    </row>
    <row r="281" spans="2:8" ht="12.75">
      <c r="B281" s="1">
        <v>43</v>
      </c>
      <c r="C281" s="1">
        <v>170.856678</v>
      </c>
      <c r="D281" s="1">
        <v>-407.998533</v>
      </c>
      <c r="E281" s="1">
        <v>128.86789</v>
      </c>
      <c r="F281" s="1">
        <v>-15</v>
      </c>
      <c r="G281" s="1">
        <v>0</v>
      </c>
      <c r="H281" s="1">
        <v>0</v>
      </c>
    </row>
    <row r="282" spans="2:8" ht="12.75">
      <c r="B282" s="1">
        <v>44</v>
      </c>
      <c r="C282" s="1">
        <v>170.856678</v>
      </c>
      <c r="D282" s="1">
        <v>-407.998533</v>
      </c>
      <c r="E282" s="1">
        <v>128.86789</v>
      </c>
      <c r="F282" s="1">
        <v>0</v>
      </c>
      <c r="G282" s="1">
        <v>0</v>
      </c>
      <c r="H282" s="1">
        <v>0</v>
      </c>
    </row>
    <row r="283" spans="2:8" ht="12.75">
      <c r="B283" s="1">
        <v>45</v>
      </c>
      <c r="C283" s="1">
        <v>170.856678</v>
      </c>
      <c r="D283" s="1">
        <v>-407.998533</v>
      </c>
      <c r="E283" s="1">
        <v>-21.13211</v>
      </c>
      <c r="F283" s="1">
        <v>0</v>
      </c>
      <c r="G283" s="1">
        <v>0</v>
      </c>
      <c r="H283" s="1">
        <v>0</v>
      </c>
    </row>
    <row r="284" spans="2:8" ht="12.75">
      <c r="B284" s="1">
        <v>46</v>
      </c>
      <c r="C284" s="1">
        <v>170.856678</v>
      </c>
      <c r="D284" s="1">
        <v>-407.998533</v>
      </c>
      <c r="E284" s="1">
        <v>3.86789</v>
      </c>
      <c r="F284" s="1">
        <v>-45</v>
      </c>
      <c r="G284" s="1">
        <v>0</v>
      </c>
      <c r="H284" s="1">
        <v>0</v>
      </c>
    </row>
    <row r="285" spans="2:8" ht="12.75">
      <c r="B285" s="1">
        <v>47</v>
      </c>
      <c r="C285" s="1">
        <v>170.856678</v>
      </c>
      <c r="D285" s="1">
        <v>-407.998533</v>
      </c>
      <c r="E285" s="1">
        <v>3.86789</v>
      </c>
      <c r="F285" s="1">
        <v>-90</v>
      </c>
      <c r="G285" s="1">
        <v>0</v>
      </c>
      <c r="H285" s="1">
        <v>0</v>
      </c>
    </row>
    <row r="286" spans="2:8" ht="12.75">
      <c r="B286" s="1">
        <v>48</v>
      </c>
      <c r="C286" s="1">
        <v>170.856678</v>
      </c>
      <c r="D286" s="1">
        <v>-432.998533</v>
      </c>
      <c r="E286" s="1">
        <v>3.86789</v>
      </c>
      <c r="F286" s="1">
        <v>-90</v>
      </c>
      <c r="G286" s="1">
        <v>0</v>
      </c>
      <c r="H286" s="1">
        <v>0</v>
      </c>
    </row>
    <row r="287" spans="2:8" ht="12.75">
      <c r="B287" s="1">
        <v>49</v>
      </c>
      <c r="C287" s="1">
        <v>170.856678</v>
      </c>
      <c r="D287" s="1">
        <v>-432.998533</v>
      </c>
      <c r="E287" s="1">
        <v>3.86789</v>
      </c>
      <c r="F287" s="1">
        <v>-90</v>
      </c>
      <c r="G287" s="1">
        <v>0</v>
      </c>
      <c r="H287" s="1">
        <v>0</v>
      </c>
    </row>
    <row r="288" spans="2:8" ht="12.75">
      <c r="B288" s="1">
        <v>50</v>
      </c>
      <c r="C288" s="1">
        <v>170.856678</v>
      </c>
      <c r="D288" s="1">
        <v>-457.998533</v>
      </c>
      <c r="E288" s="1">
        <v>3.86789</v>
      </c>
      <c r="F288" s="1">
        <v>-135</v>
      </c>
      <c r="G288" s="1">
        <v>0</v>
      </c>
      <c r="H288" s="1">
        <v>0</v>
      </c>
    </row>
    <row r="289" spans="2:8" ht="12.75">
      <c r="B289" s="1">
        <v>51</v>
      </c>
      <c r="C289" s="1">
        <v>170.856678</v>
      </c>
      <c r="D289" s="1">
        <v>-457.998533</v>
      </c>
      <c r="E289" s="1">
        <v>3.86789</v>
      </c>
      <c r="F289" s="1">
        <v>-135</v>
      </c>
      <c r="G289" s="1">
        <v>-45</v>
      </c>
      <c r="H289" s="1">
        <v>0</v>
      </c>
    </row>
    <row r="290" spans="2:8" ht="12.75">
      <c r="B290" s="1">
        <v>52</v>
      </c>
      <c r="C290" s="1">
        <v>170.856678</v>
      </c>
      <c r="D290" s="1">
        <v>-457.998533</v>
      </c>
      <c r="E290" s="1">
        <v>3.86789</v>
      </c>
      <c r="F290" s="1">
        <v>-135</v>
      </c>
      <c r="G290" s="1">
        <v>0</v>
      </c>
      <c r="H290" s="4">
        <v>0</v>
      </c>
    </row>
    <row r="291" spans="2:8" ht="12.75">
      <c r="B291" s="1">
        <v>53</v>
      </c>
      <c r="C291" s="1">
        <v>170.856678</v>
      </c>
      <c r="D291" s="1">
        <v>-457.998533</v>
      </c>
      <c r="E291" s="1">
        <v>3.86789</v>
      </c>
      <c r="F291" s="1">
        <v>-135</v>
      </c>
      <c r="G291" s="1">
        <v>45</v>
      </c>
      <c r="H291" s="4">
        <v>0</v>
      </c>
    </row>
    <row r="292" spans="2:8" ht="12.75">
      <c r="B292" s="1">
        <v>54</v>
      </c>
      <c r="C292" s="1">
        <v>170.856678</v>
      </c>
      <c r="D292" s="1">
        <v>-457.998533</v>
      </c>
      <c r="E292" s="1">
        <v>3.86789</v>
      </c>
      <c r="F292" s="1">
        <v>180</v>
      </c>
      <c r="G292" s="1">
        <v>0</v>
      </c>
      <c r="H292" s="4">
        <v>-8.54E-07</v>
      </c>
    </row>
    <row r="293" spans="2:8" ht="12.75">
      <c r="B293" s="1">
        <v>55</v>
      </c>
      <c r="C293" s="1">
        <v>170.856678</v>
      </c>
      <c r="D293" s="1">
        <v>-457.998533</v>
      </c>
      <c r="E293" s="1">
        <v>-21.13211</v>
      </c>
      <c r="F293" s="1">
        <v>180</v>
      </c>
      <c r="G293" s="1">
        <v>0</v>
      </c>
      <c r="H293" s="4">
        <v>-7.39E-07</v>
      </c>
    </row>
    <row r="294" spans="2:8" ht="12.75">
      <c r="B294" s="1">
        <v>56</v>
      </c>
      <c r="C294" s="1">
        <v>170.856678</v>
      </c>
      <c r="D294" s="1">
        <v>-457.998533</v>
      </c>
      <c r="E294" s="1">
        <v>128.86789</v>
      </c>
      <c r="F294" s="1">
        <v>-165</v>
      </c>
      <c r="G294" s="1">
        <v>0</v>
      </c>
      <c r="H294" s="1">
        <v>0</v>
      </c>
    </row>
    <row r="295" spans="2:8" ht="12.75">
      <c r="B295" s="1">
        <v>57</v>
      </c>
      <c r="C295" s="1">
        <v>170.856678</v>
      </c>
      <c r="D295" s="1">
        <v>-457.998533</v>
      </c>
      <c r="E295" s="1">
        <v>128.86789</v>
      </c>
      <c r="F295" s="1">
        <v>-150</v>
      </c>
      <c r="G295" s="1">
        <v>0</v>
      </c>
      <c r="H295" s="1">
        <v>0</v>
      </c>
    </row>
    <row r="296" spans="2:8" ht="12.75">
      <c r="B296" s="1">
        <v>58</v>
      </c>
      <c r="C296" s="1">
        <v>170.856678</v>
      </c>
      <c r="D296" s="1">
        <v>-524.598533</v>
      </c>
      <c r="E296" s="1">
        <v>13.513306</v>
      </c>
      <c r="F296" s="1">
        <v>-150</v>
      </c>
      <c r="G296" s="1">
        <v>0</v>
      </c>
      <c r="H296" s="4">
        <v>0</v>
      </c>
    </row>
    <row r="297" spans="2:8" ht="12.75">
      <c r="B297" s="1">
        <v>59</v>
      </c>
      <c r="C297" s="1">
        <v>170.856678</v>
      </c>
      <c r="D297" s="1">
        <v>-524.598533</v>
      </c>
      <c r="E297" s="1">
        <v>13.513306</v>
      </c>
      <c r="F297" s="1">
        <v>-150</v>
      </c>
      <c r="G297" s="1">
        <v>0</v>
      </c>
      <c r="H297" s="1">
        <v>0</v>
      </c>
    </row>
    <row r="298" spans="2:8" ht="12.75">
      <c r="B298" s="1">
        <v>60</v>
      </c>
      <c r="C298" s="1">
        <v>170.856678</v>
      </c>
      <c r="D298" s="1">
        <v>-544.598533</v>
      </c>
      <c r="E298" s="1">
        <v>-21.12771</v>
      </c>
      <c r="F298" s="1">
        <v>180</v>
      </c>
      <c r="G298" s="1">
        <v>0</v>
      </c>
      <c r="H298" s="4">
        <v>-8.54E-07</v>
      </c>
    </row>
    <row r="299" spans="2:8" ht="12.75">
      <c r="B299" s="1">
        <v>61</v>
      </c>
      <c r="C299" s="1">
        <v>170.856678</v>
      </c>
      <c r="D299" s="1">
        <v>-544.598533</v>
      </c>
      <c r="E299" s="1">
        <v>-21.12771</v>
      </c>
      <c r="F299" s="1">
        <v>150</v>
      </c>
      <c r="G299" s="1">
        <v>0</v>
      </c>
      <c r="H299" s="1">
        <v>0</v>
      </c>
    </row>
    <row r="300" spans="2:8" ht="12.75">
      <c r="B300" s="1">
        <v>62</v>
      </c>
      <c r="C300" s="1">
        <v>170.856678</v>
      </c>
      <c r="D300" s="1">
        <v>-620.588533</v>
      </c>
      <c r="E300" s="1">
        <v>110.490831</v>
      </c>
      <c r="F300" s="1">
        <v>170</v>
      </c>
      <c r="G300" s="1">
        <v>0</v>
      </c>
      <c r="H300" s="1">
        <v>0</v>
      </c>
    </row>
    <row r="301" spans="2:8" ht="12.75">
      <c r="B301" s="1">
        <v>63</v>
      </c>
      <c r="C301" s="1">
        <v>170.856678</v>
      </c>
      <c r="D301" s="1">
        <v>-620.588533</v>
      </c>
      <c r="E301" s="1">
        <v>110.490831</v>
      </c>
      <c r="F301" s="1">
        <v>170</v>
      </c>
      <c r="G301" s="1">
        <v>0</v>
      </c>
      <c r="H301" s="1">
        <v>-1.79</v>
      </c>
    </row>
    <row r="302" spans="2:8" ht="12.75">
      <c r="B302" s="1">
        <v>64</v>
      </c>
      <c r="C302" s="1">
        <v>170.856678</v>
      </c>
      <c r="D302" s="1">
        <v>-620.588533</v>
      </c>
      <c r="E302" s="1">
        <v>110.490831</v>
      </c>
      <c r="F302" s="1">
        <v>170</v>
      </c>
      <c r="G302" s="1">
        <v>0</v>
      </c>
      <c r="H302" s="1">
        <v>0</v>
      </c>
    </row>
    <row r="303" spans="2:8" ht="12.75">
      <c r="B303" s="1">
        <v>65</v>
      </c>
      <c r="C303" s="1">
        <v>170.856678</v>
      </c>
      <c r="D303" s="1">
        <v>-620.588533</v>
      </c>
      <c r="E303" s="1">
        <v>110.490831</v>
      </c>
      <c r="F303" s="1">
        <v>-170</v>
      </c>
      <c r="G303" s="1">
        <v>0</v>
      </c>
      <c r="H303" s="1">
        <v>0</v>
      </c>
    </row>
    <row r="304" spans="2:8" ht="12.75">
      <c r="B304" s="1">
        <v>66</v>
      </c>
      <c r="C304" s="1">
        <v>170.856678</v>
      </c>
      <c r="D304" s="1">
        <v>-631.007424</v>
      </c>
      <c r="E304" s="1">
        <v>51.402366</v>
      </c>
      <c r="F304" s="1">
        <v>-170</v>
      </c>
      <c r="G304" s="1">
        <v>0</v>
      </c>
      <c r="H304" s="1">
        <v>0</v>
      </c>
    </row>
    <row r="305" spans="2:8" ht="12.75">
      <c r="B305" s="1">
        <v>67</v>
      </c>
      <c r="C305" s="1">
        <v>170.856678</v>
      </c>
      <c r="D305" s="1">
        <v>-636.663145</v>
      </c>
      <c r="E305" s="1">
        <v>19.327177</v>
      </c>
      <c r="F305" s="1">
        <v>-170</v>
      </c>
      <c r="G305" s="1">
        <v>45</v>
      </c>
      <c r="H305" s="1">
        <v>0</v>
      </c>
    </row>
    <row r="306" spans="2:8" ht="12.75">
      <c r="B306" s="1">
        <v>68</v>
      </c>
      <c r="C306" s="1">
        <v>170.856678</v>
      </c>
      <c r="D306" s="1">
        <v>-636.663145</v>
      </c>
      <c r="E306" s="1">
        <v>19.327177</v>
      </c>
      <c r="F306" s="1">
        <v>82.43122</v>
      </c>
      <c r="G306" s="1">
        <v>90</v>
      </c>
      <c r="H306" s="1">
        <v>-108.3757</v>
      </c>
    </row>
    <row r="307" spans="2:8" ht="12.75">
      <c r="B307" s="1">
        <v>69</v>
      </c>
      <c r="C307" s="1">
        <v>250.856678</v>
      </c>
      <c r="D307" s="1">
        <v>-636.663145</v>
      </c>
      <c r="E307" s="1">
        <v>19.327177</v>
      </c>
      <c r="F307" s="1">
        <v>82.43122</v>
      </c>
      <c r="G307" s="1">
        <v>90</v>
      </c>
      <c r="H307" s="1">
        <v>-108.3757</v>
      </c>
    </row>
    <row r="308" spans="2:8" ht="12.75">
      <c r="B308" s="1">
        <v>70</v>
      </c>
      <c r="C308" s="1">
        <v>250.856678</v>
      </c>
      <c r="D308" s="1">
        <v>-636.663145</v>
      </c>
      <c r="E308" s="1">
        <v>19.327177</v>
      </c>
      <c r="F308" s="1">
        <v>82.43122</v>
      </c>
      <c r="G308" s="1">
        <v>90</v>
      </c>
      <c r="H308" s="1">
        <v>-108.3757</v>
      </c>
    </row>
    <row r="310" spans="2:13" ht="12.75">
      <c r="B310" s="1" t="s">
        <v>309</v>
      </c>
      <c r="C310" s="1" t="s">
        <v>310</v>
      </c>
      <c r="D310" s="1" t="s">
        <v>311</v>
      </c>
      <c r="E310" s="1" t="s">
        <v>312</v>
      </c>
      <c r="F310" s="1" t="s">
        <v>313</v>
      </c>
      <c r="G310" s="1" t="s">
        <v>314</v>
      </c>
      <c r="H310" s="1" t="s">
        <v>315</v>
      </c>
      <c r="I310" s="1" t="s">
        <v>316</v>
      </c>
      <c r="J310" s="1" t="s">
        <v>317</v>
      </c>
      <c r="K310" s="1" t="s">
        <v>318</v>
      </c>
      <c r="L310" s="1" t="s">
        <v>319</v>
      </c>
      <c r="M310" s="1" t="s">
        <v>320</v>
      </c>
    </row>
    <row r="311" ht="12.75">
      <c r="B311" s="1" t="s">
        <v>39</v>
      </c>
    </row>
    <row r="312" ht="12.75">
      <c r="B312" s="1" t="s">
        <v>39</v>
      </c>
    </row>
    <row r="313" spans="2:4" ht="12.75">
      <c r="B313" s="1" t="s">
        <v>39</v>
      </c>
      <c r="C313" s="1" t="s">
        <v>85</v>
      </c>
      <c r="D313" s="1" t="s">
        <v>86</v>
      </c>
    </row>
  </sheetData>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&amp;L&amp;F, &amp;A&amp;R&amp;T, &amp;D</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B1:J95"/>
  <sheetViews>
    <sheetView workbookViewId="0" topLeftCell="A1">
      <selection activeCell="A1" sqref="A1:IV16384"/>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422</v>
      </c>
      <c r="J4" s="1" t="s">
        <v>423</v>
      </c>
    </row>
    <row r="6" spans="2:3" ht="12.75">
      <c r="B6" s="1" t="s">
        <v>39</v>
      </c>
      <c r="C6" s="1" t="s">
        <v>48</v>
      </c>
    </row>
    <row r="7" spans="2:3" ht="12.75">
      <c r="B7" s="2">
        <v>36775</v>
      </c>
      <c r="C7" s="3">
        <v>0.41528935185185184</v>
      </c>
    </row>
    <row r="8" ht="12.75">
      <c r="B8" s="1" t="s">
        <v>39</v>
      </c>
    </row>
    <row r="9" spans="2:10" ht="12.75">
      <c r="B9" s="1" t="s">
        <v>39</v>
      </c>
      <c r="C9" s="1" t="s">
        <v>49</v>
      </c>
      <c r="D9" s="1">
        <v>2</v>
      </c>
      <c r="E9" s="1">
        <v>0</v>
      </c>
      <c r="F9" s="1">
        <v>0</v>
      </c>
      <c r="G9" s="1">
        <v>0</v>
      </c>
      <c r="H9" s="1" t="s">
        <v>50</v>
      </c>
      <c r="I9" s="1">
        <v>0</v>
      </c>
      <c r="J9" s="1" t="s">
        <v>51</v>
      </c>
    </row>
    <row r="10" spans="2:8" ht="12.75">
      <c r="B10" s="1" t="s">
        <v>44</v>
      </c>
      <c r="C10" s="1" t="s">
        <v>46</v>
      </c>
      <c r="D10" s="1" t="s">
        <v>422</v>
      </c>
      <c r="E10" s="1" t="s">
        <v>423</v>
      </c>
      <c r="F10" s="1">
        <v>216</v>
      </c>
      <c r="G10" s="2">
        <v>36775</v>
      </c>
      <c r="H10" s="3">
        <v>0.41528935185185184</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v>
      </c>
      <c r="G16" s="1" t="s">
        <v>67</v>
      </c>
      <c r="H16" s="1">
        <v>0</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36.846967</v>
      </c>
      <c r="D23" s="1">
        <v>54.801254</v>
      </c>
      <c r="E23" s="1">
        <v>-1050.039457</v>
      </c>
      <c r="F23" s="1">
        <v>-0.002147</v>
      </c>
      <c r="G23" s="1">
        <v>-0.003193</v>
      </c>
    </row>
    <row r="24" spans="2:7" ht="12.75">
      <c r="B24" s="1">
        <v>2</v>
      </c>
      <c r="C24" s="1">
        <v>-1.30302</v>
      </c>
      <c r="D24" s="1">
        <v>-1.937938</v>
      </c>
      <c r="E24" s="1">
        <v>16720.9352</v>
      </c>
      <c r="F24" s="1">
        <v>-0.002147</v>
      </c>
      <c r="G24" s="1">
        <v>-0.003193</v>
      </c>
    </row>
    <row r="25" spans="2:7" ht="12.75">
      <c r="B25" s="1">
        <v>3</v>
      </c>
      <c r="C25" s="1">
        <v>-1.303026</v>
      </c>
      <c r="D25" s="1">
        <v>-1.937947</v>
      </c>
      <c r="E25" s="1">
        <v>16720.938</v>
      </c>
      <c r="F25" s="1">
        <v>-0.002147</v>
      </c>
      <c r="G25" s="1">
        <v>-0.003193</v>
      </c>
    </row>
    <row r="26" spans="2:7" ht="12.75">
      <c r="B26" s="1">
        <v>4</v>
      </c>
      <c r="C26" s="1">
        <v>36.84723</v>
      </c>
      <c r="D26" s="1">
        <v>54.801645</v>
      </c>
      <c r="E26" s="1">
        <v>-1050.162</v>
      </c>
      <c r="F26" s="1">
        <v>-0.002147</v>
      </c>
      <c r="G26" s="1">
        <v>-0.003193</v>
      </c>
    </row>
    <row r="27" spans="2:7" ht="12.75">
      <c r="B27" s="1">
        <v>5</v>
      </c>
      <c r="C27" s="1">
        <v>41.140746</v>
      </c>
      <c r="D27" s="1">
        <v>61.187248</v>
      </c>
      <c r="E27" s="1">
        <v>-3050.162</v>
      </c>
      <c r="F27" s="1">
        <v>-0.002147</v>
      </c>
      <c r="G27" s="1">
        <v>-0.003193</v>
      </c>
    </row>
    <row r="28" spans="2:7" ht="12.75">
      <c r="B28" s="1">
        <v>6</v>
      </c>
      <c r="C28" s="1">
        <v>36.848567</v>
      </c>
      <c r="D28" s="1">
        <v>54.803634</v>
      </c>
      <c r="E28" s="1">
        <v>-1050.785036</v>
      </c>
      <c r="F28" s="1">
        <v>0.023214</v>
      </c>
      <c r="G28" s="1">
        <v>0.034525</v>
      </c>
    </row>
    <row r="29" spans="2:7" ht="12.75">
      <c r="B29" s="1">
        <v>7</v>
      </c>
      <c r="C29" s="4">
        <v>3.77E-13</v>
      </c>
      <c r="D29" s="4">
        <v>-3.62E-13</v>
      </c>
      <c r="E29" s="1">
        <v>-2638.131</v>
      </c>
      <c r="F29" s="1">
        <v>-0.023214</v>
      </c>
      <c r="G29" s="1">
        <v>-0.034525</v>
      </c>
    </row>
    <row r="30" spans="2:7" ht="12.75">
      <c r="B30" s="1">
        <v>8</v>
      </c>
      <c r="C30" s="1">
        <v>-36.86303</v>
      </c>
      <c r="D30" s="1">
        <v>-54.825145</v>
      </c>
      <c r="E30" s="1">
        <v>-1050.162</v>
      </c>
      <c r="F30" s="1">
        <v>-0.023214</v>
      </c>
      <c r="G30" s="1">
        <v>-0.034525</v>
      </c>
    </row>
    <row r="31" spans="2:7" ht="12.75">
      <c r="B31" s="1">
        <v>9</v>
      </c>
      <c r="C31" s="1">
        <v>-60.320777</v>
      </c>
      <c r="D31" s="1">
        <v>-89.713062</v>
      </c>
      <c r="E31" s="1">
        <v>-39.659771</v>
      </c>
      <c r="F31" s="1">
        <v>-0.023214</v>
      </c>
      <c r="G31" s="1">
        <v>-0.034525</v>
      </c>
    </row>
    <row r="32" spans="2:7" ht="12.75">
      <c r="B32" s="1">
        <v>10</v>
      </c>
      <c r="C32" s="1">
        <v>-61.241409</v>
      </c>
      <c r="D32" s="1">
        <v>-91.082288</v>
      </c>
      <c r="E32" s="4">
        <v>-0.001183</v>
      </c>
      <c r="F32" s="1">
        <v>-0.023214</v>
      </c>
      <c r="G32" s="1">
        <v>-0.034525</v>
      </c>
    </row>
    <row r="33" spans="2:7" ht="12.75">
      <c r="B33" s="1">
        <v>11</v>
      </c>
      <c r="C33" s="1">
        <v>-62.761232</v>
      </c>
      <c r="D33" s="1">
        <v>-93.342669</v>
      </c>
      <c r="E33" s="1">
        <v>65.469052</v>
      </c>
      <c r="F33" s="1">
        <v>-0.350914</v>
      </c>
      <c r="G33" s="1">
        <v>0.596191</v>
      </c>
    </row>
    <row r="34" spans="2:7" ht="12.75">
      <c r="B34" s="1">
        <v>12</v>
      </c>
      <c r="C34" s="1">
        <v>-64.145984</v>
      </c>
      <c r="D34" s="1">
        <v>-90.990021</v>
      </c>
      <c r="E34" s="1">
        <v>69.415181</v>
      </c>
      <c r="F34" s="1">
        <v>-0.350914</v>
      </c>
      <c r="G34" s="1">
        <v>0.596191</v>
      </c>
    </row>
    <row r="35" spans="2:7" ht="12.75">
      <c r="B35" s="1">
        <v>13</v>
      </c>
      <c r="C35" s="1">
        <v>0.23026</v>
      </c>
      <c r="D35" s="1">
        <v>-200.363128</v>
      </c>
      <c r="E35" s="1">
        <v>-114.037902</v>
      </c>
      <c r="F35" s="1">
        <v>-0.350914</v>
      </c>
      <c r="G35" s="1">
        <v>0.596191</v>
      </c>
    </row>
    <row r="36" spans="2:7" ht="12.75">
      <c r="B36" s="1">
        <v>14</v>
      </c>
      <c r="C36" s="1">
        <v>0.23026</v>
      </c>
      <c r="D36" s="1">
        <v>-200.363128</v>
      </c>
      <c r="E36" s="1">
        <v>-114.037902</v>
      </c>
      <c r="F36" s="1">
        <v>0.302602</v>
      </c>
      <c r="G36" s="1">
        <v>0.088962</v>
      </c>
    </row>
    <row r="37" spans="2:7" ht="12.75">
      <c r="B37" s="1">
        <v>15</v>
      </c>
      <c r="C37" s="1">
        <v>0.23026</v>
      </c>
      <c r="D37" s="1">
        <v>-200.363128</v>
      </c>
      <c r="E37" s="1">
        <v>-114.037902</v>
      </c>
      <c r="F37" s="1">
        <v>0.302602</v>
      </c>
      <c r="G37" s="1">
        <v>0.088962</v>
      </c>
    </row>
    <row r="38" spans="2:7" ht="12.75">
      <c r="B38" s="1">
        <v>16</v>
      </c>
      <c r="C38" s="1">
        <v>0.212451</v>
      </c>
      <c r="D38" s="1">
        <v>-200.368364</v>
      </c>
      <c r="E38" s="1">
        <v>-114.096754</v>
      </c>
      <c r="F38" s="1">
        <v>0.302602</v>
      </c>
      <c r="G38" s="1">
        <v>0.088962</v>
      </c>
    </row>
    <row r="39" spans="2:7" ht="12.75">
      <c r="B39" s="1">
        <v>17</v>
      </c>
      <c r="C39" s="1">
        <v>58.002151</v>
      </c>
      <c r="D39" s="1">
        <v>-183.378714</v>
      </c>
      <c r="E39" s="1">
        <v>76.879249</v>
      </c>
      <c r="F39" s="1">
        <v>0.133588</v>
      </c>
      <c r="G39" s="1">
        <v>0.445235</v>
      </c>
    </row>
    <row r="40" spans="2:7" ht="12.75">
      <c r="B40" s="1">
        <v>18</v>
      </c>
      <c r="C40" s="1">
        <v>58.7814</v>
      </c>
      <c r="D40" s="1">
        <v>-180.781552</v>
      </c>
      <c r="E40" s="1">
        <v>82.712492</v>
      </c>
      <c r="F40" s="1">
        <v>0.133588</v>
      </c>
      <c r="G40" s="1">
        <v>0.445235</v>
      </c>
    </row>
    <row r="41" spans="2:7" ht="12.75">
      <c r="B41" s="1">
        <v>19</v>
      </c>
      <c r="C41" s="1">
        <v>35.15469</v>
      </c>
      <c r="D41" s="1">
        <v>-259.52714</v>
      </c>
      <c r="E41" s="1">
        <v>-94.150668</v>
      </c>
      <c r="F41" s="1">
        <v>0.133588</v>
      </c>
      <c r="G41" s="1">
        <v>0.445235</v>
      </c>
    </row>
    <row r="42" spans="2:7" ht="12.75">
      <c r="B42" s="1">
        <v>20</v>
      </c>
      <c r="C42" s="1">
        <v>33.818815</v>
      </c>
      <c r="D42" s="1">
        <v>-263.979485</v>
      </c>
      <c r="E42" s="1">
        <v>-104.150668</v>
      </c>
      <c r="F42" s="1">
        <v>0.133588</v>
      </c>
      <c r="G42" s="1">
        <v>0.445235</v>
      </c>
    </row>
    <row r="43" spans="2:7" ht="12.75">
      <c r="B43" s="1">
        <v>21</v>
      </c>
      <c r="C43" s="1">
        <v>33.819062</v>
      </c>
      <c r="D43" s="1">
        <v>-263.978662</v>
      </c>
      <c r="E43" s="1">
        <v>-104.148819</v>
      </c>
      <c r="F43" s="1">
        <v>0.133588</v>
      </c>
      <c r="G43" s="1">
        <v>0.445235</v>
      </c>
    </row>
    <row r="44" spans="2:7" ht="12.75">
      <c r="B44" s="1">
        <v>22</v>
      </c>
      <c r="C44" s="1">
        <v>33.819252</v>
      </c>
      <c r="D44" s="1">
        <v>-263.978028</v>
      </c>
      <c r="E44" s="1">
        <v>-104.147395</v>
      </c>
      <c r="F44" s="1">
        <v>-12.208409</v>
      </c>
      <c r="G44" s="1">
        <v>-3.500795</v>
      </c>
    </row>
    <row r="45" spans="2:7" ht="12.75">
      <c r="B45" s="1">
        <v>23</v>
      </c>
      <c r="C45" s="1">
        <v>33.817394</v>
      </c>
      <c r="D45" s="1">
        <v>-263.978561</v>
      </c>
      <c r="E45" s="1">
        <v>-104.147243</v>
      </c>
      <c r="F45" s="1">
        <v>-12.208409</v>
      </c>
      <c r="G45" s="1">
        <v>-3.500795</v>
      </c>
    </row>
    <row r="46" spans="2:7" ht="12.75">
      <c r="B46" s="1">
        <v>24</v>
      </c>
      <c r="C46" s="1">
        <v>33.820924</v>
      </c>
      <c r="D46" s="1">
        <v>-263.977549</v>
      </c>
      <c r="E46" s="1">
        <v>-104.147532</v>
      </c>
      <c r="F46" s="1">
        <v>-12.208409</v>
      </c>
      <c r="G46" s="1">
        <v>-3.500795</v>
      </c>
    </row>
    <row r="47" spans="2:7" ht="12.75">
      <c r="B47" s="1">
        <v>25</v>
      </c>
      <c r="C47" s="1">
        <v>141.696068</v>
      </c>
      <c r="D47" s="1">
        <v>-233.044057</v>
      </c>
      <c r="E47" s="1">
        <v>-112.983667</v>
      </c>
      <c r="F47" s="1">
        <v>-12.208409</v>
      </c>
      <c r="G47" s="1">
        <v>-3.500795</v>
      </c>
    </row>
    <row r="48" spans="2:7" ht="12.75">
      <c r="B48" s="1">
        <v>26</v>
      </c>
      <c r="C48" s="1">
        <v>141.696058</v>
      </c>
      <c r="D48" s="1">
        <v>-233.04406</v>
      </c>
      <c r="E48" s="1">
        <v>-112.983666</v>
      </c>
      <c r="F48" s="1">
        <v>-12.208409</v>
      </c>
      <c r="G48" s="1">
        <v>-3.500795</v>
      </c>
    </row>
    <row r="49" spans="2:7" ht="12.75">
      <c r="B49" s="1">
        <v>27</v>
      </c>
      <c r="C49" s="1">
        <v>141.696068</v>
      </c>
      <c r="D49" s="1">
        <v>-233.044057</v>
      </c>
      <c r="E49" s="1">
        <v>-112.983667</v>
      </c>
      <c r="F49" s="1">
        <v>-12.208409</v>
      </c>
      <c r="G49" s="1">
        <v>-3.500795</v>
      </c>
    </row>
    <row r="50" spans="2:7" ht="12.75">
      <c r="B50" s="1">
        <v>28</v>
      </c>
      <c r="C50" s="1">
        <v>170.858814</v>
      </c>
      <c r="D50" s="1">
        <v>-224.68156</v>
      </c>
      <c r="E50" s="1">
        <v>-115.372409</v>
      </c>
      <c r="F50" s="1">
        <v>-12.208409</v>
      </c>
      <c r="G50" s="1">
        <v>-3.500795</v>
      </c>
    </row>
    <row r="51" spans="2:7" ht="12.75">
      <c r="B51" s="1">
        <v>29</v>
      </c>
      <c r="C51" s="1">
        <v>170.858814</v>
      </c>
      <c r="D51" s="1">
        <v>-224.68156</v>
      </c>
      <c r="E51" s="1">
        <v>-115.372409</v>
      </c>
      <c r="F51" s="1">
        <v>-12.208409</v>
      </c>
      <c r="G51" s="1">
        <v>-3.500795</v>
      </c>
    </row>
    <row r="52" spans="2:7" ht="12.75">
      <c r="B52" s="1">
        <v>30</v>
      </c>
      <c r="C52" s="1">
        <v>170.859094</v>
      </c>
      <c r="D52" s="1">
        <v>-224.68148</v>
      </c>
      <c r="E52" s="1">
        <v>-115.372432</v>
      </c>
      <c r="F52" s="4">
        <v>-1.4E-05</v>
      </c>
      <c r="G52" s="1">
        <v>0.176326</v>
      </c>
    </row>
    <row r="53" spans="2:7" ht="12.75">
      <c r="B53" s="1">
        <v>31</v>
      </c>
      <c r="C53" s="1">
        <v>170.859094</v>
      </c>
      <c r="D53" s="1">
        <v>-224.681533</v>
      </c>
      <c r="E53" s="1">
        <v>-115.372733</v>
      </c>
      <c r="F53" s="4">
        <v>-1.4E-05</v>
      </c>
      <c r="G53" s="1">
        <v>0.176326</v>
      </c>
    </row>
    <row r="54" spans="2:7" ht="12.75">
      <c r="B54" s="1">
        <v>32</v>
      </c>
      <c r="C54" s="1">
        <v>170.859094</v>
      </c>
      <c r="D54" s="1">
        <v>-224.681107</v>
      </c>
      <c r="E54" s="1">
        <v>-115.370319</v>
      </c>
      <c r="F54" s="4">
        <v>-1.4E-05</v>
      </c>
      <c r="G54" s="1">
        <v>0.176326</v>
      </c>
    </row>
    <row r="55" spans="2:7" ht="12.75">
      <c r="B55" s="1">
        <v>33</v>
      </c>
      <c r="C55" s="1">
        <v>170.859094</v>
      </c>
      <c r="D55" s="1">
        <v>-224.681107</v>
      </c>
      <c r="E55" s="1">
        <v>-115.370319</v>
      </c>
      <c r="F55" s="4">
        <v>-1.4E-05</v>
      </c>
      <c r="G55" s="1">
        <v>0.176326</v>
      </c>
    </row>
    <row r="56" spans="2:7" ht="12.75">
      <c r="B56" s="1">
        <v>34</v>
      </c>
      <c r="C56" s="1">
        <v>170.859094</v>
      </c>
      <c r="D56" s="1">
        <v>-224.681091</v>
      </c>
      <c r="E56" s="1">
        <v>-115.37023</v>
      </c>
      <c r="F56" s="4">
        <v>-1.4E-05</v>
      </c>
      <c r="G56" s="1">
        <v>0.176326</v>
      </c>
    </row>
    <row r="57" spans="2:7" ht="12.75">
      <c r="B57" s="1">
        <v>35</v>
      </c>
      <c r="C57" s="1">
        <v>170.859883</v>
      </c>
      <c r="D57" s="1">
        <v>-234.57904</v>
      </c>
      <c r="E57" s="1">
        <v>-171.50445</v>
      </c>
      <c r="F57" s="4">
        <v>-1.4E-05</v>
      </c>
      <c r="G57" s="1">
        <v>0.176326</v>
      </c>
    </row>
    <row r="58" spans="2:7" ht="12.75">
      <c r="B58" s="1">
        <v>36</v>
      </c>
      <c r="C58" s="4">
        <v>170.859883</v>
      </c>
      <c r="D58" s="1">
        <v>-234.57904</v>
      </c>
      <c r="E58" s="1">
        <v>-171.50445</v>
      </c>
      <c r="F58" s="4">
        <v>-1.83E-05</v>
      </c>
      <c r="G58" s="1">
        <v>-0.577344</v>
      </c>
    </row>
    <row r="59" spans="2:7" ht="12.75">
      <c r="B59" s="1">
        <v>37</v>
      </c>
      <c r="C59" s="4">
        <v>170.859883</v>
      </c>
      <c r="D59" s="1">
        <v>-234.57904</v>
      </c>
      <c r="E59" s="1">
        <v>-171.50445</v>
      </c>
      <c r="F59" s="4">
        <v>-1.83E-05</v>
      </c>
      <c r="G59" s="1">
        <v>-0.577344</v>
      </c>
    </row>
    <row r="60" spans="2:7" ht="12.75">
      <c r="B60" s="1">
        <v>38</v>
      </c>
      <c r="C60" s="1">
        <v>170.859883</v>
      </c>
      <c r="D60" s="1">
        <v>-234.578952</v>
      </c>
      <c r="E60" s="1">
        <v>-171.504602</v>
      </c>
      <c r="F60" s="4">
        <v>-1.83E-05</v>
      </c>
      <c r="G60" s="1">
        <v>-0.577344</v>
      </c>
    </row>
    <row r="61" spans="2:7" ht="12.75">
      <c r="B61" s="1">
        <v>39</v>
      </c>
      <c r="C61" s="1">
        <v>170.857126</v>
      </c>
      <c r="D61" s="1">
        <v>-321.398179</v>
      </c>
      <c r="E61" s="1">
        <v>-21.12771</v>
      </c>
      <c r="F61" s="4">
        <v>1.83E-05</v>
      </c>
      <c r="G61" s="1">
        <v>0.577344</v>
      </c>
    </row>
    <row r="62" spans="2:7" ht="12.75">
      <c r="B62" s="1">
        <v>40</v>
      </c>
      <c r="C62" s="1">
        <v>170.857126</v>
      </c>
      <c r="D62" s="1">
        <v>-321.398267</v>
      </c>
      <c r="E62" s="1">
        <v>-21.127863</v>
      </c>
      <c r="F62" s="4">
        <v>1.83E-05</v>
      </c>
      <c r="G62" s="1">
        <v>0.577344</v>
      </c>
    </row>
    <row r="63" spans="2:7" ht="12.75">
      <c r="B63" s="1">
        <v>41</v>
      </c>
      <c r="C63" s="1">
        <v>170.856491</v>
      </c>
      <c r="D63" s="1">
        <v>-341.398109</v>
      </c>
      <c r="E63" s="1">
        <v>-55.768971</v>
      </c>
      <c r="F63" s="4">
        <v>1.83E-05</v>
      </c>
      <c r="G63" s="1">
        <v>0.577344</v>
      </c>
    </row>
    <row r="64" spans="2:7" ht="12.75">
      <c r="B64" s="1">
        <v>42</v>
      </c>
      <c r="C64" s="4">
        <v>170.856491</v>
      </c>
      <c r="D64" s="1">
        <v>-341.398109</v>
      </c>
      <c r="E64" s="1">
        <v>-55.768971</v>
      </c>
      <c r="F64" s="4">
        <v>1.83E-05</v>
      </c>
      <c r="G64" s="1">
        <v>0.577344</v>
      </c>
    </row>
    <row r="65" spans="2:7" ht="12.75">
      <c r="B65" s="1">
        <v>43</v>
      </c>
      <c r="C65" s="4">
        <v>170.854376</v>
      </c>
      <c r="D65" s="1">
        <v>-407.997437</v>
      </c>
      <c r="E65" s="1">
        <v>-171.123603</v>
      </c>
      <c r="F65" s="4">
        <v>1.26E-06</v>
      </c>
      <c r="G65" s="4">
        <v>-4.19E-06</v>
      </c>
    </row>
    <row r="66" spans="2:7" ht="12.75">
      <c r="B66" s="1">
        <v>44</v>
      </c>
      <c r="C66" s="4">
        <v>170.854376</v>
      </c>
      <c r="D66" s="1">
        <v>-407.997437</v>
      </c>
      <c r="E66" s="1">
        <v>-171.12331</v>
      </c>
      <c r="F66" s="4">
        <v>1.26E-06</v>
      </c>
      <c r="G66" s="4">
        <v>-4.19E-06</v>
      </c>
    </row>
    <row r="67" spans="2:7" ht="12.75">
      <c r="B67" s="1">
        <v>45</v>
      </c>
      <c r="C67" s="4">
        <v>168.534517</v>
      </c>
      <c r="D67" s="4">
        <v>1000000</v>
      </c>
      <c r="E67" s="1">
        <v>-21.12331</v>
      </c>
      <c r="F67" s="4">
        <v>0.000806</v>
      </c>
      <c r="G67" s="1">
        <v>-0.000746</v>
      </c>
    </row>
    <row r="68" spans="2:7" ht="12.75">
      <c r="B68" s="1">
        <v>46</v>
      </c>
      <c r="C68" s="4">
        <v>170.854534</v>
      </c>
      <c r="D68" s="1">
        <v>-407.997961</v>
      </c>
      <c r="E68" s="1">
        <v>-46.123882</v>
      </c>
      <c r="F68" s="1">
        <v>0.30052</v>
      </c>
      <c r="G68" s="4">
        <v>-239000</v>
      </c>
    </row>
    <row r="69" spans="2:7" ht="12.75">
      <c r="B69" s="1">
        <v>47</v>
      </c>
      <c r="C69" s="1">
        <v>170.854534</v>
      </c>
      <c r="D69" s="1">
        <v>-407.998533</v>
      </c>
      <c r="E69" s="4">
        <v>-46.123882</v>
      </c>
      <c r="F69" s="1">
        <v>0.30052</v>
      </c>
      <c r="G69" s="4">
        <v>-239000</v>
      </c>
    </row>
    <row r="70" spans="2:7" ht="12.75">
      <c r="B70" s="1">
        <v>48</v>
      </c>
      <c r="C70" s="1">
        <v>170.854565</v>
      </c>
      <c r="D70" s="1">
        <v>-432.998533</v>
      </c>
      <c r="E70" s="1">
        <v>-46.123777</v>
      </c>
      <c r="F70" s="1">
        <v>0.30052</v>
      </c>
      <c r="G70" s="4">
        <v>-239000</v>
      </c>
    </row>
    <row r="71" spans="2:7" ht="12.75">
      <c r="B71" s="1">
        <v>49</v>
      </c>
      <c r="C71" s="4">
        <v>170.854565</v>
      </c>
      <c r="D71" s="1">
        <v>-432.998533</v>
      </c>
      <c r="E71" s="1">
        <v>-46.123777</v>
      </c>
      <c r="F71" s="1">
        <v>0.30052</v>
      </c>
      <c r="G71" s="4">
        <v>-239000</v>
      </c>
    </row>
    <row r="72" spans="2:7" ht="12.75">
      <c r="B72" s="1">
        <v>50</v>
      </c>
      <c r="C72" s="4">
        <v>168.546847</v>
      </c>
      <c r="D72" s="4">
        <v>-708000</v>
      </c>
      <c r="E72" s="4">
        <v>-707000</v>
      </c>
      <c r="F72" s="1">
        <v>1.080066</v>
      </c>
      <c r="G72" s="1">
        <v>-1340.341805</v>
      </c>
    </row>
    <row r="73" spans="2:7" ht="12.75">
      <c r="B73" s="1">
        <v>51</v>
      </c>
      <c r="C73" s="1">
        <v>170.858759</v>
      </c>
      <c r="D73" s="1">
        <v>-457.998896</v>
      </c>
      <c r="E73" s="1">
        <v>-46.126616</v>
      </c>
      <c r="F73" s="4">
        <v>1.26E-06</v>
      </c>
      <c r="G73" s="4">
        <v>-4.19E-06</v>
      </c>
    </row>
    <row r="74" spans="2:7" ht="12.75">
      <c r="B74" s="1">
        <v>52</v>
      </c>
      <c r="C74" s="1">
        <v>-1857.546822</v>
      </c>
      <c r="D74" s="4">
        <v>-708000</v>
      </c>
      <c r="E74" s="4">
        <v>-707000</v>
      </c>
      <c r="F74" s="1">
        <v>1.417942</v>
      </c>
      <c r="G74" s="1">
        <v>1.002283</v>
      </c>
    </row>
    <row r="75" spans="2:7" ht="12.75">
      <c r="B75" s="1">
        <v>53</v>
      </c>
      <c r="C75" s="1">
        <v>170.854597</v>
      </c>
      <c r="D75" s="1">
        <v>-457.995952</v>
      </c>
      <c r="E75" s="1">
        <v>-46.123672</v>
      </c>
      <c r="F75" s="4">
        <v>-1.414228</v>
      </c>
      <c r="G75" s="4">
        <v>1.000004</v>
      </c>
    </row>
    <row r="76" spans="2:7" ht="12.75">
      <c r="B76" s="1">
        <v>54</v>
      </c>
      <c r="C76" s="1">
        <v>168.554662</v>
      </c>
      <c r="D76" s="4">
        <v>-1000000</v>
      </c>
      <c r="E76" s="1">
        <v>-46.122592</v>
      </c>
      <c r="F76" s="1">
        <v>-0.000806</v>
      </c>
      <c r="G76" s="1">
        <v>-0.000746</v>
      </c>
    </row>
    <row r="77" spans="2:7" ht="12.75">
      <c r="B77" s="1">
        <v>55</v>
      </c>
      <c r="C77" s="4">
        <v>168.534517</v>
      </c>
      <c r="D77" s="4">
        <v>-1000000</v>
      </c>
      <c r="E77" s="1">
        <v>-21.122592</v>
      </c>
      <c r="F77" s="4">
        <v>-0.000806</v>
      </c>
      <c r="G77" s="1">
        <v>-0.000746</v>
      </c>
    </row>
    <row r="78" spans="2:7" ht="12.75">
      <c r="B78" s="1">
        <v>56</v>
      </c>
      <c r="C78" s="4">
        <v>170.858602</v>
      </c>
      <c r="D78" s="1">
        <v>-457.998372</v>
      </c>
      <c r="E78" s="1">
        <v>-171.123266</v>
      </c>
      <c r="F78" s="4">
        <v>-1.8E-05</v>
      </c>
      <c r="G78" s="1">
        <v>-0.577346</v>
      </c>
    </row>
    <row r="79" spans="2:7" ht="12.75">
      <c r="B79" s="1">
        <v>57</v>
      </c>
      <c r="C79" s="4">
        <v>170.858602</v>
      </c>
      <c r="D79" s="1">
        <v>-457.998394</v>
      </c>
      <c r="E79" s="1">
        <v>-171.123229</v>
      </c>
      <c r="F79" s="4">
        <v>-1.8E-05</v>
      </c>
      <c r="G79" s="1">
        <v>-0.577346</v>
      </c>
    </row>
    <row r="80" spans="2:7" ht="12.75">
      <c r="B80" s="1">
        <v>58</v>
      </c>
      <c r="C80" s="4">
        <v>170.85653</v>
      </c>
      <c r="D80" s="1">
        <v>-524.598058</v>
      </c>
      <c r="E80" s="1">
        <v>-55.768452</v>
      </c>
      <c r="F80" s="4">
        <v>-1.8E-05</v>
      </c>
      <c r="G80" s="1">
        <v>-0.577346</v>
      </c>
    </row>
    <row r="81" spans="2:7" ht="12.75">
      <c r="B81" s="1">
        <v>59</v>
      </c>
      <c r="C81" s="4">
        <v>170.85653</v>
      </c>
      <c r="D81" s="1">
        <v>-524.598058</v>
      </c>
      <c r="E81" s="1">
        <v>-55.768452</v>
      </c>
      <c r="F81" s="4">
        <v>-1.8E-05</v>
      </c>
      <c r="G81" s="1">
        <v>-0.577346</v>
      </c>
    </row>
    <row r="82" spans="2:7" ht="12.75">
      <c r="B82" s="1">
        <v>60</v>
      </c>
      <c r="C82" s="4">
        <v>170.855908</v>
      </c>
      <c r="D82" s="1">
        <v>-544.597766</v>
      </c>
      <c r="E82" s="1">
        <v>-21.12771</v>
      </c>
      <c r="F82" s="4">
        <v>1.8E-05</v>
      </c>
      <c r="G82" s="1">
        <v>0.577346</v>
      </c>
    </row>
    <row r="83" spans="2:7" ht="12.75">
      <c r="B83" s="1">
        <v>61</v>
      </c>
      <c r="C83" s="4">
        <v>170.855908</v>
      </c>
      <c r="D83" s="1">
        <v>-544.597958</v>
      </c>
      <c r="E83" s="1">
        <v>-21.128042</v>
      </c>
      <c r="F83" s="4">
        <v>1.8E-05</v>
      </c>
      <c r="G83" s="1">
        <v>0.577346</v>
      </c>
    </row>
    <row r="84" spans="2:7" ht="12.75">
      <c r="B84" s="1">
        <v>62</v>
      </c>
      <c r="C84" s="4">
        <v>170.853544</v>
      </c>
      <c r="D84" s="1">
        <v>-620.587374</v>
      </c>
      <c r="E84" s="1">
        <v>-152.746455</v>
      </c>
      <c r="F84" s="4">
        <v>1.8E-05</v>
      </c>
      <c r="G84" s="1">
        <v>0.577346</v>
      </c>
    </row>
    <row r="85" spans="2:7" ht="12.75">
      <c r="B85" s="1">
        <v>63</v>
      </c>
      <c r="C85" s="4">
        <v>170.853544</v>
      </c>
      <c r="D85" s="1">
        <v>-620.587374</v>
      </c>
      <c r="E85" s="1">
        <v>-152.746455</v>
      </c>
      <c r="F85" s="4">
        <v>1.95E-05</v>
      </c>
      <c r="G85" s="1">
        <v>-0.176336</v>
      </c>
    </row>
    <row r="86" spans="2:7" ht="12.75">
      <c r="B86" s="1">
        <v>64</v>
      </c>
      <c r="C86" s="1">
        <v>170.853544</v>
      </c>
      <c r="D86" s="1">
        <v>-620.587374</v>
      </c>
      <c r="E86" s="1">
        <v>-152.746455</v>
      </c>
      <c r="F86" s="4">
        <v>1.95E-05</v>
      </c>
      <c r="G86" s="1">
        <v>-0.176336</v>
      </c>
    </row>
    <row r="87" spans="2:7" ht="12.75">
      <c r="B87" s="1">
        <v>65</v>
      </c>
      <c r="C87" s="1">
        <v>170.853544</v>
      </c>
      <c r="D87" s="1">
        <v>-620.587444</v>
      </c>
      <c r="E87" s="1">
        <v>-152.746058</v>
      </c>
      <c r="F87" s="4">
        <v>1.95E-05</v>
      </c>
      <c r="G87" s="1">
        <v>-0.176336</v>
      </c>
    </row>
    <row r="88" spans="2:7" ht="12.75">
      <c r="B88" s="1">
        <v>66</v>
      </c>
      <c r="C88" s="1">
        <v>170.854694</v>
      </c>
      <c r="D88" s="1">
        <v>-631.006879</v>
      </c>
      <c r="E88" s="1">
        <v>-93.657689</v>
      </c>
      <c r="F88" s="4">
        <v>1.95E-05</v>
      </c>
      <c r="G88" s="1">
        <v>-0.176336</v>
      </c>
    </row>
    <row r="89" spans="2:7" ht="12.75">
      <c r="B89" s="1">
        <v>67</v>
      </c>
      <c r="C89" s="1">
        <v>170.855319</v>
      </c>
      <c r="D89" s="1">
        <v>-636.662659</v>
      </c>
      <c r="E89" s="1">
        <v>-61.583891</v>
      </c>
      <c r="F89" s="4">
        <v>57841.55084</v>
      </c>
      <c r="G89" s="1">
        <v>-0.717173</v>
      </c>
    </row>
    <row r="90" spans="2:7" ht="12.75">
      <c r="B90" s="1">
        <v>68</v>
      </c>
      <c r="C90" s="1">
        <v>170.856678</v>
      </c>
      <c r="D90" s="1">
        <v>-636.662659</v>
      </c>
      <c r="E90" s="1">
        <v>-61.583891</v>
      </c>
      <c r="F90" s="4">
        <v>57841.55084</v>
      </c>
      <c r="G90" s="1">
        <v>-0.717173</v>
      </c>
    </row>
    <row r="91" spans="2:7" ht="12.75">
      <c r="B91" s="1">
        <v>69</v>
      </c>
      <c r="C91" s="1">
        <v>250.856678</v>
      </c>
      <c r="D91" s="1">
        <v>-636.663651</v>
      </c>
      <c r="E91" s="1">
        <v>-61.582508</v>
      </c>
      <c r="F91" s="4">
        <v>57841.55084</v>
      </c>
      <c r="G91" s="1">
        <v>-0.717173</v>
      </c>
    </row>
    <row r="92" spans="2:5" ht="12.75">
      <c r="B92" s="1">
        <v>70</v>
      </c>
      <c r="C92" s="1">
        <v>250.856678</v>
      </c>
      <c r="D92" s="1">
        <v>-636.663651</v>
      </c>
      <c r="E92" s="1">
        <v>-61.582508</v>
      </c>
    </row>
    <row r="93" ht="12.75">
      <c r="B93" s="1" t="s">
        <v>39</v>
      </c>
    </row>
    <row r="94" ht="12.75">
      <c r="B94" s="1" t="s">
        <v>39</v>
      </c>
    </row>
    <row r="95" spans="2:4" ht="12.75">
      <c r="B95" s="1" t="s">
        <v>39</v>
      </c>
      <c r="C95" s="1" t="s">
        <v>85</v>
      </c>
      <c r="D95" s="1" t="s">
        <v>86</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B1:J95"/>
  <sheetViews>
    <sheetView workbookViewId="0" topLeftCell="A1">
      <selection activeCell="A1" sqref="A1:J95"/>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422</v>
      </c>
      <c r="J4" s="1" t="s">
        <v>473</v>
      </c>
    </row>
    <row r="6" spans="2:3" ht="12.75">
      <c r="B6" s="1" t="s">
        <v>39</v>
      </c>
      <c r="C6" s="1" t="s">
        <v>48</v>
      </c>
    </row>
    <row r="7" spans="2:3" ht="12.75">
      <c r="B7" s="2">
        <v>36965</v>
      </c>
      <c r="C7" s="3">
        <v>0.4826736111111111</v>
      </c>
    </row>
    <row r="8" ht="12.75">
      <c r="B8" s="1" t="s">
        <v>39</v>
      </c>
    </row>
    <row r="9" spans="2:10" ht="12.75">
      <c r="B9" s="1" t="s">
        <v>39</v>
      </c>
      <c r="C9" s="1" t="s">
        <v>49</v>
      </c>
      <c r="D9" s="1">
        <v>2</v>
      </c>
      <c r="E9" s="1">
        <v>0</v>
      </c>
      <c r="F9" s="1">
        <v>0</v>
      </c>
      <c r="G9" s="1">
        <v>0</v>
      </c>
      <c r="H9" s="1" t="s">
        <v>50</v>
      </c>
      <c r="I9" s="1">
        <v>0</v>
      </c>
      <c r="J9" s="1" t="s">
        <v>51</v>
      </c>
    </row>
    <row r="10" spans="2:8" ht="12.75">
      <c r="B10" s="1" t="s">
        <v>44</v>
      </c>
      <c r="C10" s="1" t="s">
        <v>46</v>
      </c>
      <c r="D10" s="1" t="s">
        <v>422</v>
      </c>
      <c r="E10" s="1" t="s">
        <v>473</v>
      </c>
      <c r="F10" s="1">
        <v>242</v>
      </c>
      <c r="G10" s="2">
        <v>36965</v>
      </c>
      <c r="H10" s="3">
        <v>0.4826736111111111</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v>
      </c>
      <c r="G16" s="1" t="s">
        <v>67</v>
      </c>
      <c r="H16" s="1">
        <v>0</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36.846967</v>
      </c>
      <c r="D23" s="1">
        <v>54.801254</v>
      </c>
      <c r="E23" s="1">
        <v>-1050.039457</v>
      </c>
      <c r="F23" s="1">
        <v>-0.002147</v>
      </c>
      <c r="G23" s="1">
        <v>-0.003193</v>
      </c>
    </row>
    <row r="24" spans="2:7" ht="12.75">
      <c r="B24" s="1">
        <v>2</v>
      </c>
      <c r="C24" s="1">
        <v>-1.30302</v>
      </c>
      <c r="D24" s="1">
        <v>-1.937938</v>
      </c>
      <c r="E24" s="1">
        <v>16720.9352</v>
      </c>
      <c r="F24" s="1">
        <v>-0.002147</v>
      </c>
      <c r="G24" s="1">
        <v>-0.003193</v>
      </c>
    </row>
    <row r="25" spans="2:7" ht="12.75">
      <c r="B25" s="1">
        <v>3</v>
      </c>
      <c r="C25" s="1">
        <v>-1.303026</v>
      </c>
      <c r="D25" s="1">
        <v>-1.937947</v>
      </c>
      <c r="E25" s="1">
        <v>16720.938</v>
      </c>
      <c r="F25" s="1">
        <v>-0.002147</v>
      </c>
      <c r="G25" s="1">
        <v>-0.003193</v>
      </c>
    </row>
    <row r="26" spans="2:7" ht="12.75">
      <c r="B26" s="1">
        <v>4</v>
      </c>
      <c r="C26" s="1">
        <v>36.84723</v>
      </c>
      <c r="D26" s="1">
        <v>54.801645</v>
      </c>
      <c r="E26" s="1">
        <v>-1050.162</v>
      </c>
      <c r="F26" s="1">
        <v>-0.002147</v>
      </c>
      <c r="G26" s="1">
        <v>-0.003193</v>
      </c>
    </row>
    <row r="27" spans="2:7" ht="12.75">
      <c r="B27" s="1">
        <v>5</v>
      </c>
      <c r="C27" s="1">
        <v>41.140746</v>
      </c>
      <c r="D27" s="1">
        <v>61.187248</v>
      </c>
      <c r="E27" s="1">
        <v>-3050.162</v>
      </c>
      <c r="F27" s="1">
        <v>-0.002147</v>
      </c>
      <c r="G27" s="1">
        <v>-0.003193</v>
      </c>
    </row>
    <row r="28" spans="2:7" ht="12.75">
      <c r="B28" s="1">
        <v>6</v>
      </c>
      <c r="C28" s="1">
        <v>36.848567</v>
      </c>
      <c r="D28" s="1">
        <v>54.803634</v>
      </c>
      <c r="E28" s="1">
        <v>-1050.785036</v>
      </c>
      <c r="F28" s="1">
        <v>0.023214</v>
      </c>
      <c r="G28" s="1">
        <v>0.034525</v>
      </c>
    </row>
    <row r="29" spans="2:7" ht="12.75">
      <c r="B29" s="1">
        <v>7</v>
      </c>
      <c r="C29" s="4">
        <v>3.77E-13</v>
      </c>
      <c r="D29" s="4">
        <v>-3.62E-13</v>
      </c>
      <c r="E29" s="1">
        <v>-2638.131</v>
      </c>
      <c r="F29" s="1">
        <v>-0.023214</v>
      </c>
      <c r="G29" s="1">
        <v>-0.034525</v>
      </c>
    </row>
    <row r="30" spans="2:7" ht="12.75">
      <c r="B30" s="1">
        <v>8</v>
      </c>
      <c r="C30" s="1">
        <v>-36.86303</v>
      </c>
      <c r="D30" s="1">
        <v>-54.825145</v>
      </c>
      <c r="E30" s="1">
        <v>-1050.162</v>
      </c>
      <c r="F30" s="1">
        <v>-0.023214</v>
      </c>
      <c r="G30" s="1">
        <v>-0.034525</v>
      </c>
    </row>
    <row r="31" spans="2:7" ht="12.75">
      <c r="B31" s="1">
        <v>9</v>
      </c>
      <c r="C31" s="1">
        <v>-60.320777</v>
      </c>
      <c r="D31" s="1">
        <v>-89.713062</v>
      </c>
      <c r="E31" s="1">
        <v>-39.659771</v>
      </c>
      <c r="F31" s="1">
        <v>-0.023214</v>
      </c>
      <c r="G31" s="1">
        <v>-0.034525</v>
      </c>
    </row>
    <row r="32" spans="2:7" ht="12.75">
      <c r="B32" s="1">
        <v>10</v>
      </c>
      <c r="C32" s="1">
        <v>-61.241409</v>
      </c>
      <c r="D32" s="1">
        <v>-91.082288</v>
      </c>
      <c r="E32" s="1">
        <v>-0.001183</v>
      </c>
      <c r="F32" s="1">
        <v>-0.023214</v>
      </c>
      <c r="G32" s="1">
        <v>-0.034525</v>
      </c>
    </row>
    <row r="33" spans="2:7" ht="12.75">
      <c r="B33" s="1">
        <v>11</v>
      </c>
      <c r="C33" s="1">
        <v>-62.761232</v>
      </c>
      <c r="D33" s="1">
        <v>-93.342669</v>
      </c>
      <c r="E33" s="1">
        <v>65.469052</v>
      </c>
      <c r="F33" s="1">
        <v>-0.350914</v>
      </c>
      <c r="G33" s="1">
        <v>0.596191</v>
      </c>
    </row>
    <row r="34" spans="2:7" ht="12.75">
      <c r="B34" s="1">
        <v>12</v>
      </c>
      <c r="C34" s="1">
        <v>-64.145984</v>
      </c>
      <c r="D34" s="1">
        <v>-90.990021</v>
      </c>
      <c r="E34" s="1">
        <v>69.415181</v>
      </c>
      <c r="F34" s="1">
        <v>-0.350914</v>
      </c>
      <c r="G34" s="1">
        <v>0.596191</v>
      </c>
    </row>
    <row r="35" spans="2:7" ht="12.75">
      <c r="B35" s="1">
        <v>13</v>
      </c>
      <c r="C35" s="1">
        <v>0.23026</v>
      </c>
      <c r="D35" s="1">
        <v>-200.363128</v>
      </c>
      <c r="E35" s="1">
        <v>-114.037902</v>
      </c>
      <c r="F35" s="1">
        <v>-0.350914</v>
      </c>
      <c r="G35" s="1">
        <v>0.596191</v>
      </c>
    </row>
    <row r="36" spans="2:7" ht="12.75">
      <c r="B36" s="1">
        <v>14</v>
      </c>
      <c r="C36" s="1">
        <v>0.23026</v>
      </c>
      <c r="D36" s="1">
        <v>-200.363128</v>
      </c>
      <c r="E36" s="1">
        <v>-114.037902</v>
      </c>
      <c r="F36" s="1">
        <v>0.302602</v>
      </c>
      <c r="G36" s="1">
        <v>0.088962</v>
      </c>
    </row>
    <row r="37" spans="2:7" ht="12.75">
      <c r="B37" s="1">
        <v>15</v>
      </c>
      <c r="C37" s="1">
        <v>0.23026</v>
      </c>
      <c r="D37" s="1">
        <v>-200.363128</v>
      </c>
      <c r="E37" s="1">
        <v>-114.037902</v>
      </c>
      <c r="F37" s="1">
        <v>0.302602</v>
      </c>
      <c r="G37" s="1">
        <v>0.088962</v>
      </c>
    </row>
    <row r="38" spans="2:7" ht="12.75">
      <c r="B38" s="1">
        <v>16</v>
      </c>
      <c r="C38" s="1">
        <v>0.212451</v>
      </c>
      <c r="D38" s="1">
        <v>-200.368364</v>
      </c>
      <c r="E38" s="1">
        <v>-114.096754</v>
      </c>
      <c r="F38" s="1">
        <v>0.302602</v>
      </c>
      <c r="G38" s="1">
        <v>0.088962</v>
      </c>
    </row>
    <row r="39" spans="2:7" ht="12.75">
      <c r="B39" s="1">
        <v>17</v>
      </c>
      <c r="C39" s="1">
        <v>58.002151</v>
      </c>
      <c r="D39" s="1">
        <v>-183.378714</v>
      </c>
      <c r="E39" s="1">
        <v>76.879249</v>
      </c>
      <c r="F39" s="1">
        <v>0.133588</v>
      </c>
      <c r="G39" s="1">
        <v>0.445235</v>
      </c>
    </row>
    <row r="40" spans="2:7" ht="12.75">
      <c r="B40" s="1">
        <v>18</v>
      </c>
      <c r="C40" s="1">
        <v>58.7814</v>
      </c>
      <c r="D40" s="1">
        <v>-180.781552</v>
      </c>
      <c r="E40" s="1">
        <v>82.712492</v>
      </c>
      <c r="F40" s="1">
        <v>0.133588</v>
      </c>
      <c r="G40" s="1">
        <v>0.445235</v>
      </c>
    </row>
    <row r="41" spans="2:7" ht="12.75">
      <c r="B41" s="1">
        <v>19</v>
      </c>
      <c r="C41" s="1">
        <v>35.15469</v>
      </c>
      <c r="D41" s="1">
        <v>-259.52714</v>
      </c>
      <c r="E41" s="1">
        <v>-94.150668</v>
      </c>
      <c r="F41" s="1">
        <v>0.133588</v>
      </c>
      <c r="G41" s="1">
        <v>0.445235</v>
      </c>
    </row>
    <row r="42" spans="2:7" ht="12.75">
      <c r="B42" s="1">
        <v>20</v>
      </c>
      <c r="C42" s="1">
        <v>33.818815</v>
      </c>
      <c r="D42" s="1">
        <v>-263.979485</v>
      </c>
      <c r="E42" s="1">
        <v>-104.150668</v>
      </c>
      <c r="F42" s="1">
        <v>0.133588</v>
      </c>
      <c r="G42" s="1">
        <v>0.445235</v>
      </c>
    </row>
    <row r="43" spans="2:7" ht="12.75">
      <c r="B43" s="1">
        <v>21</v>
      </c>
      <c r="C43" s="1">
        <v>33.819062</v>
      </c>
      <c r="D43" s="1">
        <v>-263.978662</v>
      </c>
      <c r="E43" s="1">
        <v>-104.148819</v>
      </c>
      <c r="F43" s="1">
        <v>0.133588</v>
      </c>
      <c r="G43" s="1">
        <v>0.445235</v>
      </c>
    </row>
    <row r="44" spans="2:7" ht="12.75">
      <c r="B44" s="1">
        <v>22</v>
      </c>
      <c r="C44" s="1">
        <v>33.819252</v>
      </c>
      <c r="D44" s="1">
        <v>-263.978028</v>
      </c>
      <c r="E44" s="1">
        <v>-104.147395</v>
      </c>
      <c r="F44" s="1">
        <v>-12.208409</v>
      </c>
      <c r="G44" s="1">
        <v>-3.500795</v>
      </c>
    </row>
    <row r="45" spans="2:7" ht="12.75">
      <c r="B45" s="1">
        <v>23</v>
      </c>
      <c r="C45" s="1">
        <v>33.817394</v>
      </c>
      <c r="D45" s="1">
        <v>-263.978561</v>
      </c>
      <c r="E45" s="1">
        <v>-104.147243</v>
      </c>
      <c r="F45" s="1">
        <v>-12.208409</v>
      </c>
      <c r="G45" s="1">
        <v>-3.500795</v>
      </c>
    </row>
    <row r="46" spans="2:7" ht="12.75">
      <c r="B46" s="1">
        <v>24</v>
      </c>
      <c r="C46" s="1">
        <v>33.820924</v>
      </c>
      <c r="D46" s="1">
        <v>-263.977549</v>
      </c>
      <c r="E46" s="1">
        <v>-104.147532</v>
      </c>
      <c r="F46" s="1">
        <v>-12.208409</v>
      </c>
      <c r="G46" s="1">
        <v>-3.500795</v>
      </c>
    </row>
    <row r="47" spans="2:7" ht="12.75">
      <c r="B47" s="1">
        <v>25</v>
      </c>
      <c r="C47" s="1">
        <v>141.696068</v>
      </c>
      <c r="D47" s="1">
        <v>-233.044057</v>
      </c>
      <c r="E47" s="1">
        <v>-112.983667</v>
      </c>
      <c r="F47" s="1">
        <v>-12.208409</v>
      </c>
      <c r="G47" s="1">
        <v>-3.500795</v>
      </c>
    </row>
    <row r="48" spans="2:7" ht="12.75">
      <c r="B48" s="1">
        <v>26</v>
      </c>
      <c r="C48" s="1">
        <v>141.696058</v>
      </c>
      <c r="D48" s="1">
        <v>-233.04406</v>
      </c>
      <c r="E48" s="1">
        <v>-112.983666</v>
      </c>
      <c r="F48" s="1">
        <v>-12.208409</v>
      </c>
      <c r="G48" s="1">
        <v>-3.500795</v>
      </c>
    </row>
    <row r="49" spans="2:7" ht="12.75">
      <c r="B49" s="1">
        <v>27</v>
      </c>
      <c r="C49" s="1">
        <v>141.696068</v>
      </c>
      <c r="D49" s="1">
        <v>-233.044057</v>
      </c>
      <c r="E49" s="1">
        <v>-112.983667</v>
      </c>
      <c r="F49" s="1">
        <v>-12.208409</v>
      </c>
      <c r="G49" s="1">
        <v>-3.500795</v>
      </c>
    </row>
    <row r="50" spans="2:7" ht="12.75">
      <c r="B50" s="1">
        <v>28</v>
      </c>
      <c r="C50" s="1">
        <v>170.858814</v>
      </c>
      <c r="D50" s="1">
        <v>-224.68156</v>
      </c>
      <c r="E50" s="1">
        <v>-115.372409</v>
      </c>
      <c r="F50" s="1">
        <v>-12.208409</v>
      </c>
      <c r="G50" s="1">
        <v>-3.500795</v>
      </c>
    </row>
    <row r="51" spans="2:7" ht="12.75">
      <c r="B51" s="1">
        <v>29</v>
      </c>
      <c r="C51" s="1">
        <v>170.858814</v>
      </c>
      <c r="D51" s="1">
        <v>-224.68156</v>
      </c>
      <c r="E51" s="1">
        <v>-115.372409</v>
      </c>
      <c r="F51" s="1">
        <v>-12.208409</v>
      </c>
      <c r="G51" s="1">
        <v>-3.500795</v>
      </c>
    </row>
    <row r="52" spans="2:7" ht="12.75">
      <c r="B52" s="1">
        <v>30</v>
      </c>
      <c r="C52" s="1">
        <v>170.859094</v>
      </c>
      <c r="D52" s="1">
        <v>-224.68148</v>
      </c>
      <c r="E52" s="1">
        <v>-115.372432</v>
      </c>
      <c r="F52" s="4">
        <v>-1.4E-05</v>
      </c>
      <c r="G52" s="1">
        <v>0.176326</v>
      </c>
    </row>
    <row r="53" spans="2:7" ht="12.75">
      <c r="B53" s="1">
        <v>31</v>
      </c>
      <c r="C53" s="1">
        <v>170.859094</v>
      </c>
      <c r="D53" s="1">
        <v>-224.681533</v>
      </c>
      <c r="E53" s="1">
        <v>-115.372733</v>
      </c>
      <c r="F53" s="4">
        <v>-1.4E-05</v>
      </c>
      <c r="G53" s="1">
        <v>0.176326</v>
      </c>
    </row>
    <row r="54" spans="2:7" ht="12.75">
      <c r="B54" s="1">
        <v>32</v>
      </c>
      <c r="C54" s="1">
        <v>170.859094</v>
      </c>
      <c r="D54" s="1">
        <v>-224.681107</v>
      </c>
      <c r="E54" s="1">
        <v>-115.370319</v>
      </c>
      <c r="F54" s="4">
        <v>-1.4E-05</v>
      </c>
      <c r="G54" s="1">
        <v>0.176326</v>
      </c>
    </row>
    <row r="55" spans="2:7" ht="12.75">
      <c r="B55" s="1">
        <v>33</v>
      </c>
      <c r="C55" s="1">
        <v>170.859094</v>
      </c>
      <c r="D55" s="1">
        <v>-224.681107</v>
      </c>
      <c r="E55" s="1">
        <v>-115.370319</v>
      </c>
      <c r="F55" s="4">
        <v>-1.4E-05</v>
      </c>
      <c r="G55" s="1">
        <v>0.176326</v>
      </c>
    </row>
    <row r="56" spans="2:7" ht="12.75">
      <c r="B56" s="1">
        <v>34</v>
      </c>
      <c r="C56" s="1">
        <v>170.859094</v>
      </c>
      <c r="D56" s="1">
        <v>-224.681091</v>
      </c>
      <c r="E56" s="1">
        <v>-115.37023</v>
      </c>
      <c r="F56" s="4">
        <v>-1.4E-05</v>
      </c>
      <c r="G56" s="1">
        <v>0.176326</v>
      </c>
    </row>
    <row r="57" spans="2:7" ht="12.75">
      <c r="B57" s="1">
        <v>35</v>
      </c>
      <c r="C57" s="1">
        <v>170.859883</v>
      </c>
      <c r="D57" s="1">
        <v>-234.57904</v>
      </c>
      <c r="E57" s="1">
        <v>-171.50445</v>
      </c>
      <c r="F57" s="4">
        <v>-1.4E-05</v>
      </c>
      <c r="G57" s="1">
        <v>0.176326</v>
      </c>
    </row>
    <row r="58" spans="2:7" ht="12.75">
      <c r="B58" s="1">
        <v>36</v>
      </c>
      <c r="C58" s="1">
        <v>170.859883</v>
      </c>
      <c r="D58" s="1">
        <v>-234.57904</v>
      </c>
      <c r="E58" s="1">
        <v>-171.50445</v>
      </c>
      <c r="F58" s="4">
        <v>-1.83E-05</v>
      </c>
      <c r="G58" s="1">
        <v>-0.577344</v>
      </c>
    </row>
    <row r="59" spans="2:7" ht="12.75">
      <c r="B59" s="1">
        <v>37</v>
      </c>
      <c r="C59" s="1">
        <v>170.859883</v>
      </c>
      <c r="D59" s="1">
        <v>-234.57904</v>
      </c>
      <c r="E59" s="1">
        <v>-171.50445</v>
      </c>
      <c r="F59" s="4">
        <v>-1.83E-05</v>
      </c>
      <c r="G59" s="1">
        <v>-0.577344</v>
      </c>
    </row>
    <row r="60" spans="2:7" ht="12.75">
      <c r="B60" s="1">
        <v>38</v>
      </c>
      <c r="C60" s="1">
        <v>170.859883</v>
      </c>
      <c r="D60" s="1">
        <v>-234.578952</v>
      </c>
      <c r="E60" s="1">
        <v>-171.504602</v>
      </c>
      <c r="F60" s="4">
        <v>-1.83E-05</v>
      </c>
      <c r="G60" s="1">
        <v>-0.577344</v>
      </c>
    </row>
    <row r="61" spans="2:7" ht="12.75">
      <c r="B61" s="1">
        <v>39</v>
      </c>
      <c r="C61" s="1">
        <v>170.857126</v>
      </c>
      <c r="D61" s="1">
        <v>-321.398179</v>
      </c>
      <c r="E61" s="1">
        <v>-21.12771</v>
      </c>
      <c r="F61" s="4">
        <v>-1.83E-05</v>
      </c>
      <c r="G61" s="1">
        <v>-0.577344</v>
      </c>
    </row>
    <row r="62" spans="2:7" ht="12.75">
      <c r="B62" s="1">
        <v>40</v>
      </c>
      <c r="C62" s="1">
        <v>170.857126</v>
      </c>
      <c r="D62" s="1">
        <v>-321.398267</v>
      </c>
      <c r="E62" s="1">
        <v>-21.127556</v>
      </c>
      <c r="F62" s="4">
        <v>-1.83E-05</v>
      </c>
      <c r="G62" s="1">
        <v>-0.577344</v>
      </c>
    </row>
    <row r="63" spans="2:7" ht="12.75">
      <c r="B63" s="1">
        <v>41</v>
      </c>
      <c r="C63" s="1">
        <v>170.856491</v>
      </c>
      <c r="D63" s="1">
        <v>-341.398109</v>
      </c>
      <c r="E63" s="1">
        <v>13.513551</v>
      </c>
      <c r="F63" s="4">
        <v>-1.83E-05</v>
      </c>
      <c r="G63" s="1">
        <v>-0.577344</v>
      </c>
    </row>
    <row r="64" spans="2:7" ht="12.75">
      <c r="B64" s="1">
        <v>42</v>
      </c>
      <c r="C64" s="1">
        <v>170.856491</v>
      </c>
      <c r="D64" s="1">
        <v>-341.398109</v>
      </c>
      <c r="E64" s="1">
        <v>13.513551</v>
      </c>
      <c r="F64" s="4">
        <v>-1.83E-05</v>
      </c>
      <c r="G64" s="1">
        <v>-0.577344</v>
      </c>
    </row>
    <row r="65" spans="2:7" ht="12.75">
      <c r="B65" s="1">
        <v>43</v>
      </c>
      <c r="C65" s="1">
        <v>170.854376</v>
      </c>
      <c r="D65" s="1">
        <v>-407.997437</v>
      </c>
      <c r="E65" s="1">
        <v>128.868184</v>
      </c>
      <c r="F65" s="4">
        <v>-1.26E-06</v>
      </c>
      <c r="G65" s="4">
        <v>4.19E-06</v>
      </c>
    </row>
    <row r="66" spans="2:7" ht="12.75">
      <c r="B66" s="1">
        <v>44</v>
      </c>
      <c r="C66" s="1">
        <v>170.854376</v>
      </c>
      <c r="D66" s="1">
        <v>-407.997437</v>
      </c>
      <c r="E66" s="1">
        <v>128.86789</v>
      </c>
      <c r="F66" s="4">
        <v>-1.26E-06</v>
      </c>
      <c r="G66" s="4">
        <v>4.19E-06</v>
      </c>
    </row>
    <row r="67" spans="2:7" ht="12.75">
      <c r="B67" s="1">
        <v>45</v>
      </c>
      <c r="C67" s="1">
        <v>168.534517</v>
      </c>
      <c r="D67" s="4">
        <v>1000000</v>
      </c>
      <c r="E67" s="1">
        <v>-21.13211</v>
      </c>
      <c r="F67" s="1">
        <v>-0.000806</v>
      </c>
      <c r="G67" s="1">
        <v>0.000746</v>
      </c>
    </row>
    <row r="68" spans="2:7" ht="12.75">
      <c r="B68" s="1">
        <v>46</v>
      </c>
      <c r="C68" s="1">
        <v>170.854534</v>
      </c>
      <c r="D68" s="1">
        <v>-407.997961</v>
      </c>
      <c r="E68" s="1">
        <v>3.868462</v>
      </c>
      <c r="F68" s="1">
        <v>-0.30052</v>
      </c>
      <c r="G68" s="4">
        <v>239000</v>
      </c>
    </row>
    <row r="69" spans="2:7" ht="12.75">
      <c r="B69" s="1">
        <v>47</v>
      </c>
      <c r="C69" s="1">
        <v>170.854534</v>
      </c>
      <c r="D69" s="1">
        <v>-407.998533</v>
      </c>
      <c r="E69" s="1">
        <v>3.868462</v>
      </c>
      <c r="F69" s="1">
        <v>-0.30052</v>
      </c>
      <c r="G69" s="4">
        <v>239000</v>
      </c>
    </row>
    <row r="70" spans="2:7" ht="12.75">
      <c r="B70" s="1">
        <v>48</v>
      </c>
      <c r="C70" s="1">
        <v>170.854565</v>
      </c>
      <c r="D70" s="1">
        <v>-432.998533</v>
      </c>
      <c r="E70" s="1">
        <v>3.868358</v>
      </c>
      <c r="F70" s="1">
        <v>-0.30052</v>
      </c>
      <c r="G70" s="4">
        <v>239000</v>
      </c>
    </row>
    <row r="71" spans="2:7" ht="12.75">
      <c r="B71" s="1">
        <v>49</v>
      </c>
      <c r="C71" s="1">
        <v>170.854565</v>
      </c>
      <c r="D71" s="1">
        <v>-432.998533</v>
      </c>
      <c r="E71" s="1">
        <v>3.868358</v>
      </c>
      <c r="F71" s="1">
        <v>-0.30052</v>
      </c>
      <c r="G71" s="4">
        <v>239000</v>
      </c>
    </row>
    <row r="72" spans="2:7" ht="12.75">
      <c r="B72" s="1">
        <v>50</v>
      </c>
      <c r="C72" s="1">
        <v>168.546847</v>
      </c>
      <c r="D72" s="4">
        <v>-708000</v>
      </c>
      <c r="E72" s="4">
        <v>707000</v>
      </c>
      <c r="F72" s="1">
        <v>-1.080066</v>
      </c>
      <c r="G72" s="1">
        <v>1340.341805</v>
      </c>
    </row>
    <row r="73" spans="2:7" ht="12.75">
      <c r="B73" s="1">
        <v>51</v>
      </c>
      <c r="C73" s="1">
        <v>170.858759</v>
      </c>
      <c r="D73" s="1">
        <v>-457.998896</v>
      </c>
      <c r="E73" s="1">
        <v>3.871196</v>
      </c>
      <c r="F73" s="4">
        <v>-1.26E-06</v>
      </c>
      <c r="G73" s="4">
        <v>4.19E-06</v>
      </c>
    </row>
    <row r="74" spans="2:7" ht="12.75">
      <c r="B74" s="1">
        <v>52</v>
      </c>
      <c r="C74" s="1">
        <v>-1857.546822</v>
      </c>
      <c r="D74" s="4">
        <v>-708000</v>
      </c>
      <c r="E74" s="4">
        <v>707000</v>
      </c>
      <c r="F74" s="1">
        <v>-1.417942</v>
      </c>
      <c r="G74" s="1">
        <v>-1.002283</v>
      </c>
    </row>
    <row r="75" spans="2:7" ht="12.75">
      <c r="B75" s="1">
        <v>53</v>
      </c>
      <c r="C75" s="1">
        <v>170.854597</v>
      </c>
      <c r="D75" s="1">
        <v>-457.995952</v>
      </c>
      <c r="E75" s="1">
        <v>3.868253</v>
      </c>
      <c r="F75" s="1">
        <v>1.414228</v>
      </c>
      <c r="G75" s="1">
        <v>-1.000004</v>
      </c>
    </row>
    <row r="76" spans="2:7" ht="12.75">
      <c r="B76" s="1">
        <v>54</v>
      </c>
      <c r="C76" s="1">
        <v>168.554662</v>
      </c>
      <c r="D76" s="4">
        <v>-1000000</v>
      </c>
      <c r="E76" s="1">
        <v>3.867173</v>
      </c>
      <c r="F76" s="1">
        <v>0.000806</v>
      </c>
      <c r="G76" s="1">
        <v>0.000746</v>
      </c>
    </row>
    <row r="77" spans="2:7" ht="12.75">
      <c r="B77" s="1">
        <v>55</v>
      </c>
      <c r="C77" s="1">
        <v>168.534517</v>
      </c>
      <c r="D77" s="4">
        <v>-1000000</v>
      </c>
      <c r="E77" s="1">
        <v>-21.132827</v>
      </c>
      <c r="F77" s="1">
        <v>0.000806</v>
      </c>
      <c r="G77" s="1">
        <v>0.000746</v>
      </c>
    </row>
    <row r="78" spans="2:7" ht="12.75">
      <c r="B78" s="1">
        <v>56</v>
      </c>
      <c r="C78" s="1">
        <v>170.858602</v>
      </c>
      <c r="D78" s="1">
        <v>-457.998372</v>
      </c>
      <c r="E78" s="1">
        <v>128.867847</v>
      </c>
      <c r="F78" s="4">
        <v>1.8E-05</v>
      </c>
      <c r="G78" s="1">
        <v>0.577346</v>
      </c>
    </row>
    <row r="79" spans="2:7" ht="12.75">
      <c r="B79" s="1">
        <v>57</v>
      </c>
      <c r="C79" s="1">
        <v>170.858602</v>
      </c>
      <c r="D79" s="1">
        <v>-457.998394</v>
      </c>
      <c r="E79" s="1">
        <v>128.86781</v>
      </c>
      <c r="F79" s="4">
        <v>1.8E-05</v>
      </c>
      <c r="G79" s="1">
        <v>0.577346</v>
      </c>
    </row>
    <row r="80" spans="2:7" ht="12.75">
      <c r="B80" s="1">
        <v>58</v>
      </c>
      <c r="C80" s="1">
        <v>170.85653</v>
      </c>
      <c r="D80" s="1">
        <v>-524.598058</v>
      </c>
      <c r="E80" s="1">
        <v>13.513032</v>
      </c>
      <c r="F80" s="4">
        <v>1.8E-05</v>
      </c>
      <c r="G80" s="1">
        <v>0.577346</v>
      </c>
    </row>
    <row r="81" spans="2:7" ht="12.75">
      <c r="B81" s="1">
        <v>59</v>
      </c>
      <c r="C81" s="1">
        <v>170.85653</v>
      </c>
      <c r="D81" s="1">
        <v>-524.598058</v>
      </c>
      <c r="E81" s="1">
        <v>13.513032</v>
      </c>
      <c r="F81" s="4">
        <v>1.8E-05</v>
      </c>
      <c r="G81" s="1">
        <v>0.577346</v>
      </c>
    </row>
    <row r="82" spans="2:7" ht="12.75">
      <c r="B82" s="1">
        <v>60</v>
      </c>
      <c r="C82" s="1">
        <v>170.855908</v>
      </c>
      <c r="D82" s="1">
        <v>-544.597766</v>
      </c>
      <c r="E82" s="1">
        <v>-21.12771</v>
      </c>
      <c r="F82" s="4">
        <v>-1.8E-05</v>
      </c>
      <c r="G82" s="1">
        <v>-0.577346</v>
      </c>
    </row>
    <row r="83" spans="2:7" ht="12.75">
      <c r="B83" s="1">
        <v>61</v>
      </c>
      <c r="C83" s="1">
        <v>170.855908</v>
      </c>
      <c r="D83" s="1">
        <v>-544.597958</v>
      </c>
      <c r="E83" s="1">
        <v>-21.127377</v>
      </c>
      <c r="F83" s="4">
        <v>-1.8E-05</v>
      </c>
      <c r="G83" s="1">
        <v>-0.577346</v>
      </c>
    </row>
    <row r="84" spans="2:7" ht="12.75">
      <c r="B84" s="1">
        <v>62</v>
      </c>
      <c r="C84" s="1">
        <v>170.853544</v>
      </c>
      <c r="D84" s="1">
        <v>-620.587374</v>
      </c>
      <c r="E84" s="1">
        <v>110.491036</v>
      </c>
      <c r="F84" s="4">
        <v>-1.8E-05</v>
      </c>
      <c r="G84" s="1">
        <v>-0.577346</v>
      </c>
    </row>
    <row r="85" spans="2:7" ht="12.75">
      <c r="B85" s="1">
        <v>63</v>
      </c>
      <c r="C85" s="1">
        <v>170.853544</v>
      </c>
      <c r="D85" s="1">
        <v>-620.587374</v>
      </c>
      <c r="E85" s="1">
        <v>110.491035</v>
      </c>
      <c r="F85" s="4">
        <v>-1.95E-05</v>
      </c>
      <c r="G85" s="1">
        <v>0.176336</v>
      </c>
    </row>
    <row r="86" spans="2:7" ht="12.75">
      <c r="B86" s="1">
        <v>64</v>
      </c>
      <c r="C86" s="1">
        <v>170.853544</v>
      </c>
      <c r="D86" s="1">
        <v>-620.587374</v>
      </c>
      <c r="E86" s="1">
        <v>110.491036</v>
      </c>
      <c r="F86" s="4">
        <v>-1.95E-05</v>
      </c>
      <c r="G86" s="1">
        <v>0.176336</v>
      </c>
    </row>
    <row r="87" spans="2:7" ht="12.75">
      <c r="B87" s="1">
        <v>65</v>
      </c>
      <c r="C87" s="1">
        <v>170.853544</v>
      </c>
      <c r="D87" s="1">
        <v>-620.587444</v>
      </c>
      <c r="E87" s="1">
        <v>110.490639</v>
      </c>
      <c r="F87" s="4">
        <v>-1.95E-05</v>
      </c>
      <c r="G87" s="1">
        <v>0.176336</v>
      </c>
    </row>
    <row r="88" spans="2:7" ht="12.75">
      <c r="B88" s="1">
        <v>66</v>
      </c>
      <c r="C88" s="1">
        <v>170.854694</v>
      </c>
      <c r="D88" s="1">
        <v>-631.006879</v>
      </c>
      <c r="E88" s="1">
        <v>51.40227</v>
      </c>
      <c r="F88" s="4">
        <v>-1.95E-05</v>
      </c>
      <c r="G88" s="1">
        <v>0.176336</v>
      </c>
    </row>
    <row r="89" spans="2:7" ht="12.75">
      <c r="B89" s="1">
        <v>67</v>
      </c>
      <c r="C89" s="1">
        <v>170.855319</v>
      </c>
      <c r="D89" s="1">
        <v>-636.662659</v>
      </c>
      <c r="E89" s="1">
        <v>19.328471</v>
      </c>
      <c r="F89" s="1">
        <v>-57841.55084</v>
      </c>
      <c r="G89" s="1">
        <v>0.717173</v>
      </c>
    </row>
    <row r="90" spans="2:7" ht="12.75">
      <c r="B90" s="1">
        <v>68</v>
      </c>
      <c r="C90" s="1">
        <v>170.856678</v>
      </c>
      <c r="D90" s="1">
        <v>-636.662659</v>
      </c>
      <c r="E90" s="1">
        <v>19.328471</v>
      </c>
      <c r="F90" s="1">
        <v>-57841.55083</v>
      </c>
      <c r="G90" s="1">
        <v>0.717173</v>
      </c>
    </row>
    <row r="91" spans="2:7" ht="12.75">
      <c r="B91" s="1">
        <v>69</v>
      </c>
      <c r="C91" s="1">
        <v>250.856678</v>
      </c>
      <c r="D91" s="1">
        <v>-636.663651</v>
      </c>
      <c r="E91" s="1">
        <v>19.327088</v>
      </c>
      <c r="F91" s="1">
        <v>-57841.55083</v>
      </c>
      <c r="G91" s="1">
        <v>0.717173</v>
      </c>
    </row>
    <row r="92" spans="2:5" ht="12.75">
      <c r="B92" s="1">
        <v>70</v>
      </c>
      <c r="C92" s="1">
        <v>250.856678</v>
      </c>
      <c r="D92" s="1">
        <v>-636.663651</v>
      </c>
      <c r="E92" s="1">
        <v>19.327088</v>
      </c>
    </row>
    <row r="93" ht="12.75">
      <c r="B93" s="1" t="s">
        <v>39</v>
      </c>
    </row>
    <row r="94" ht="12.75">
      <c r="B94" s="1" t="s">
        <v>39</v>
      </c>
    </row>
    <row r="95" spans="2:4" ht="12.75">
      <c r="B95" s="1" t="s">
        <v>39</v>
      </c>
      <c r="C95" s="1" t="s">
        <v>85</v>
      </c>
      <c r="D95" s="1" t="s">
        <v>86</v>
      </c>
    </row>
  </sheetData>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&amp;L&amp;F, &amp;A&amp;R&amp;T, &amp;D</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B1:J88"/>
  <sheetViews>
    <sheetView workbookViewId="0" topLeftCell="A1">
      <selection activeCell="A1" sqref="A1:J8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377</v>
      </c>
    </row>
    <row r="6" spans="2:3" ht="12.75">
      <c r="B6" s="1" t="s">
        <v>39</v>
      </c>
      <c r="C6" s="1" t="s">
        <v>48</v>
      </c>
    </row>
    <row r="7" spans="2:3" ht="12.75">
      <c r="B7" s="2">
        <v>36907</v>
      </c>
      <c r="C7" s="3">
        <v>0.7617476851851852</v>
      </c>
    </row>
    <row r="8" ht="12.75">
      <c r="B8" s="1" t="s">
        <v>39</v>
      </c>
    </row>
    <row r="9" spans="2:10" ht="12.75">
      <c r="B9" s="1" t="s">
        <v>39</v>
      </c>
      <c r="C9" s="1" t="s">
        <v>49</v>
      </c>
      <c r="D9" s="1">
        <v>2</v>
      </c>
      <c r="E9" s="1" t="s">
        <v>87</v>
      </c>
      <c r="F9" s="1">
        <v>0</v>
      </c>
      <c r="G9" s="1">
        <v>0</v>
      </c>
      <c r="H9" s="1" t="s">
        <v>50</v>
      </c>
      <c r="I9" s="1" t="s">
        <v>88</v>
      </c>
      <c r="J9" s="1" t="s">
        <v>51</v>
      </c>
    </row>
    <row r="10" spans="2:8" ht="12.75">
      <c r="B10" s="1" t="s">
        <v>44</v>
      </c>
      <c r="C10" s="1" t="s">
        <v>46</v>
      </c>
      <c r="D10" s="1" t="s">
        <v>47</v>
      </c>
      <c r="E10" s="1" t="s">
        <v>377</v>
      </c>
      <c r="F10" s="1">
        <v>238</v>
      </c>
      <c r="G10" s="2">
        <v>36907</v>
      </c>
      <c r="H10" s="3">
        <v>0.7617476851851852</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-0.2026</v>
      </c>
      <c r="G16" s="1" t="s">
        <v>67</v>
      </c>
      <c r="H16" s="1">
        <v>-2.2892</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11.427556</v>
      </c>
      <c r="D23" s="1">
        <v>55.801639</v>
      </c>
      <c r="E23" s="1">
        <v>-1050.074415</v>
      </c>
      <c r="F23" s="1">
        <v>-0.000666</v>
      </c>
      <c r="G23" s="1">
        <v>-0.003252</v>
      </c>
    </row>
    <row r="24" spans="2:7" ht="12.75">
      <c r="B24" s="1">
        <v>2</v>
      </c>
      <c r="C24" s="1">
        <v>-0.406484</v>
      </c>
      <c r="D24" s="1">
        <v>-1.984891</v>
      </c>
      <c r="E24" s="1">
        <v>16720.938</v>
      </c>
      <c r="F24" s="1">
        <v>-0.000666</v>
      </c>
      <c r="G24" s="1">
        <v>-0.003252</v>
      </c>
    </row>
    <row r="25" spans="2:7" ht="12.75">
      <c r="B25" s="1">
        <v>3</v>
      </c>
      <c r="C25" s="1">
        <v>-0.406484</v>
      </c>
      <c r="D25" s="1">
        <v>-1.984891</v>
      </c>
      <c r="E25" s="1">
        <v>16720.938</v>
      </c>
      <c r="F25" s="1">
        <v>-0.000666</v>
      </c>
      <c r="G25" s="1">
        <v>-0.003252</v>
      </c>
    </row>
    <row r="26" spans="2:7" ht="12.75">
      <c r="B26" s="1">
        <v>4</v>
      </c>
      <c r="C26" s="1">
        <v>11.427614</v>
      </c>
      <c r="D26" s="1">
        <v>55.801923</v>
      </c>
      <c r="E26" s="1">
        <v>-1050.162</v>
      </c>
      <c r="F26" s="1">
        <v>-0.000666</v>
      </c>
      <c r="G26" s="1">
        <v>-0.003252</v>
      </c>
    </row>
    <row r="27" spans="2:7" ht="12.75">
      <c r="B27" s="1">
        <v>5</v>
      </c>
      <c r="C27" s="1">
        <v>12.75945</v>
      </c>
      <c r="D27" s="1">
        <v>62.305383</v>
      </c>
      <c r="E27" s="1">
        <v>-3050.162</v>
      </c>
      <c r="F27" s="1">
        <v>-0.000666</v>
      </c>
      <c r="G27" s="1">
        <v>-0.003252</v>
      </c>
    </row>
    <row r="28" spans="2:7" ht="12.75">
      <c r="B28" s="1">
        <v>6</v>
      </c>
      <c r="C28" s="1">
        <v>11.427923</v>
      </c>
      <c r="D28" s="1">
        <v>55.803431</v>
      </c>
      <c r="E28" s="1">
        <v>-1050.625517</v>
      </c>
      <c r="F28" s="1">
        <v>0.007199</v>
      </c>
      <c r="G28" s="1">
        <v>0.035152</v>
      </c>
    </row>
    <row r="29" spans="2:7" ht="12.75">
      <c r="B29" s="1">
        <v>7</v>
      </c>
      <c r="C29" s="4">
        <v>3.55E-15</v>
      </c>
      <c r="D29" s="4">
        <v>1.42E-14</v>
      </c>
      <c r="E29" s="1">
        <v>-2638.131</v>
      </c>
      <c r="F29" s="1">
        <v>-0.007199</v>
      </c>
      <c r="G29" s="1">
        <v>-0.035152</v>
      </c>
    </row>
    <row r="30" spans="2:7" ht="12.75">
      <c r="B30" s="1">
        <v>8</v>
      </c>
      <c r="C30" s="1">
        <v>-11.431259</v>
      </c>
      <c r="D30" s="1">
        <v>-55.819724</v>
      </c>
      <c r="E30" s="1">
        <v>-1050.162</v>
      </c>
      <c r="F30" s="1">
        <v>-0.007199</v>
      </c>
      <c r="G30" s="1">
        <v>-0.035152</v>
      </c>
    </row>
    <row r="31" spans="2:7" ht="12.75">
      <c r="B31" s="1">
        <v>9</v>
      </c>
      <c r="C31" s="1">
        <v>-18.784562</v>
      </c>
      <c r="D31" s="1">
        <v>-91.72647</v>
      </c>
      <c r="E31" s="1">
        <v>-28.68079</v>
      </c>
      <c r="F31" s="1">
        <v>-0.007199</v>
      </c>
      <c r="G31" s="1">
        <v>-0.035152</v>
      </c>
    </row>
    <row r="32" spans="2:7" ht="12.75">
      <c r="B32" s="1">
        <v>10</v>
      </c>
      <c r="C32" s="1">
        <v>-18.990607</v>
      </c>
      <c r="D32" s="1">
        <v>-92.732603</v>
      </c>
      <c r="E32" s="1">
        <v>-0.058139</v>
      </c>
      <c r="F32" s="1">
        <v>-0.007199</v>
      </c>
      <c r="G32" s="1">
        <v>-0.035152</v>
      </c>
    </row>
    <row r="33" spans="2:7" ht="12.75">
      <c r="B33" s="1">
        <v>11</v>
      </c>
      <c r="C33" s="1">
        <v>-19.500476</v>
      </c>
      <c r="D33" s="1">
        <v>-95.222336</v>
      </c>
      <c r="E33" s="1">
        <v>70.770194</v>
      </c>
      <c r="F33" s="1">
        <v>-0.105458</v>
      </c>
      <c r="G33" s="1">
        <v>0.56735</v>
      </c>
    </row>
    <row r="34" spans="2:7" ht="12.75">
      <c r="B34" s="1">
        <v>12</v>
      </c>
      <c r="C34" s="1">
        <v>-19.586621</v>
      </c>
      <c r="D34" s="1">
        <v>-94.75889</v>
      </c>
      <c r="E34" s="1">
        <v>71.587053</v>
      </c>
      <c r="F34" s="1">
        <v>-0.105458</v>
      </c>
      <c r="G34" s="1">
        <v>0.56735</v>
      </c>
    </row>
    <row r="35" spans="2:7" ht="12.75">
      <c r="B35" s="1">
        <v>13</v>
      </c>
      <c r="C35" s="1">
        <v>-0.002619</v>
      </c>
      <c r="D35" s="1">
        <v>-200.11827</v>
      </c>
      <c r="E35" s="1">
        <v>-114.117194</v>
      </c>
      <c r="F35" s="1">
        <v>-0.105458</v>
      </c>
      <c r="G35" s="1">
        <v>0.56735</v>
      </c>
    </row>
    <row r="36" spans="2:7" ht="12.75">
      <c r="B36" s="1">
        <v>14</v>
      </c>
      <c r="C36" s="1">
        <v>-0.002619</v>
      </c>
      <c r="D36" s="1">
        <v>-200.11827</v>
      </c>
      <c r="E36" s="1">
        <v>-114.117194</v>
      </c>
      <c r="F36" s="1">
        <v>0.092284</v>
      </c>
      <c r="G36" s="1">
        <v>0.110726</v>
      </c>
    </row>
    <row r="37" spans="2:7" ht="12.75">
      <c r="B37" s="1">
        <v>15</v>
      </c>
      <c r="C37" s="1">
        <v>-0.002619</v>
      </c>
      <c r="D37" s="1">
        <v>-200.11827</v>
      </c>
      <c r="E37" s="1">
        <v>-114.117194</v>
      </c>
      <c r="F37" s="1">
        <v>0.092284</v>
      </c>
      <c r="G37" s="1">
        <v>0.110726</v>
      </c>
    </row>
    <row r="38" spans="2:7" ht="12.75">
      <c r="B38" s="1">
        <v>16</v>
      </c>
      <c r="C38" s="1">
        <v>-0.003126</v>
      </c>
      <c r="D38" s="1">
        <v>-200.118878</v>
      </c>
      <c r="E38" s="1">
        <v>-114.122683</v>
      </c>
      <c r="F38" s="1">
        <v>0.092284</v>
      </c>
      <c r="G38" s="1">
        <v>0.110726</v>
      </c>
    </row>
    <row r="39" spans="2:7" ht="12.75">
      <c r="B39" s="1">
        <v>17</v>
      </c>
      <c r="C39" s="1">
        <v>18.0297</v>
      </c>
      <c r="D39" s="1">
        <v>-178.482563</v>
      </c>
      <c r="E39" s="1">
        <v>81.282101</v>
      </c>
      <c r="F39" s="1">
        <v>0.040144</v>
      </c>
      <c r="G39" s="1">
        <v>0.455486</v>
      </c>
    </row>
    <row r="40" spans="2:7" ht="12.75">
      <c r="B40" s="1">
        <v>18</v>
      </c>
      <c r="C40" s="1">
        <v>18.042666</v>
      </c>
      <c r="D40" s="1">
        <v>-178.335449</v>
      </c>
      <c r="E40" s="1">
        <v>81.605082</v>
      </c>
      <c r="F40" s="1">
        <v>0.040144</v>
      </c>
      <c r="G40" s="1">
        <v>0.455486</v>
      </c>
    </row>
    <row r="41" spans="2:7" ht="12.75">
      <c r="B41" s="1">
        <v>19</v>
      </c>
      <c r="C41" s="1">
        <v>10.994499</v>
      </c>
      <c r="D41" s="1">
        <v>-258.30578</v>
      </c>
      <c r="E41" s="1">
        <v>-93.966358</v>
      </c>
      <c r="F41" s="1">
        <v>0.040144</v>
      </c>
      <c r="G41" s="1">
        <v>0.455486</v>
      </c>
    </row>
    <row r="42" spans="2:7" ht="12.75">
      <c r="B42" s="1">
        <v>20</v>
      </c>
      <c r="C42" s="1">
        <v>10.973657</v>
      </c>
      <c r="D42" s="1">
        <v>-258.542261</v>
      </c>
      <c r="E42" s="1">
        <v>-94.485541</v>
      </c>
      <c r="F42" s="1">
        <v>0.022597</v>
      </c>
      <c r="G42" s="1">
        <v>-0.094222</v>
      </c>
    </row>
    <row r="43" spans="2:7" ht="12.75">
      <c r="B43" s="1">
        <v>21</v>
      </c>
      <c r="C43" s="1">
        <v>10.983347</v>
      </c>
      <c r="D43" s="1">
        <v>-258.582662</v>
      </c>
      <c r="E43" s="1">
        <v>-94.056751</v>
      </c>
      <c r="F43" s="1">
        <v>0.022597</v>
      </c>
      <c r="G43" s="1">
        <v>-0.094222</v>
      </c>
    </row>
    <row r="44" spans="2:7" ht="12.75">
      <c r="B44" s="1">
        <v>22</v>
      </c>
      <c r="C44" s="1">
        <v>15.521875</v>
      </c>
      <c r="D44" s="1">
        <v>-277.506548</v>
      </c>
      <c r="E44" s="1">
        <v>106.787347</v>
      </c>
      <c r="F44" s="1">
        <v>0.08344</v>
      </c>
      <c r="G44" s="1">
        <v>0.82359</v>
      </c>
    </row>
    <row r="45" spans="2:7" ht="12.75">
      <c r="B45" s="1">
        <v>23</v>
      </c>
      <c r="C45" s="1">
        <v>15.490912</v>
      </c>
      <c r="D45" s="1">
        <v>-277.812169</v>
      </c>
      <c r="E45" s="1">
        <v>106.416262</v>
      </c>
      <c r="F45" s="1">
        <v>0.08344</v>
      </c>
      <c r="G45" s="1">
        <v>0.82359</v>
      </c>
    </row>
    <row r="46" spans="2:7" ht="12.75">
      <c r="B46" s="1">
        <v>24</v>
      </c>
      <c r="C46" s="1">
        <v>3.403216</v>
      </c>
      <c r="D46" s="1">
        <v>-397.122812</v>
      </c>
      <c r="E46" s="1">
        <v>-38.450296</v>
      </c>
      <c r="F46" s="1">
        <v>-0.069661</v>
      </c>
      <c r="G46" s="1">
        <v>-1.088966</v>
      </c>
    </row>
    <row r="47" spans="2:7" ht="12.75">
      <c r="B47" s="1">
        <v>25</v>
      </c>
      <c r="C47" s="1">
        <v>3.386021</v>
      </c>
      <c r="D47" s="1">
        <v>-397.391603</v>
      </c>
      <c r="E47" s="1">
        <v>-38.203465</v>
      </c>
      <c r="F47" s="1">
        <v>-0.069661</v>
      </c>
      <c r="G47" s="1">
        <v>-1.088966</v>
      </c>
    </row>
    <row r="48" spans="2:7" ht="12.75">
      <c r="B48" s="1">
        <v>26</v>
      </c>
      <c r="C48" s="1">
        <v>0.087781</v>
      </c>
      <c r="D48" s="1">
        <v>-448.950976</v>
      </c>
      <c r="E48" s="1">
        <v>9.143638</v>
      </c>
      <c r="F48" s="1">
        <v>-0.069661</v>
      </c>
      <c r="G48" s="1">
        <v>-1.088966</v>
      </c>
    </row>
    <row r="49" spans="2:7" ht="12.75">
      <c r="B49" s="1">
        <v>27</v>
      </c>
      <c r="C49" s="1">
        <v>-6.04551</v>
      </c>
      <c r="D49" s="1">
        <v>-544.828974</v>
      </c>
      <c r="E49" s="1">
        <v>97.188646</v>
      </c>
      <c r="F49" s="1">
        <v>0.014846</v>
      </c>
      <c r="G49" s="1">
        <v>-0.124712</v>
      </c>
    </row>
    <row r="50" spans="2:7" ht="12.75">
      <c r="B50" s="1">
        <v>28</v>
      </c>
      <c r="C50" s="1">
        <v>-6.041554</v>
      </c>
      <c r="D50" s="1">
        <v>-544.862206</v>
      </c>
      <c r="E50" s="1">
        <v>97.455115</v>
      </c>
      <c r="F50" s="1">
        <v>0.014846</v>
      </c>
      <c r="G50" s="1">
        <v>-0.124712</v>
      </c>
    </row>
    <row r="51" spans="2:7" ht="12.75">
      <c r="B51" s="1">
        <v>29</v>
      </c>
      <c r="C51" s="1">
        <v>-10.755735</v>
      </c>
      <c r="D51" s="1">
        <v>-505.261042</v>
      </c>
      <c r="E51" s="1">
        <v>-220.085158</v>
      </c>
      <c r="F51" s="1">
        <v>0.014846</v>
      </c>
      <c r="G51" s="1">
        <v>-0.124712</v>
      </c>
    </row>
    <row r="52" spans="2:7" ht="12.75">
      <c r="B52" s="1">
        <v>30</v>
      </c>
      <c r="C52" s="1">
        <v>-10.755735</v>
      </c>
      <c r="D52" s="1">
        <v>-505.261042</v>
      </c>
      <c r="E52" s="1">
        <v>-220.085158</v>
      </c>
      <c r="F52" s="1">
        <v>0.014846</v>
      </c>
      <c r="G52" s="1">
        <v>-0.124712</v>
      </c>
    </row>
    <row r="53" spans="2:7" ht="12.75">
      <c r="B53" s="1">
        <v>31</v>
      </c>
      <c r="C53" s="1">
        <v>-8.033705</v>
      </c>
      <c r="D53" s="1">
        <v>-528.127272</v>
      </c>
      <c r="E53" s="1">
        <v>-36.733246</v>
      </c>
      <c r="F53" s="1">
        <v>-0.020212</v>
      </c>
      <c r="G53" s="1">
        <v>-0.939339</v>
      </c>
    </row>
    <row r="54" spans="2:7" ht="12.75">
      <c r="B54" s="1">
        <v>32</v>
      </c>
      <c r="C54" s="1">
        <v>-7.956233</v>
      </c>
      <c r="D54" s="1">
        <v>-524.526814</v>
      </c>
      <c r="E54" s="1">
        <v>-40.566217</v>
      </c>
      <c r="F54" s="1">
        <v>-0.020212</v>
      </c>
      <c r="G54" s="1">
        <v>-0.939339</v>
      </c>
    </row>
    <row r="55" spans="2:7" ht="12.75">
      <c r="B55" s="1">
        <v>33</v>
      </c>
      <c r="C55" s="1">
        <v>-8.111177</v>
      </c>
      <c r="D55" s="1">
        <v>-531.727731</v>
      </c>
      <c r="E55" s="1">
        <v>-32.900276</v>
      </c>
      <c r="F55" s="1">
        <v>-0.020212</v>
      </c>
      <c r="G55" s="1">
        <v>-0.939339</v>
      </c>
    </row>
    <row r="56" spans="2:7" ht="12.75">
      <c r="B56" s="1">
        <v>34</v>
      </c>
      <c r="C56" s="1">
        <v>-8.033705</v>
      </c>
      <c r="D56" s="1">
        <v>-528.127272</v>
      </c>
      <c r="E56" s="1">
        <v>-36.733246</v>
      </c>
      <c r="F56" s="1">
        <v>-0.020212</v>
      </c>
      <c r="G56" s="1">
        <v>-0.939339</v>
      </c>
    </row>
    <row r="57" spans="2:7" ht="12.75">
      <c r="B57" s="1">
        <v>35</v>
      </c>
      <c r="C57" s="1">
        <v>-8.030349</v>
      </c>
      <c r="D57" s="1">
        <v>-527.971302</v>
      </c>
      <c r="E57" s="1">
        <v>-36.89929</v>
      </c>
      <c r="F57" s="1">
        <v>-0.020212</v>
      </c>
      <c r="G57" s="1">
        <v>-0.939339</v>
      </c>
    </row>
    <row r="58" spans="2:7" ht="12.75">
      <c r="B58" s="1">
        <v>36</v>
      </c>
      <c r="C58" s="1">
        <v>-10.168951</v>
      </c>
      <c r="D58" s="1">
        <v>-627.36187</v>
      </c>
      <c r="E58" s="1">
        <v>68.909762</v>
      </c>
      <c r="F58" s="1">
        <v>-98.506828</v>
      </c>
      <c r="G58" s="1">
        <v>-1.055117</v>
      </c>
    </row>
    <row r="59" spans="2:7" ht="12.75">
      <c r="B59" s="1">
        <v>37</v>
      </c>
      <c r="C59" s="4">
        <v>3.59E-09</v>
      </c>
      <c r="D59" s="1">
        <v>-627.252949</v>
      </c>
      <c r="E59" s="1">
        <v>68.806531</v>
      </c>
      <c r="F59" s="1">
        <v>-98.506828</v>
      </c>
      <c r="G59" s="1">
        <v>-1.055117</v>
      </c>
    </row>
    <row r="60" spans="2:7" ht="12.75">
      <c r="B60" s="1">
        <v>38</v>
      </c>
      <c r="C60" s="1">
        <v>-50</v>
      </c>
      <c r="D60" s="1">
        <v>-627.788504</v>
      </c>
      <c r="E60" s="1">
        <v>69.31411</v>
      </c>
      <c r="F60" s="1">
        <v>-98.506828</v>
      </c>
      <c r="G60" s="1">
        <v>-1.055117</v>
      </c>
    </row>
    <row r="61" spans="2:7" ht="12.75">
      <c r="B61" s="1">
        <v>39</v>
      </c>
      <c r="C61" s="1">
        <v>-34.14</v>
      </c>
      <c r="D61" s="1">
        <v>-627.618626</v>
      </c>
      <c r="E61" s="1">
        <v>69.153106</v>
      </c>
      <c r="F61" s="1">
        <v>-98.506828</v>
      </c>
      <c r="G61" s="1">
        <v>-1.055117</v>
      </c>
    </row>
    <row r="62" spans="2:7" ht="12.75">
      <c r="B62" s="1">
        <v>40</v>
      </c>
      <c r="C62" s="1">
        <v>-29.14</v>
      </c>
      <c r="D62" s="1">
        <v>-627.565071</v>
      </c>
      <c r="E62" s="1">
        <v>69.102348</v>
      </c>
      <c r="F62" s="1">
        <v>-98.506828</v>
      </c>
      <c r="G62" s="1">
        <v>-1.055117</v>
      </c>
    </row>
    <row r="63" spans="2:7" ht="12.75">
      <c r="B63" s="1">
        <v>41</v>
      </c>
      <c r="C63" s="1">
        <v>-34.14</v>
      </c>
      <c r="D63" s="1">
        <v>-627.618626</v>
      </c>
      <c r="E63" s="1">
        <v>69.153106</v>
      </c>
      <c r="F63" s="1">
        <v>-98.506828</v>
      </c>
      <c r="G63" s="1">
        <v>-1.055117</v>
      </c>
    </row>
    <row r="64" spans="2:7" ht="12.75">
      <c r="B64" s="1">
        <v>42</v>
      </c>
      <c r="C64" s="1">
        <v>-10.168951</v>
      </c>
      <c r="D64" s="1">
        <v>-627.36187</v>
      </c>
      <c r="E64" s="1">
        <v>68.909762</v>
      </c>
      <c r="F64" s="1">
        <v>-0.020212</v>
      </c>
      <c r="G64" s="1">
        <v>-0.939339</v>
      </c>
    </row>
    <row r="65" spans="2:7" ht="12.75">
      <c r="B65" s="1">
        <v>43</v>
      </c>
      <c r="C65" s="1">
        <v>-10.019144</v>
      </c>
      <c r="D65" s="1">
        <v>-620.399652</v>
      </c>
      <c r="E65" s="1">
        <v>61.497935</v>
      </c>
      <c r="F65" s="1">
        <v>-0.020212</v>
      </c>
      <c r="G65" s="1">
        <v>-0.939339</v>
      </c>
    </row>
    <row r="66" spans="2:7" ht="12.75">
      <c r="B66" s="1">
        <v>44</v>
      </c>
      <c r="C66" s="1">
        <v>-8.033705</v>
      </c>
      <c r="D66" s="1">
        <v>-528.127272</v>
      </c>
      <c r="E66" s="1">
        <v>-36.733246</v>
      </c>
      <c r="F66" s="1">
        <v>0.014846</v>
      </c>
      <c r="G66" s="1">
        <v>-0.124712</v>
      </c>
    </row>
    <row r="67" spans="2:7" ht="12.75">
      <c r="B67" s="1">
        <v>45</v>
      </c>
      <c r="C67" s="1">
        <v>-8.030349</v>
      </c>
      <c r="D67" s="1">
        <v>-528.155465</v>
      </c>
      <c r="E67" s="1">
        <v>-36.507188</v>
      </c>
      <c r="F67" s="1">
        <v>0.014846</v>
      </c>
      <c r="G67" s="1">
        <v>-0.124712</v>
      </c>
    </row>
    <row r="68" spans="2:7" ht="12.75">
      <c r="B68" s="1">
        <v>46</v>
      </c>
      <c r="C68" s="1">
        <v>-9.569267</v>
      </c>
      <c r="D68" s="1">
        <v>-515.227885</v>
      </c>
      <c r="E68" s="1">
        <v>-140.166446</v>
      </c>
      <c r="F68" s="1">
        <v>-1.237908</v>
      </c>
      <c r="G68" s="1">
        <v>-0.126994</v>
      </c>
    </row>
    <row r="69" spans="2:7" ht="12.75">
      <c r="B69" s="1">
        <v>47</v>
      </c>
      <c r="C69" s="1">
        <v>-5.261249</v>
      </c>
      <c r="D69" s="1">
        <v>-514.785935</v>
      </c>
      <c r="E69" s="1">
        <v>-143.646527</v>
      </c>
      <c r="F69" s="1">
        <v>-1.237908</v>
      </c>
      <c r="G69" s="1">
        <v>-0.126994</v>
      </c>
    </row>
    <row r="70" spans="2:7" ht="12.75">
      <c r="B70" s="1">
        <v>48</v>
      </c>
      <c r="C70" s="1">
        <v>-13.877286</v>
      </c>
      <c r="D70" s="1">
        <v>-515.669835</v>
      </c>
      <c r="E70" s="1">
        <v>-136.686366</v>
      </c>
      <c r="F70" s="1">
        <v>-1.237908</v>
      </c>
      <c r="G70" s="1">
        <v>-0.126994</v>
      </c>
    </row>
    <row r="71" spans="2:7" ht="12.75">
      <c r="B71" s="1">
        <v>49</v>
      </c>
      <c r="C71" s="1">
        <v>-9.569267</v>
      </c>
      <c r="D71" s="1">
        <v>-515.227885</v>
      </c>
      <c r="E71" s="1">
        <v>-140.166446</v>
      </c>
      <c r="F71" s="1">
        <v>-1.237908</v>
      </c>
      <c r="G71" s="1">
        <v>-0.126994</v>
      </c>
    </row>
    <row r="72" spans="2:7" ht="12.75">
      <c r="B72" s="1">
        <v>50</v>
      </c>
      <c r="C72" s="1">
        <v>-6.108752</v>
      </c>
      <c r="D72" s="1">
        <v>-514.872878</v>
      </c>
      <c r="E72" s="1">
        <v>-142.961902</v>
      </c>
      <c r="F72" s="1">
        <v>-1.237908</v>
      </c>
      <c r="G72" s="1">
        <v>-0.126994</v>
      </c>
    </row>
    <row r="73" spans="2:7" ht="12.75">
      <c r="B73" s="1">
        <v>51</v>
      </c>
      <c r="C73" s="1">
        <v>-72.027431</v>
      </c>
      <c r="D73" s="1">
        <v>-521.635326</v>
      </c>
      <c r="E73" s="1">
        <v>-89.711826</v>
      </c>
      <c r="F73" s="1">
        <v>-1.237908</v>
      </c>
      <c r="G73" s="1">
        <v>-0.126994</v>
      </c>
    </row>
    <row r="74" spans="2:7" ht="12.75">
      <c r="B74" s="1">
        <v>52</v>
      </c>
      <c r="C74" s="1">
        <v>-65.435563</v>
      </c>
      <c r="D74" s="1">
        <v>-520.959081</v>
      </c>
      <c r="E74" s="1">
        <v>-95.036834</v>
      </c>
      <c r="F74" s="1">
        <v>-1.237908</v>
      </c>
      <c r="G74" s="1">
        <v>-0.126994</v>
      </c>
    </row>
    <row r="75" spans="2:7" ht="12.75">
      <c r="B75" s="1">
        <v>53</v>
      </c>
      <c r="C75" s="1">
        <v>-61.557994</v>
      </c>
      <c r="D75" s="1">
        <v>-520.56129</v>
      </c>
      <c r="E75" s="1">
        <v>-98.169191</v>
      </c>
      <c r="F75" s="1">
        <v>-1.237908</v>
      </c>
      <c r="G75" s="1">
        <v>-0.126994</v>
      </c>
    </row>
    <row r="76" spans="2:7" ht="12.75">
      <c r="B76" s="1">
        <v>54</v>
      </c>
      <c r="C76" s="1">
        <v>-65.435563</v>
      </c>
      <c r="D76" s="1">
        <v>-520.959081</v>
      </c>
      <c r="E76" s="1">
        <v>-95.036834</v>
      </c>
      <c r="F76" s="1">
        <v>-1.237908</v>
      </c>
      <c r="G76" s="1">
        <v>-0.126994</v>
      </c>
    </row>
    <row r="77" spans="2:7" ht="12.75">
      <c r="B77" s="1">
        <v>55</v>
      </c>
      <c r="C77" s="1">
        <v>-9.569267</v>
      </c>
      <c r="D77" s="1">
        <v>-515.227885</v>
      </c>
      <c r="E77" s="1">
        <v>-140.166446</v>
      </c>
      <c r="F77" s="1">
        <v>0.014846</v>
      </c>
      <c r="G77" s="1">
        <v>-0.124712</v>
      </c>
    </row>
    <row r="78" spans="2:7" ht="12.75">
      <c r="B78" s="1">
        <v>56</v>
      </c>
      <c r="C78" s="1">
        <v>-9.503531</v>
      </c>
      <c r="D78" s="1">
        <v>-515.780101</v>
      </c>
      <c r="E78" s="1">
        <v>-135.738523</v>
      </c>
      <c r="F78" s="1">
        <v>0.014846</v>
      </c>
      <c r="G78" s="1">
        <v>-0.124712</v>
      </c>
    </row>
    <row r="79" spans="2:7" ht="12.75">
      <c r="B79" s="1">
        <v>57</v>
      </c>
      <c r="C79" s="1">
        <v>-10.137949</v>
      </c>
      <c r="D79" s="1">
        <v>-510.45071</v>
      </c>
      <c r="E79" s="1">
        <v>-178.47202</v>
      </c>
      <c r="F79" s="1">
        <v>-17.433341</v>
      </c>
      <c r="G79" s="1">
        <v>1183.380263</v>
      </c>
    </row>
    <row r="80" spans="2:7" ht="12.75">
      <c r="B80" s="1">
        <v>58</v>
      </c>
      <c r="C80" s="1">
        <v>-10.151731</v>
      </c>
      <c r="D80" s="1">
        <v>-509.515229</v>
      </c>
      <c r="E80" s="1">
        <v>-178.471229</v>
      </c>
      <c r="F80" s="1">
        <v>-17.433341</v>
      </c>
      <c r="G80" s="1">
        <v>1183.380263</v>
      </c>
    </row>
    <row r="81" spans="2:7" ht="12.75">
      <c r="B81" s="1">
        <v>59</v>
      </c>
      <c r="C81" s="1">
        <v>-10.755735</v>
      </c>
      <c r="D81" s="1">
        <v>-468.515228</v>
      </c>
      <c r="E81" s="1">
        <v>-178.436583</v>
      </c>
      <c r="F81" s="1">
        <v>-17.433341</v>
      </c>
      <c r="G81" s="1">
        <v>1183.380263</v>
      </c>
    </row>
    <row r="82" spans="2:7" ht="12.75">
      <c r="B82" s="1">
        <v>60</v>
      </c>
      <c r="C82" s="1">
        <v>-10.623296</v>
      </c>
      <c r="D82" s="1">
        <v>-477.505228</v>
      </c>
      <c r="E82" s="1">
        <v>-178.44418</v>
      </c>
      <c r="F82" s="1">
        <v>-17.433341</v>
      </c>
      <c r="G82" s="1">
        <v>1183.380263</v>
      </c>
    </row>
    <row r="83" spans="2:7" ht="12.75">
      <c r="B83" s="1">
        <v>61</v>
      </c>
      <c r="C83" s="1">
        <v>-10.549637</v>
      </c>
      <c r="D83" s="1">
        <v>-482.505228</v>
      </c>
      <c r="E83" s="1">
        <v>-178.448405</v>
      </c>
      <c r="F83" s="1">
        <v>-17.433341</v>
      </c>
      <c r="G83" s="1">
        <v>1183.380263</v>
      </c>
    </row>
    <row r="84" spans="2:7" ht="12.75">
      <c r="B84" s="1">
        <v>62</v>
      </c>
      <c r="C84" s="1">
        <v>-10.623296</v>
      </c>
      <c r="D84" s="1">
        <v>-477.505228</v>
      </c>
      <c r="E84" s="1">
        <v>-178.44418</v>
      </c>
      <c r="F84" s="1">
        <v>-17.433341</v>
      </c>
      <c r="G84" s="1">
        <v>1183.380263</v>
      </c>
    </row>
    <row r="85" spans="2:5" ht="12.75">
      <c r="B85" s="1">
        <v>63</v>
      </c>
      <c r="C85" s="1">
        <v>-10.755735</v>
      </c>
      <c r="D85" s="1">
        <v>-468.515228</v>
      </c>
      <c r="E85" s="1">
        <v>-178.436583</v>
      </c>
    </row>
    <row r="86" ht="12.75">
      <c r="B86" s="1" t="s">
        <v>39</v>
      </c>
    </row>
    <row r="87" ht="12.75">
      <c r="B87" s="1" t="s">
        <v>39</v>
      </c>
    </row>
    <row r="88" spans="2:4" ht="12.75">
      <c r="B88" s="1" t="s">
        <v>39</v>
      </c>
      <c r="C88" s="1" t="s">
        <v>85</v>
      </c>
      <c r="D88" s="1" t="s">
        <v>86</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C17" sqref="C17"/>
    </sheetView>
  </sheetViews>
  <sheetFormatPr defaultColWidth="12" defaultRowHeight="12.75"/>
  <cols>
    <col min="1" max="1" width="20.66015625" style="64" customWidth="1"/>
    <col min="2" max="2" width="12" style="65" customWidth="1"/>
    <col min="3" max="3" width="71.33203125" style="66" customWidth="1"/>
    <col min="4" max="16384" width="12" style="1" customWidth="1"/>
  </cols>
  <sheetData>
    <row r="1" spans="1:3" s="5" customFormat="1" ht="12.75">
      <c r="A1" s="61" t="s">
        <v>380</v>
      </c>
      <c r="B1" s="62" t="s">
        <v>381</v>
      </c>
      <c r="C1" s="63" t="s">
        <v>382</v>
      </c>
    </row>
    <row r="2" spans="1:2" ht="12.75">
      <c r="A2" s="64" t="s">
        <v>383</v>
      </c>
      <c r="B2" s="65">
        <v>210700</v>
      </c>
    </row>
    <row r="3" spans="1:3" ht="25.5">
      <c r="A3" s="64" t="s">
        <v>384</v>
      </c>
      <c r="B3" s="65">
        <v>240800</v>
      </c>
      <c r="C3" s="66" t="s">
        <v>385</v>
      </c>
    </row>
    <row r="4" spans="1:3" ht="12.75">
      <c r="A4" s="64" t="s">
        <v>386</v>
      </c>
      <c r="B4" s="65">
        <v>240800</v>
      </c>
      <c r="C4" s="66" t="s">
        <v>387</v>
      </c>
    </row>
    <row r="5" spans="1:3" ht="12.75">
      <c r="A5" s="64" t="s">
        <v>388</v>
      </c>
      <c r="B5" s="65">
        <v>10900</v>
      </c>
      <c r="C5" s="66" t="s">
        <v>389</v>
      </c>
    </row>
    <row r="6" spans="1:3" ht="12.75">
      <c r="A6" s="64" t="s">
        <v>390</v>
      </c>
      <c r="B6" s="65">
        <v>171000</v>
      </c>
      <c r="C6" s="66" t="s">
        <v>391</v>
      </c>
    </row>
    <row r="7" ht="12.75">
      <c r="A7" s="64" t="s">
        <v>392</v>
      </c>
    </row>
    <row r="8" spans="1:3" ht="12.75">
      <c r="A8" s="64" t="s">
        <v>393</v>
      </c>
      <c r="B8" s="65">
        <v>141100</v>
      </c>
      <c r="C8" s="66" t="s">
        <v>394</v>
      </c>
    </row>
    <row r="9" ht="12.75">
      <c r="A9" s="64" t="s">
        <v>395</v>
      </c>
    </row>
    <row r="10" spans="1:3" ht="12.75">
      <c r="A10" s="64" t="s">
        <v>396</v>
      </c>
      <c r="B10" s="65">
        <v>160101</v>
      </c>
      <c r="C10" s="66" t="s">
        <v>397</v>
      </c>
    </row>
    <row r="11" spans="1:3" ht="12.75">
      <c r="A11" s="64" t="s">
        <v>420</v>
      </c>
      <c r="B11" s="65">
        <v>140301</v>
      </c>
      <c r="C11" s="66" t="s">
        <v>421</v>
      </c>
    </row>
    <row r="12" spans="1:3" ht="25.5">
      <c r="A12" s="64" t="s">
        <v>480</v>
      </c>
      <c r="B12" s="65">
        <v>200301</v>
      </c>
      <c r="C12" s="66" t="s">
        <v>481</v>
      </c>
    </row>
    <row r="13" spans="1:3" ht="12.75">
      <c r="A13" s="64" t="s">
        <v>488</v>
      </c>
      <c r="B13" s="65">
        <v>210301</v>
      </c>
      <c r="C13" s="66" t="s">
        <v>489</v>
      </c>
    </row>
    <row r="14" spans="1:3" ht="12.75">
      <c r="A14" s="64" t="s">
        <v>492</v>
      </c>
      <c r="B14" s="65">
        <v>210301</v>
      </c>
      <c r="C14" s="66" t="s">
        <v>493</v>
      </c>
    </row>
    <row r="15" spans="1:3" ht="25.5">
      <c r="A15" s="64" t="s">
        <v>495</v>
      </c>
      <c r="B15" s="65">
        <v>230301</v>
      </c>
      <c r="C15" s="66" t="s">
        <v>496</v>
      </c>
    </row>
    <row r="16" spans="1:3" ht="12.75">
      <c r="A16" s="64" t="s">
        <v>501</v>
      </c>
      <c r="B16" s="65">
        <v>20401</v>
      </c>
      <c r="C16" s="66" t="s">
        <v>502</v>
      </c>
    </row>
  </sheetData>
  <printOptions/>
  <pageMargins left="0.7874015748031497" right="0.68" top="0.984251968503937" bottom="0.984251968503937" header="0.5118110236220472" footer="0.5118110236220472"/>
  <pageSetup fitToHeight="1" fitToWidth="1" horizontalDpi="600" verticalDpi="600" orientation="portrait" paperSize="9" scale="93" r:id="rId1"/>
  <headerFooter alignWithMargins="0">
    <oddHeader>&amp;L&amp;F, &amp;A&amp;R&amp;T, &amp;D</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B1:J88"/>
  <sheetViews>
    <sheetView workbookViewId="0" topLeftCell="A1">
      <selection activeCell="A1" sqref="A1:J88"/>
    </sheetView>
  </sheetViews>
  <sheetFormatPr defaultColWidth="12" defaultRowHeight="12.75"/>
  <cols>
    <col min="1" max="16384" width="12" style="1" customWidth="1"/>
  </cols>
  <sheetData>
    <row r="1" ht="12.75">
      <c r="B1" s="1" t="s">
        <v>39</v>
      </c>
    </row>
    <row r="2" spans="2:3" ht="12.75">
      <c r="B2" s="1" t="s">
        <v>39</v>
      </c>
      <c r="C2" s="1" t="s">
        <v>40</v>
      </c>
    </row>
    <row r="4" spans="2:10" ht="12.75">
      <c r="B4" s="1" t="s">
        <v>41</v>
      </c>
      <c r="C4" s="1" t="s">
        <v>42</v>
      </c>
      <c r="D4" s="1" t="s">
        <v>43</v>
      </c>
      <c r="E4" s="1" t="s">
        <v>44</v>
      </c>
      <c r="F4" s="1" t="s">
        <v>45</v>
      </c>
      <c r="G4" s="1" t="s">
        <v>44</v>
      </c>
      <c r="H4" s="1" t="s">
        <v>46</v>
      </c>
      <c r="I4" s="1" t="s">
        <v>47</v>
      </c>
      <c r="J4" s="1" t="s">
        <v>377</v>
      </c>
    </row>
    <row r="6" spans="2:3" ht="12.75">
      <c r="B6" s="1" t="s">
        <v>39</v>
      </c>
      <c r="C6" s="1" t="s">
        <v>48</v>
      </c>
    </row>
    <row r="7" spans="2:3" ht="12.75">
      <c r="B7" s="2">
        <v>36907</v>
      </c>
      <c r="C7" s="3">
        <v>0.7790856481481482</v>
      </c>
    </row>
    <row r="8" ht="12.75">
      <c r="B8" s="1" t="s">
        <v>39</v>
      </c>
    </row>
    <row r="9" spans="2:10" ht="12.75">
      <c r="B9" s="1" t="s">
        <v>39</v>
      </c>
      <c r="C9" s="1" t="s">
        <v>49</v>
      </c>
      <c r="D9" s="1">
        <v>2</v>
      </c>
      <c r="E9" s="1" t="s">
        <v>87</v>
      </c>
      <c r="F9" s="1">
        <v>0</v>
      </c>
      <c r="G9" s="1">
        <v>0</v>
      </c>
      <c r="H9" s="1" t="s">
        <v>50</v>
      </c>
      <c r="I9" s="1" t="s">
        <v>88</v>
      </c>
      <c r="J9" s="1" t="s">
        <v>51</v>
      </c>
    </row>
    <row r="10" spans="2:8" ht="12.75">
      <c r="B10" s="1" t="s">
        <v>44</v>
      </c>
      <c r="C10" s="1" t="s">
        <v>46</v>
      </c>
      <c r="D10" s="1" t="s">
        <v>47</v>
      </c>
      <c r="E10" s="1" t="s">
        <v>377</v>
      </c>
      <c r="F10" s="1">
        <v>238</v>
      </c>
      <c r="G10" s="2">
        <v>36907</v>
      </c>
      <c r="H10" s="3">
        <v>0.7790856481481482</v>
      </c>
    </row>
    <row r="12" spans="2:4" ht="12.75">
      <c r="B12" s="1" t="s">
        <v>52</v>
      </c>
      <c r="C12" s="1" t="s">
        <v>53</v>
      </c>
      <c r="D12" s="1" t="s">
        <v>54</v>
      </c>
    </row>
    <row r="14" spans="2:10" ht="12.75">
      <c r="B14" s="1" t="s">
        <v>55</v>
      </c>
      <c r="C14" s="1" t="s">
        <v>56</v>
      </c>
      <c r="D14" s="1" t="s">
        <v>57</v>
      </c>
      <c r="E14" s="1" t="s">
        <v>58</v>
      </c>
      <c r="F14" s="1" t="s">
        <v>59</v>
      </c>
      <c r="G14" s="1" t="s">
        <v>60</v>
      </c>
      <c r="H14" s="1" t="s">
        <v>61</v>
      </c>
      <c r="I14" s="1" t="s">
        <v>62</v>
      </c>
      <c r="J14" s="1">
        <v>9</v>
      </c>
    </row>
    <row r="16" spans="2:8" ht="12.75">
      <c r="B16" s="1" t="s">
        <v>63</v>
      </c>
      <c r="C16" s="1" t="s">
        <v>64</v>
      </c>
      <c r="D16" s="1" t="s">
        <v>65</v>
      </c>
      <c r="E16" s="1" t="s">
        <v>66</v>
      </c>
      <c r="F16" s="1">
        <v>0.1572</v>
      </c>
      <c r="G16" s="1" t="s">
        <v>67</v>
      </c>
      <c r="H16" s="1">
        <v>-2.4791</v>
      </c>
    </row>
    <row r="17" spans="2:9" ht="12.75">
      <c r="B17" s="1" t="s">
        <v>63</v>
      </c>
      <c r="C17" s="1" t="s">
        <v>68</v>
      </c>
      <c r="D17" s="1" t="s">
        <v>69</v>
      </c>
      <c r="E17" s="1" t="s">
        <v>70</v>
      </c>
      <c r="F17" s="1" t="s">
        <v>71</v>
      </c>
      <c r="G17" s="1">
        <v>0</v>
      </c>
      <c r="H17" s="1" t="s">
        <v>72</v>
      </c>
      <c r="I17" s="1">
        <v>0</v>
      </c>
    </row>
    <row r="18" spans="2:4" ht="12.75">
      <c r="B18" s="1" t="s">
        <v>73</v>
      </c>
      <c r="C18" s="1" t="s">
        <v>74</v>
      </c>
      <c r="D18" s="1">
        <v>2</v>
      </c>
    </row>
    <row r="20" spans="2:9" ht="12.75">
      <c r="B20" s="1" t="s">
        <v>55</v>
      </c>
      <c r="C20" s="1" t="s">
        <v>75</v>
      </c>
      <c r="D20" s="1" t="s">
        <v>76</v>
      </c>
      <c r="E20" s="1" t="s">
        <v>77</v>
      </c>
      <c r="F20" s="1" t="s">
        <v>78</v>
      </c>
      <c r="G20" s="1" t="s">
        <v>79</v>
      </c>
      <c r="H20" s="1" t="s">
        <v>77</v>
      </c>
      <c r="I20" s="1" t="s">
        <v>78</v>
      </c>
    </row>
    <row r="21" spans="2:7" ht="12.75">
      <c r="B21" s="1" t="s">
        <v>50</v>
      </c>
      <c r="C21" s="1" t="s">
        <v>17</v>
      </c>
      <c r="D21" s="1" t="s">
        <v>80</v>
      </c>
      <c r="E21" s="1" t="s">
        <v>81</v>
      </c>
      <c r="F21" s="1" t="s">
        <v>82</v>
      </c>
      <c r="G21" s="1" t="s">
        <v>83</v>
      </c>
    </row>
    <row r="22" ht="12.75">
      <c r="B22" s="1" t="s">
        <v>84</v>
      </c>
    </row>
    <row r="23" spans="2:7" ht="12.75">
      <c r="B23" s="1">
        <v>1</v>
      </c>
      <c r="C23" s="1">
        <v>12.375137</v>
      </c>
      <c r="D23" s="1">
        <v>54.003853</v>
      </c>
      <c r="E23" s="1">
        <v>-1050.080155</v>
      </c>
      <c r="F23" s="1">
        <v>-0.000721</v>
      </c>
      <c r="G23" s="1">
        <v>-0.003147</v>
      </c>
    </row>
    <row r="24" spans="2:7" ht="12.75">
      <c r="B24" s="1">
        <v>2</v>
      </c>
      <c r="C24" s="1">
        <v>-0.440591</v>
      </c>
      <c r="D24" s="1">
        <v>-1.922697</v>
      </c>
      <c r="E24" s="1">
        <v>16720.938</v>
      </c>
      <c r="F24" s="1">
        <v>-0.000721</v>
      </c>
      <c r="G24" s="1">
        <v>-0.003147</v>
      </c>
    </row>
    <row r="25" spans="2:7" ht="12.75">
      <c r="B25" s="1">
        <v>3</v>
      </c>
      <c r="C25" s="1">
        <v>-0.440591</v>
      </c>
      <c r="D25" s="1">
        <v>-1.922697</v>
      </c>
      <c r="E25" s="1">
        <v>16720.938</v>
      </c>
      <c r="F25" s="1">
        <v>-0.000721</v>
      </c>
      <c r="G25" s="1">
        <v>-0.003147</v>
      </c>
    </row>
    <row r="26" spans="2:7" ht="12.75">
      <c r="B26" s="1">
        <v>4</v>
      </c>
      <c r="C26" s="1">
        <v>12.375196</v>
      </c>
      <c r="D26" s="1">
        <v>54.00411</v>
      </c>
      <c r="E26" s="1">
        <v>-1050.162</v>
      </c>
      <c r="F26" s="1">
        <v>-0.000721</v>
      </c>
      <c r="G26" s="1">
        <v>-0.003147</v>
      </c>
    </row>
    <row r="27" spans="2:7" ht="12.75">
      <c r="B27" s="1">
        <v>5</v>
      </c>
      <c r="C27" s="1">
        <v>13.817514</v>
      </c>
      <c r="D27" s="1">
        <v>60.298241</v>
      </c>
      <c r="E27" s="1">
        <v>-3050.162</v>
      </c>
      <c r="F27" s="1">
        <v>-0.000721</v>
      </c>
      <c r="G27" s="1">
        <v>-0.003147</v>
      </c>
    </row>
    <row r="28" spans="2:7" ht="12.75">
      <c r="B28" s="1">
        <v>6</v>
      </c>
      <c r="C28" s="1">
        <v>12.375513</v>
      </c>
      <c r="D28" s="1">
        <v>54.005491</v>
      </c>
      <c r="E28" s="1">
        <v>-1050.600535</v>
      </c>
      <c r="F28" s="1">
        <v>0.007795</v>
      </c>
      <c r="G28" s="1">
        <v>0.034019</v>
      </c>
    </row>
    <row r="29" spans="2:7" ht="12.75">
      <c r="B29" s="1">
        <v>7</v>
      </c>
      <c r="C29" s="4">
        <v>1.78E-15</v>
      </c>
      <c r="D29" s="4">
        <v>-7.11E-15</v>
      </c>
      <c r="E29" s="1">
        <v>-2638.131</v>
      </c>
      <c r="F29" s="1">
        <v>-0.007795</v>
      </c>
      <c r="G29" s="1">
        <v>-0.034019</v>
      </c>
    </row>
    <row r="30" spans="2:7" ht="12.75">
      <c r="B30" s="1">
        <v>8</v>
      </c>
      <c r="C30" s="1">
        <v>-12.378931</v>
      </c>
      <c r="D30" s="1">
        <v>-54.020409</v>
      </c>
      <c r="E30" s="1">
        <v>-1050.162</v>
      </c>
      <c r="F30" s="1">
        <v>-0.007795</v>
      </c>
      <c r="G30" s="1">
        <v>-0.034019</v>
      </c>
    </row>
    <row r="31" spans="2:7" ht="12.75">
      <c r="B31" s="1">
        <v>9</v>
      </c>
      <c r="C31" s="1">
        <v>-20.354767</v>
      </c>
      <c r="D31" s="1">
        <v>-88.826152</v>
      </c>
      <c r="E31" s="1">
        <v>-27.022003</v>
      </c>
      <c r="F31" s="1">
        <v>-0.007795</v>
      </c>
      <c r="G31" s="1">
        <v>-0.034019</v>
      </c>
    </row>
    <row r="32" spans="2:7" ht="12.75">
      <c r="B32" s="1">
        <v>10</v>
      </c>
      <c r="C32" s="1">
        <v>-20.565766</v>
      </c>
      <c r="D32" s="1">
        <v>-89.746929</v>
      </c>
      <c r="E32" s="1">
        <v>0.044902</v>
      </c>
      <c r="F32" s="1">
        <v>-0.007795</v>
      </c>
      <c r="G32" s="1">
        <v>-0.034019</v>
      </c>
    </row>
    <row r="33" spans="2:7" ht="12.75">
      <c r="B33" s="1">
        <v>11</v>
      </c>
      <c r="C33" s="1">
        <v>-21.110403</v>
      </c>
      <c r="D33" s="1">
        <v>-92.123671</v>
      </c>
      <c r="E33" s="1">
        <v>69.910954</v>
      </c>
      <c r="F33" s="1">
        <v>-0.114752</v>
      </c>
      <c r="G33" s="1">
        <v>0.586866</v>
      </c>
    </row>
    <row r="34" spans="2:7" ht="12.75">
      <c r="B34" s="1">
        <v>12</v>
      </c>
      <c r="C34" s="1">
        <v>-21.12391</v>
      </c>
      <c r="D34" s="1">
        <v>-92.054594</v>
      </c>
      <c r="E34" s="1">
        <v>70.028658</v>
      </c>
      <c r="F34" s="1">
        <v>-0.114752</v>
      </c>
      <c r="G34" s="1">
        <v>0.586866</v>
      </c>
    </row>
    <row r="35" spans="2:7" ht="12.75">
      <c r="B35" s="1">
        <v>13</v>
      </c>
      <c r="C35" s="1">
        <v>0.00704</v>
      </c>
      <c r="D35" s="1">
        <v>-200.122747</v>
      </c>
      <c r="E35" s="1">
        <v>-114.115744</v>
      </c>
      <c r="F35" s="1">
        <v>-0.114752</v>
      </c>
      <c r="G35" s="1">
        <v>0.586866</v>
      </c>
    </row>
    <row r="36" spans="2:7" ht="12.75">
      <c r="B36" s="1">
        <v>14</v>
      </c>
      <c r="C36" s="1">
        <v>0.00704</v>
      </c>
      <c r="D36" s="1">
        <v>-200.122747</v>
      </c>
      <c r="E36" s="1">
        <v>-114.115744</v>
      </c>
      <c r="F36" s="1">
        <v>0.099422</v>
      </c>
      <c r="G36" s="1">
        <v>0.095929</v>
      </c>
    </row>
    <row r="37" spans="2:7" ht="12.75">
      <c r="B37" s="1">
        <v>15</v>
      </c>
      <c r="C37" s="1">
        <v>0.00704</v>
      </c>
      <c r="D37" s="1">
        <v>-200.122747</v>
      </c>
      <c r="E37" s="1">
        <v>-114.115744</v>
      </c>
      <c r="F37" s="1">
        <v>0.099422</v>
      </c>
      <c r="G37" s="1">
        <v>0.095929</v>
      </c>
    </row>
    <row r="38" spans="2:7" ht="12.75">
      <c r="B38" s="1">
        <v>16</v>
      </c>
      <c r="C38" s="1">
        <v>0.006397</v>
      </c>
      <c r="D38" s="1">
        <v>-200.123368</v>
      </c>
      <c r="E38" s="1">
        <v>-114.122216</v>
      </c>
      <c r="F38" s="1">
        <v>0.099422</v>
      </c>
      <c r="G38" s="1">
        <v>0.095929</v>
      </c>
    </row>
    <row r="39" spans="2:7" ht="12.75">
      <c r="B39" s="1">
        <v>17</v>
      </c>
      <c r="C39" s="1">
        <v>19.499867</v>
      </c>
      <c r="D39" s="1">
        <v>-181.314796</v>
      </c>
      <c r="E39" s="1">
        <v>81.945342</v>
      </c>
      <c r="F39" s="1">
        <v>0.043529</v>
      </c>
      <c r="G39" s="1">
        <v>0.449163</v>
      </c>
    </row>
    <row r="40" spans="2:7" ht="12.75">
      <c r="B40" s="1">
        <v>18</v>
      </c>
      <c r="C40" s="1">
        <v>19.53635</v>
      </c>
      <c r="D40" s="1">
        <v>-180.938338</v>
      </c>
      <c r="E40" s="1">
        <v>82.783472</v>
      </c>
      <c r="F40" s="1">
        <v>0.043529</v>
      </c>
      <c r="G40" s="1">
        <v>0.449163</v>
      </c>
    </row>
    <row r="41" spans="2:7" ht="12.75">
      <c r="B41" s="1">
        <v>19</v>
      </c>
      <c r="C41" s="1">
        <v>11.828507</v>
      </c>
      <c r="D41" s="1">
        <v>-260.474142</v>
      </c>
      <c r="E41" s="1">
        <v>-94.291954</v>
      </c>
      <c r="F41" s="1">
        <v>0.043529</v>
      </c>
      <c r="G41" s="1">
        <v>0.449163</v>
      </c>
    </row>
    <row r="42" spans="2:7" ht="12.75">
      <c r="B42" s="1">
        <v>20</v>
      </c>
      <c r="C42" s="1">
        <v>11.832463</v>
      </c>
      <c r="D42" s="1">
        <v>-260.433321</v>
      </c>
      <c r="E42" s="1">
        <v>-94.20107</v>
      </c>
      <c r="F42" s="1">
        <v>0.024055</v>
      </c>
      <c r="G42" s="1">
        <v>-0.101461</v>
      </c>
    </row>
    <row r="43" spans="2:7" ht="12.75">
      <c r="B43" s="1">
        <v>21</v>
      </c>
      <c r="C43" s="1">
        <v>11.831546</v>
      </c>
      <c r="D43" s="1">
        <v>-260.42945</v>
      </c>
      <c r="E43" s="1">
        <v>-94.239217</v>
      </c>
      <c r="F43" s="1">
        <v>0.024055</v>
      </c>
      <c r="G43" s="1">
        <v>-0.101461</v>
      </c>
    </row>
    <row r="44" spans="2:7" ht="12.75">
      <c r="B44" s="1">
        <v>22</v>
      </c>
      <c r="C44" s="1">
        <v>16.690589</v>
      </c>
      <c r="D44" s="1">
        <v>-280.923961</v>
      </c>
      <c r="E44" s="1">
        <v>107.75419</v>
      </c>
      <c r="F44" s="1">
        <v>0.089229</v>
      </c>
      <c r="G44" s="1">
        <v>0.800018</v>
      </c>
    </row>
    <row r="45" spans="2:7" ht="12.75">
      <c r="B45" s="1">
        <v>23</v>
      </c>
      <c r="C45" s="1">
        <v>16.754343</v>
      </c>
      <c r="D45" s="1">
        <v>-280.352359</v>
      </c>
      <c r="E45" s="1">
        <v>108.468676</v>
      </c>
      <c r="F45" s="1">
        <v>0.089229</v>
      </c>
      <c r="G45" s="1">
        <v>0.800018</v>
      </c>
    </row>
    <row r="46" spans="2:7" ht="12.75">
      <c r="B46" s="1">
        <v>24</v>
      </c>
      <c r="C46" s="1">
        <v>3.639387</v>
      </c>
      <c r="D46" s="1">
        <v>-397.939241</v>
      </c>
      <c r="E46" s="1">
        <v>-38.511584</v>
      </c>
      <c r="F46" s="1">
        <v>-0.074667</v>
      </c>
      <c r="G46" s="1">
        <v>-1.070286</v>
      </c>
    </row>
    <row r="47" spans="2:7" ht="12.75">
      <c r="B47" s="1">
        <v>25</v>
      </c>
      <c r="C47" s="1">
        <v>3.649176</v>
      </c>
      <c r="D47" s="1">
        <v>-397.79892</v>
      </c>
      <c r="E47" s="1">
        <v>-38.64269</v>
      </c>
      <c r="F47" s="1">
        <v>-0.074667</v>
      </c>
      <c r="G47" s="1">
        <v>-1.070286</v>
      </c>
    </row>
    <row r="48" spans="2:7" ht="12.75">
      <c r="B48" s="1">
        <v>26</v>
      </c>
      <c r="C48" s="1">
        <v>0.080828</v>
      </c>
      <c r="D48" s="1">
        <v>-448.947719</v>
      </c>
      <c r="E48" s="1">
        <v>9.14715</v>
      </c>
      <c r="F48" s="1">
        <v>-0.074667</v>
      </c>
      <c r="G48" s="1">
        <v>-1.070286</v>
      </c>
    </row>
    <row r="49" spans="2:7" ht="12.75">
      <c r="B49" s="1">
        <v>27</v>
      </c>
      <c r="C49" s="1">
        <v>-6.533386</v>
      </c>
      <c r="D49" s="1">
        <v>-543.756057</v>
      </c>
      <c r="E49" s="1">
        <v>97.729392</v>
      </c>
      <c r="F49" s="1">
        <v>0.016031</v>
      </c>
      <c r="G49" s="1">
        <v>-0.126573</v>
      </c>
    </row>
    <row r="50" spans="2:7" ht="12.75">
      <c r="B50" s="1">
        <v>28</v>
      </c>
      <c r="C50" s="1">
        <v>-6.535522</v>
      </c>
      <c r="D50" s="1">
        <v>-543.739193</v>
      </c>
      <c r="E50" s="1">
        <v>97.59616</v>
      </c>
      <c r="F50" s="1">
        <v>0.016031</v>
      </c>
      <c r="G50" s="1">
        <v>-0.126573</v>
      </c>
    </row>
    <row r="51" spans="2:7" ht="12.75">
      <c r="B51" s="1">
        <v>29</v>
      </c>
      <c r="C51" s="1">
        <v>-11.624777</v>
      </c>
      <c r="D51" s="1">
        <v>-503.556441</v>
      </c>
      <c r="E51" s="1">
        <v>-219.871068</v>
      </c>
      <c r="F51" s="1">
        <v>0.016031</v>
      </c>
      <c r="G51" s="1">
        <v>-0.126573</v>
      </c>
    </row>
    <row r="52" spans="2:7" ht="12.75">
      <c r="B52" s="1">
        <v>30</v>
      </c>
      <c r="C52" s="1">
        <v>-11.624777</v>
      </c>
      <c r="D52" s="1">
        <v>-503.556441</v>
      </c>
      <c r="E52" s="1">
        <v>-219.871068</v>
      </c>
      <c r="F52" s="1">
        <v>0.016031</v>
      </c>
      <c r="G52" s="1">
        <v>-0.126573</v>
      </c>
    </row>
    <row r="53" spans="2:7" ht="12.75">
      <c r="B53" s="1">
        <v>31</v>
      </c>
      <c r="C53" s="1">
        <v>-8.679048</v>
      </c>
      <c r="D53" s="1">
        <v>-526.814757</v>
      </c>
      <c r="E53" s="1">
        <v>-36.116781</v>
      </c>
      <c r="F53" s="1">
        <v>-0.021783</v>
      </c>
      <c r="G53" s="1">
        <v>-0.935897</v>
      </c>
    </row>
    <row r="54" spans="2:7" ht="12.75">
      <c r="B54" s="1">
        <v>32</v>
      </c>
      <c r="C54" s="1">
        <v>-8.595462</v>
      </c>
      <c r="D54" s="1">
        <v>-523.223463</v>
      </c>
      <c r="E54" s="1">
        <v>-39.954056</v>
      </c>
      <c r="F54" s="1">
        <v>-0.021783</v>
      </c>
      <c r="G54" s="1">
        <v>-0.935897</v>
      </c>
    </row>
    <row r="55" spans="2:7" ht="12.75">
      <c r="B55" s="1">
        <v>33</v>
      </c>
      <c r="C55" s="1">
        <v>-8.762634</v>
      </c>
      <c r="D55" s="1">
        <v>-530.40605</v>
      </c>
      <c r="E55" s="1">
        <v>-32.279506</v>
      </c>
      <c r="F55" s="1">
        <v>-0.021783</v>
      </c>
      <c r="G55" s="1">
        <v>-0.935897</v>
      </c>
    </row>
    <row r="56" spans="2:7" ht="12.75">
      <c r="B56" s="1">
        <v>34</v>
      </c>
      <c r="C56" s="1">
        <v>-8.679048</v>
      </c>
      <c r="D56" s="1">
        <v>-526.814757</v>
      </c>
      <c r="E56" s="1">
        <v>-36.116781</v>
      </c>
      <c r="F56" s="1">
        <v>-0.021783</v>
      </c>
      <c r="G56" s="1">
        <v>-0.935897</v>
      </c>
    </row>
    <row r="57" spans="2:7" ht="12.75">
      <c r="B57" s="1">
        <v>35</v>
      </c>
      <c r="C57" s="1">
        <v>-8.682551</v>
      </c>
      <c r="D57" s="1">
        <v>-526.965284</v>
      </c>
      <c r="E57" s="1">
        <v>-35.955943</v>
      </c>
      <c r="F57" s="1">
        <v>-0.021783</v>
      </c>
      <c r="G57" s="1">
        <v>-0.935897</v>
      </c>
    </row>
    <row r="58" spans="2:7" ht="12.75">
      <c r="B58" s="1">
        <v>36</v>
      </c>
      <c r="C58" s="1">
        <v>-11.004597</v>
      </c>
      <c r="D58" s="1">
        <v>-626.732892</v>
      </c>
      <c r="E58" s="1">
        <v>70.64512</v>
      </c>
      <c r="F58" s="1">
        <v>-81.56915</v>
      </c>
      <c r="G58" s="1">
        <v>-0.830102</v>
      </c>
    </row>
    <row r="59" spans="2:7" ht="12.75">
      <c r="B59" s="1">
        <v>37</v>
      </c>
      <c r="C59" s="4">
        <v>3.88E-09</v>
      </c>
      <c r="D59" s="1">
        <v>-626.620901</v>
      </c>
      <c r="E59" s="1">
        <v>70.510209</v>
      </c>
      <c r="F59" s="1">
        <v>-81.56915</v>
      </c>
      <c r="G59" s="1">
        <v>-0.830102</v>
      </c>
    </row>
    <row r="60" spans="2:7" ht="12.75">
      <c r="B60" s="1">
        <v>38</v>
      </c>
      <c r="C60" s="1">
        <v>-50</v>
      </c>
      <c r="D60" s="1">
        <v>-627.129735</v>
      </c>
      <c r="E60" s="1">
        <v>71.123186</v>
      </c>
      <c r="F60" s="1">
        <v>-81.56915</v>
      </c>
      <c r="G60" s="1">
        <v>-0.830102</v>
      </c>
    </row>
    <row r="61" spans="2:7" ht="12.75">
      <c r="B61" s="1">
        <v>39</v>
      </c>
      <c r="C61" s="1">
        <v>-34.14</v>
      </c>
      <c r="D61" s="1">
        <v>-626.968333</v>
      </c>
      <c r="E61" s="1">
        <v>70.928749</v>
      </c>
      <c r="F61" s="1">
        <v>-81.56915</v>
      </c>
      <c r="G61" s="1">
        <v>-0.830102</v>
      </c>
    </row>
    <row r="62" spans="2:7" ht="12.75">
      <c r="B62" s="1">
        <v>40</v>
      </c>
      <c r="C62" s="1">
        <v>-29.14</v>
      </c>
      <c r="D62" s="1">
        <v>-626.917449</v>
      </c>
      <c r="E62" s="1">
        <v>70.867452</v>
      </c>
      <c r="F62" s="1">
        <v>-81.56915</v>
      </c>
      <c r="G62" s="1">
        <v>-0.830102</v>
      </c>
    </row>
    <row r="63" spans="2:7" ht="12.75">
      <c r="B63" s="1">
        <v>41</v>
      </c>
      <c r="C63" s="1">
        <v>-34.14</v>
      </c>
      <c r="D63" s="1">
        <v>-626.968333</v>
      </c>
      <c r="E63" s="1">
        <v>70.928749</v>
      </c>
      <c r="F63" s="1">
        <v>-81.56915</v>
      </c>
      <c r="G63" s="1">
        <v>-0.830102</v>
      </c>
    </row>
    <row r="64" spans="2:7" ht="12.75">
      <c r="B64" s="1">
        <v>42</v>
      </c>
      <c r="C64" s="1">
        <v>-11.004597</v>
      </c>
      <c r="D64" s="1">
        <v>-626.732892</v>
      </c>
      <c r="E64" s="1">
        <v>70.64512</v>
      </c>
      <c r="F64" s="1">
        <v>-0.021783</v>
      </c>
      <c r="G64" s="1">
        <v>-0.935897</v>
      </c>
    </row>
    <row r="65" spans="2:7" ht="12.75">
      <c r="B65" s="1">
        <v>43</v>
      </c>
      <c r="C65" s="1">
        <v>-10.829581</v>
      </c>
      <c r="D65" s="1">
        <v>-619.213249</v>
      </c>
      <c r="E65" s="1">
        <v>62.610429</v>
      </c>
      <c r="F65" s="1">
        <v>-0.021783</v>
      </c>
      <c r="G65" s="1">
        <v>-0.935897</v>
      </c>
    </row>
    <row r="66" spans="2:7" ht="12.75">
      <c r="B66" s="1">
        <v>44</v>
      </c>
      <c r="C66" s="1">
        <v>-8.679048</v>
      </c>
      <c r="D66" s="1">
        <v>-526.814757</v>
      </c>
      <c r="E66" s="1">
        <v>-36.116781</v>
      </c>
      <c r="F66" s="1">
        <v>0.016031</v>
      </c>
      <c r="G66" s="1">
        <v>-0.126573</v>
      </c>
    </row>
    <row r="67" spans="2:7" ht="12.75">
      <c r="B67" s="1">
        <v>45</v>
      </c>
      <c r="C67" s="1">
        <v>-8.682551</v>
      </c>
      <c r="D67" s="1">
        <v>-526.787095</v>
      </c>
      <c r="E67" s="1">
        <v>-36.335327</v>
      </c>
      <c r="F67" s="1">
        <v>0.016031</v>
      </c>
      <c r="G67" s="1">
        <v>-0.126573</v>
      </c>
    </row>
    <row r="68" spans="2:7" ht="12.75">
      <c r="B68" s="1">
        <v>46</v>
      </c>
      <c r="C68" s="1">
        <v>-10.349698</v>
      </c>
      <c r="D68" s="1">
        <v>-513.62396</v>
      </c>
      <c r="E68" s="1">
        <v>-140.331781</v>
      </c>
      <c r="F68" s="1">
        <v>-1.240422</v>
      </c>
      <c r="G68" s="1">
        <v>-0.124046</v>
      </c>
    </row>
    <row r="69" spans="2:7" ht="12.75">
      <c r="B69" s="1">
        <v>47</v>
      </c>
      <c r="C69" s="1">
        <v>-6.03512</v>
      </c>
      <c r="D69" s="1">
        <v>-513.192491</v>
      </c>
      <c r="E69" s="1">
        <v>-143.810095</v>
      </c>
      <c r="F69" s="1">
        <v>-1.240422</v>
      </c>
      <c r="G69" s="1">
        <v>-0.124046</v>
      </c>
    </row>
    <row r="70" spans="2:7" ht="12.75">
      <c r="B70" s="1">
        <v>48</v>
      </c>
      <c r="C70" s="1">
        <v>-14.664277</v>
      </c>
      <c r="D70" s="1">
        <v>-514.05543</v>
      </c>
      <c r="E70" s="1">
        <v>-136.853467</v>
      </c>
      <c r="F70" s="1">
        <v>-1.240422</v>
      </c>
      <c r="G70" s="1">
        <v>-0.124046</v>
      </c>
    </row>
    <row r="71" spans="2:7" ht="12.75">
      <c r="B71" s="1">
        <v>49</v>
      </c>
      <c r="C71" s="1">
        <v>-10.349698</v>
      </c>
      <c r="D71" s="1">
        <v>-513.62396</v>
      </c>
      <c r="E71" s="1">
        <v>-140.331781</v>
      </c>
      <c r="F71" s="1">
        <v>-1.240422</v>
      </c>
      <c r="G71" s="1">
        <v>-0.124046</v>
      </c>
    </row>
    <row r="72" spans="2:7" ht="12.75">
      <c r="B72" s="1">
        <v>50</v>
      </c>
      <c r="C72" s="1">
        <v>-6.603321</v>
      </c>
      <c r="D72" s="1">
        <v>-513.249312</v>
      </c>
      <c r="E72" s="1">
        <v>-143.352024</v>
      </c>
      <c r="F72" s="1">
        <v>-1.240422</v>
      </c>
      <c r="G72" s="1">
        <v>-0.124046</v>
      </c>
    </row>
    <row r="73" spans="2:7" ht="12.75">
      <c r="B73" s="1">
        <v>51</v>
      </c>
      <c r="C73" s="1">
        <v>-72.58604</v>
      </c>
      <c r="D73" s="1">
        <v>-519.847765</v>
      </c>
      <c r="E73" s="1">
        <v>-90.158272</v>
      </c>
      <c r="F73" s="1">
        <v>-1.240422</v>
      </c>
      <c r="G73" s="1">
        <v>-0.124046</v>
      </c>
    </row>
    <row r="74" spans="2:7" ht="12.75">
      <c r="B74" s="1">
        <v>52</v>
      </c>
      <c r="C74" s="1">
        <v>-65.987769</v>
      </c>
      <c r="D74" s="1">
        <v>-519.18792</v>
      </c>
      <c r="E74" s="1">
        <v>-95.477647</v>
      </c>
      <c r="F74" s="1">
        <v>-1.240422</v>
      </c>
      <c r="G74" s="1">
        <v>-0.124046</v>
      </c>
    </row>
    <row r="75" spans="2:7" ht="12.75">
      <c r="B75" s="1">
        <v>53</v>
      </c>
      <c r="C75" s="1">
        <v>-62.106432</v>
      </c>
      <c r="D75" s="1">
        <v>-518.799775</v>
      </c>
      <c r="E75" s="1">
        <v>-98.606691</v>
      </c>
      <c r="F75" s="1">
        <v>-1.240422</v>
      </c>
      <c r="G75" s="1">
        <v>-0.124046</v>
      </c>
    </row>
    <row r="76" spans="2:7" ht="12.75">
      <c r="B76" s="1">
        <v>54</v>
      </c>
      <c r="C76" s="1">
        <v>-65.987769</v>
      </c>
      <c r="D76" s="1">
        <v>-519.18792</v>
      </c>
      <c r="E76" s="1">
        <v>-95.477647</v>
      </c>
      <c r="F76" s="1">
        <v>-1.240422</v>
      </c>
      <c r="G76" s="1">
        <v>-0.124046</v>
      </c>
    </row>
    <row r="77" spans="2:7" ht="12.75">
      <c r="B77" s="1">
        <v>55</v>
      </c>
      <c r="C77" s="1">
        <v>-10.349698</v>
      </c>
      <c r="D77" s="1">
        <v>-513.62396</v>
      </c>
      <c r="E77" s="1">
        <v>-140.331781</v>
      </c>
      <c r="F77" s="1">
        <v>0.016031</v>
      </c>
      <c r="G77" s="1">
        <v>-0.126573</v>
      </c>
    </row>
    <row r="78" spans="2:7" ht="12.75">
      <c r="B78" s="1">
        <v>56</v>
      </c>
      <c r="C78" s="1">
        <v>-10.272944</v>
      </c>
      <c r="D78" s="1">
        <v>-514.229985</v>
      </c>
      <c r="E78" s="1">
        <v>-135.543836</v>
      </c>
      <c r="F78" s="1">
        <v>0.016031</v>
      </c>
      <c r="G78" s="1">
        <v>-0.126573</v>
      </c>
    </row>
    <row r="79" spans="2:7" ht="12.75">
      <c r="B79" s="1">
        <v>57</v>
      </c>
      <c r="C79" s="1">
        <v>-10.987456</v>
      </c>
      <c r="D79" s="1">
        <v>-508.588478</v>
      </c>
      <c r="E79" s="1">
        <v>-180.115035</v>
      </c>
      <c r="F79" s="1">
        <v>16.118236</v>
      </c>
      <c r="G79" s="1">
        <v>-1013.475367</v>
      </c>
    </row>
    <row r="80" spans="2:7" ht="12.75">
      <c r="B80" s="1">
        <v>58</v>
      </c>
      <c r="C80" s="1">
        <v>-10.972716</v>
      </c>
      <c r="D80" s="1">
        <v>-509.515269</v>
      </c>
      <c r="E80" s="1">
        <v>-180.114121</v>
      </c>
      <c r="F80" s="1">
        <v>16.118236</v>
      </c>
      <c r="G80" s="1">
        <v>-1013.475367</v>
      </c>
    </row>
    <row r="81" spans="2:7" ht="12.75">
      <c r="B81" s="1">
        <v>59</v>
      </c>
      <c r="C81" s="1">
        <v>-11.624777</v>
      </c>
      <c r="D81" s="1">
        <v>-468.51527</v>
      </c>
      <c r="E81" s="1">
        <v>-180.154575</v>
      </c>
      <c r="F81" s="1">
        <v>16.118236</v>
      </c>
      <c r="G81" s="1">
        <v>-1013.475367</v>
      </c>
    </row>
    <row r="82" spans="2:7" ht="12.75">
      <c r="B82" s="1">
        <v>60</v>
      </c>
      <c r="C82" s="1">
        <v>-11.481801</v>
      </c>
      <c r="D82" s="1">
        <v>-477.50527</v>
      </c>
      <c r="E82" s="1">
        <v>-180.145705</v>
      </c>
      <c r="F82" s="1">
        <v>16.118236</v>
      </c>
      <c r="G82" s="1">
        <v>-1013.475367</v>
      </c>
    </row>
    <row r="83" spans="2:7" ht="12.75">
      <c r="B83" s="1">
        <v>61</v>
      </c>
      <c r="C83" s="1">
        <v>-11.402281</v>
      </c>
      <c r="D83" s="1">
        <v>-482.505269</v>
      </c>
      <c r="E83" s="1">
        <v>-180.140771</v>
      </c>
      <c r="F83" s="1">
        <v>16.118236</v>
      </c>
      <c r="G83" s="1">
        <v>-1013.475367</v>
      </c>
    </row>
    <row r="84" spans="2:7" ht="12.75">
      <c r="B84" s="1">
        <v>62</v>
      </c>
      <c r="C84" s="1">
        <v>-11.481801</v>
      </c>
      <c r="D84" s="1">
        <v>-477.50527</v>
      </c>
      <c r="E84" s="1">
        <v>-180.145705</v>
      </c>
      <c r="F84" s="1">
        <v>16.118236</v>
      </c>
      <c r="G84" s="1">
        <v>-1013.475367</v>
      </c>
    </row>
    <row r="85" spans="2:5" ht="12.75">
      <c r="B85" s="1">
        <v>63</v>
      </c>
      <c r="C85" s="1">
        <v>-11.624777</v>
      </c>
      <c r="D85" s="1">
        <v>-468.51527</v>
      </c>
      <c r="E85" s="1">
        <v>-180.154575</v>
      </c>
    </row>
    <row r="86" ht="12.75">
      <c r="B86" s="1" t="s">
        <v>39</v>
      </c>
    </row>
    <row r="87" ht="12.75">
      <c r="B87" s="1" t="s">
        <v>39</v>
      </c>
    </row>
    <row r="88" spans="2:4" ht="12.75">
      <c r="B88" s="1" t="s">
        <v>39</v>
      </c>
      <c r="C88" s="1" t="s">
        <v>85</v>
      </c>
      <c r="D88" s="1" t="s">
        <v>86</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4:K149"/>
  <sheetViews>
    <sheetView workbookViewId="0" topLeftCell="A1">
      <selection activeCell="A12" sqref="A12"/>
    </sheetView>
  </sheetViews>
  <sheetFormatPr defaultColWidth="12" defaultRowHeight="12.75"/>
  <sheetData>
    <row r="24" spans="2:5" ht="12.75">
      <c r="B24" s="31" t="s">
        <v>46</v>
      </c>
      <c r="C24" s="31" t="s">
        <v>375</v>
      </c>
      <c r="D24" s="31" t="s">
        <v>268</v>
      </c>
      <c r="E24" s="31" t="s">
        <v>376</v>
      </c>
    </row>
    <row r="25" spans="2:5" ht="12.75">
      <c r="B25" s="19" t="s">
        <v>17</v>
      </c>
      <c r="C25" s="19" t="str">
        <f>"-Zsyno"</f>
        <v>-Zsyno</v>
      </c>
      <c r="D25" s="19" t="s">
        <v>372</v>
      </c>
      <c r="E25" s="19" t="s">
        <v>112</v>
      </c>
    </row>
    <row r="26" spans="2:5" ht="12.75">
      <c r="B26" s="19" t="s">
        <v>80</v>
      </c>
      <c r="C26" s="19" t="s">
        <v>118</v>
      </c>
      <c r="D26" s="19" t="s">
        <v>373</v>
      </c>
      <c r="E26" s="19" t="s">
        <v>113</v>
      </c>
    </row>
    <row r="27" spans="2:5" ht="12.75">
      <c r="B27" s="19" t="s">
        <v>81</v>
      </c>
      <c r="C27" s="19" t="s">
        <v>119</v>
      </c>
      <c r="D27" s="19" t="s">
        <v>374</v>
      </c>
      <c r="E27" s="19" t="s">
        <v>114</v>
      </c>
    </row>
    <row r="93" spans="1:2" ht="12.75">
      <c r="A93" s="67" t="s">
        <v>401</v>
      </c>
      <c r="B93" s="68" t="s">
        <v>399</v>
      </c>
    </row>
    <row r="94" spans="1:2" ht="12.75">
      <c r="A94" s="67" t="s">
        <v>402</v>
      </c>
      <c r="B94" s="68" t="s">
        <v>400</v>
      </c>
    </row>
    <row r="95" spans="1:2" ht="12.75">
      <c r="A95" s="67" t="s">
        <v>403</v>
      </c>
      <c r="B95" s="68" t="s">
        <v>398</v>
      </c>
    </row>
    <row r="99" spans="1:2" ht="12.75">
      <c r="A99" s="67" t="s">
        <v>404</v>
      </c>
      <c r="B99" t="s">
        <v>405</v>
      </c>
    </row>
    <row r="100" ht="12.75">
      <c r="B100" t="s">
        <v>406</v>
      </c>
    </row>
    <row r="101" ht="12.75">
      <c r="B101" t="s">
        <v>407</v>
      </c>
    </row>
    <row r="120" spans="7:11" ht="12.75">
      <c r="G120" s="70"/>
      <c r="H120" s="70"/>
      <c r="I120" s="70"/>
      <c r="J120" s="70"/>
      <c r="K120" s="70"/>
    </row>
    <row r="121" spans="7:11" ht="12.75">
      <c r="G121" s="70"/>
      <c r="H121" s="70"/>
      <c r="I121" s="70"/>
      <c r="J121" s="70"/>
      <c r="K121" s="70"/>
    </row>
    <row r="122" spans="9:11" ht="12.75">
      <c r="I122" s="42"/>
      <c r="J122" s="42"/>
      <c r="K122" s="70"/>
    </row>
    <row r="123" spans="9:11" ht="12.75">
      <c r="I123" s="70"/>
      <c r="J123" s="42"/>
      <c r="K123" s="70"/>
    </row>
    <row r="124" spans="9:11" ht="12.75">
      <c r="I124" s="42"/>
      <c r="J124" s="70"/>
      <c r="K124" s="70"/>
    </row>
    <row r="126" spans="9:10" ht="12.75">
      <c r="I126" s="42"/>
      <c r="J126" s="42"/>
    </row>
    <row r="127" spans="9:10" ht="12.75">
      <c r="I127" s="70"/>
      <c r="J127" s="42"/>
    </row>
    <row r="128" spans="9:10" ht="12.75">
      <c r="I128" s="42"/>
      <c r="J128" s="70"/>
    </row>
    <row r="129" spans="8:10" ht="12.75">
      <c r="H129" s="70"/>
      <c r="I129" s="70"/>
      <c r="J129" s="70"/>
    </row>
    <row r="131" spans="1:2" ht="12.75">
      <c r="A131" s="67" t="s">
        <v>408</v>
      </c>
      <c r="B131" s="68" t="s">
        <v>414</v>
      </c>
    </row>
    <row r="132" ht="12.75">
      <c r="B132" t="str">
        <f>"+VertexCalc!Ynorm*(Interfaces!Ymirr-VertexCalc!Ymirr)"</f>
        <v>+VertexCalc!Ynorm*(Interfaces!Ymirr-VertexCalc!Ymirr)</v>
      </c>
    </row>
    <row r="133" ht="12.75">
      <c r="B133" t="str">
        <f>"+VertexCalc!Znorm*(Interfaces!Zmirr-VertexCalc!Zmirr)"</f>
        <v>+VertexCalc!Znorm*(Interfaces!Zmirr-VertexCalc!Zmirr)</v>
      </c>
    </row>
    <row r="134" spans="1:2" ht="12.75">
      <c r="A134" s="67" t="s">
        <v>409</v>
      </c>
      <c r="B134" s="68" t="s">
        <v>415</v>
      </c>
    </row>
    <row r="135" ht="12.75">
      <c r="B135" t="str">
        <f>"+VertexCalc!Ysag*(Interfaces!Ymirr-VertexCalc!Ymirr)"</f>
        <v>+VertexCalc!Ysag*(Interfaces!Ymirr-VertexCalc!Ymirr)</v>
      </c>
    </row>
    <row r="136" ht="12.75">
      <c r="B136" t="str">
        <f>"+VertexCalc!Zsag*(Interfaces!Zmirr-VertexCalc!Zmirr)"</f>
        <v>+VertexCalc!Zsag*(Interfaces!Zmirr-VertexCalc!Zmirr)</v>
      </c>
    </row>
    <row r="137" spans="1:2" ht="12.75">
      <c r="A137" s="67" t="s">
        <v>410</v>
      </c>
      <c r="B137" s="68" t="s">
        <v>416</v>
      </c>
    </row>
    <row r="138" ht="12.75">
      <c r="B138" t="str">
        <f>"+VertexCalc!Ytang*(Interfaces!Ymirr-VertexCalc!Ymirr)"</f>
        <v>+VertexCalc!Ytang*(Interfaces!Ymirr-VertexCalc!Ymirr)</v>
      </c>
    </row>
    <row r="139" ht="12.75">
      <c r="B139" t="str">
        <f>"+VertexCalc!Ztang*(Interfaces!Zmirr-VertexCalc!Zmirr)"</f>
        <v>+VertexCalc!Ztang*(Interfaces!Zmirr-VertexCalc!Zmirr)</v>
      </c>
    </row>
    <row r="144" spans="1:2" ht="12.75">
      <c r="A144" s="67" t="s">
        <v>413</v>
      </c>
      <c r="B144" s="68" t="s">
        <v>417</v>
      </c>
    </row>
    <row r="145" ht="12.75">
      <c r="B145" t="str">
        <f>"+VertexCalc!Znorm*Interfaces!Znorm"</f>
        <v>+VertexCalc!Znorm*Interfaces!Znorm</v>
      </c>
    </row>
    <row r="146" spans="1:2" ht="12.75">
      <c r="A146" s="67" t="s">
        <v>411</v>
      </c>
      <c r="B146" s="68" t="s">
        <v>418</v>
      </c>
    </row>
    <row r="147" ht="12.75">
      <c r="B147" t="str">
        <f>"+VertexCalc!Zsag*Interfaces!Znorm"</f>
        <v>+VertexCalc!Zsag*Interfaces!Znorm</v>
      </c>
    </row>
    <row r="148" spans="1:2" ht="12.75">
      <c r="A148" s="67" t="s">
        <v>412</v>
      </c>
      <c r="B148" s="68" t="s">
        <v>419</v>
      </c>
    </row>
    <row r="149" ht="12.75">
      <c r="B149" t="str">
        <f>"+VertexCalc!Ztang*Interfaces!Znorm"</f>
        <v>+VertexCalc!Ztang*Interfaces!Znorm</v>
      </c>
    </row>
  </sheetData>
  <printOptions/>
  <pageMargins left="0.65" right="0.59" top="0.81" bottom="0.69" header="0.5118110236220472" footer="0.28"/>
  <pageSetup horizontalDpi="600" verticalDpi="600" orientation="portrait" paperSize="9" r:id="rId6"/>
  <headerFooter alignWithMargins="0">
    <oddHeader>&amp;L&amp;F, &amp;A&amp;R&amp;T, &amp;D</oddHeader>
    <oddFooter>&amp;CPage &amp;P of &amp;N</oddFooter>
  </headerFooter>
  <rowBreaks count="2" manualBreakCount="2">
    <brk id="48" max="255" man="1"/>
    <brk id="103" max="255" man="1"/>
  </rowBreaks>
  <drawing r:id="rId5"/>
  <legacyDrawing r:id="rId4"/>
  <oleObjects>
    <oleObject progId="Equation.3" shapeId="75822527" r:id="rId1"/>
    <oleObject progId="Equation.3" shapeId="76292576" r:id="rId2"/>
    <oleObject progId="Equation.3" shapeId="76310701" r:id="rId3"/>
  </oleObjects>
</worksheet>
</file>

<file path=xl/worksheets/sheet4.xml><?xml version="1.0" encoding="utf-8"?>
<worksheet xmlns="http://schemas.openxmlformats.org/spreadsheetml/2006/main" xmlns:r="http://schemas.openxmlformats.org/officeDocument/2006/relationships">
  <sheetPr>
    <pageSetUpPr fitToPage="1"/>
  </sheetPr>
  <dimension ref="A1:IV85"/>
  <sheetViews>
    <sheetView workbookViewId="0" topLeftCell="A1">
      <selection activeCell="A18" sqref="A18:IV18"/>
    </sheetView>
  </sheetViews>
  <sheetFormatPr defaultColWidth="12" defaultRowHeight="12.75"/>
  <cols>
    <col min="1" max="1" width="14.16015625" style="1" customWidth="1"/>
    <col min="2" max="2" width="71.33203125" style="1" customWidth="1"/>
    <col min="3" max="16384" width="12" style="1" customWidth="1"/>
  </cols>
  <sheetData>
    <row r="1" spans="1:2" s="5" customFormat="1" ht="12.75">
      <c r="A1" s="5" t="s">
        <v>0</v>
      </c>
      <c r="B1" s="5" t="s">
        <v>1</v>
      </c>
    </row>
    <row r="2" spans="1:2" ht="12.75">
      <c r="A2" s="1" t="s">
        <v>44</v>
      </c>
      <c r="B2" s="1" t="s">
        <v>378</v>
      </c>
    </row>
    <row r="3" ht="12.75">
      <c r="A3" s="52" t="s">
        <v>483</v>
      </c>
    </row>
    <row r="4" ht="12.75">
      <c r="A4" s="52" t="s">
        <v>482</v>
      </c>
    </row>
    <row r="5" ht="12.75">
      <c r="A5" s="1" t="s">
        <v>111</v>
      </c>
    </row>
    <row r="6" spans="1:4" ht="12.75">
      <c r="A6" s="1" t="s">
        <v>2</v>
      </c>
      <c r="C6" s="6"/>
      <c r="D6" s="6"/>
    </row>
    <row r="7" spans="1:4" ht="12.75">
      <c r="A7" s="1" t="s">
        <v>143</v>
      </c>
      <c r="C7" s="6"/>
      <c r="D7" s="6"/>
    </row>
    <row r="8" spans="1:4" ht="12.75">
      <c r="A8" s="1" t="s">
        <v>89</v>
      </c>
      <c r="C8" s="6"/>
      <c r="D8" s="6"/>
    </row>
    <row r="9" spans="1:4" ht="12.75">
      <c r="A9" s="1" t="s">
        <v>90</v>
      </c>
      <c r="C9" s="6"/>
      <c r="D9" s="6"/>
    </row>
    <row r="10" ht="12.75">
      <c r="A10" s="1" t="s">
        <v>3</v>
      </c>
    </row>
    <row r="11" spans="1:2" ht="12.75">
      <c r="A11" s="1" t="s">
        <v>356</v>
      </c>
      <c r="B11" s="1" t="s">
        <v>358</v>
      </c>
    </row>
    <row r="12" spans="1:2" ht="12.75">
      <c r="A12" s="1" t="s">
        <v>357</v>
      </c>
      <c r="B12" s="1" t="s">
        <v>359</v>
      </c>
    </row>
    <row r="13" spans="1:2" ht="12.75">
      <c r="A13" s="1" t="s">
        <v>360</v>
      </c>
      <c r="B13" s="1" t="s">
        <v>361</v>
      </c>
    </row>
    <row r="14" spans="1:2" ht="12.75">
      <c r="A14" s="1" t="s">
        <v>364</v>
      </c>
      <c r="B14" s="1" t="s">
        <v>365</v>
      </c>
    </row>
    <row r="15" spans="1:256" ht="12.75">
      <c r="A15" s="19" t="s">
        <v>366</v>
      </c>
      <c r="B15" s="19" t="s">
        <v>368</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12.75">
      <c r="A16" s="19" t="s">
        <v>367</v>
      </c>
      <c r="B16" s="19" t="s">
        <v>369</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12.75">
      <c r="A17" s="19" t="s">
        <v>497</v>
      </c>
      <c r="B17" s="19" t="s">
        <v>498</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2.75">
      <c r="A18" s="19" t="s">
        <v>499</v>
      </c>
      <c r="B18" s="19" t="s">
        <v>500</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 ht="12.75">
      <c r="A19" s="1" t="s">
        <v>4</v>
      </c>
      <c r="B19" s="1" t="s">
        <v>10</v>
      </c>
    </row>
    <row r="20" ht="12.75">
      <c r="A20" s="1" t="s">
        <v>5</v>
      </c>
    </row>
    <row r="21" ht="12.75">
      <c r="A21" s="1" t="s">
        <v>6</v>
      </c>
    </row>
    <row r="22" spans="1:2" ht="12.75">
      <c r="A22" s="1" t="s">
        <v>31</v>
      </c>
      <c r="B22" s="1" t="s">
        <v>37</v>
      </c>
    </row>
    <row r="23" ht="12.75">
      <c r="A23" s="1" t="s">
        <v>32</v>
      </c>
    </row>
    <row r="24" ht="12.75">
      <c r="A24" s="1" t="s">
        <v>33</v>
      </c>
    </row>
    <row r="25" spans="1:2" ht="12.75">
      <c r="A25" s="1" t="s">
        <v>34</v>
      </c>
      <c r="B25" s="1" t="s">
        <v>38</v>
      </c>
    </row>
    <row r="26" ht="12.75">
      <c r="A26" s="1" t="s">
        <v>35</v>
      </c>
    </row>
    <row r="27" ht="12.75">
      <c r="A27" s="1" t="s">
        <v>36</v>
      </c>
    </row>
    <row r="28" spans="1:2" ht="12.75">
      <c r="A28" s="1" t="s">
        <v>331</v>
      </c>
      <c r="B28" s="1" t="s">
        <v>334</v>
      </c>
    </row>
    <row r="29" ht="12.75">
      <c r="A29" s="1" t="s">
        <v>332</v>
      </c>
    </row>
    <row r="30" ht="12.75">
      <c r="A30" s="1" t="s">
        <v>333</v>
      </c>
    </row>
    <row r="31" spans="1:2" ht="12.75">
      <c r="A31" s="1" t="s">
        <v>353</v>
      </c>
      <c r="B31" s="1" t="s">
        <v>328</v>
      </c>
    </row>
    <row r="32" ht="12.75">
      <c r="A32" s="1" t="s">
        <v>354</v>
      </c>
    </row>
    <row r="33" ht="12.75">
      <c r="A33" s="1" t="s">
        <v>355</v>
      </c>
    </row>
    <row r="34" spans="1:2" ht="12.75">
      <c r="A34" s="1" t="s">
        <v>323</v>
      </c>
      <c r="B34" s="1" t="s">
        <v>329</v>
      </c>
    </row>
    <row r="35" ht="12.75">
      <c r="A35" s="1" t="s">
        <v>322</v>
      </c>
    </row>
    <row r="36" ht="12.75">
      <c r="A36" s="1" t="s">
        <v>324</v>
      </c>
    </row>
    <row r="37" spans="1:2" ht="12.75">
      <c r="A37" s="1" t="s">
        <v>21</v>
      </c>
      <c r="B37" s="1" t="s">
        <v>330</v>
      </c>
    </row>
    <row r="38" ht="12.75">
      <c r="A38" s="1" t="s">
        <v>22</v>
      </c>
    </row>
    <row r="39" ht="12.75">
      <c r="A39" s="1" t="s">
        <v>23</v>
      </c>
    </row>
    <row r="40" spans="1:2" ht="12.75">
      <c r="A40" s="1" t="s">
        <v>18</v>
      </c>
      <c r="B40" s="1" t="s">
        <v>371</v>
      </c>
    </row>
    <row r="41" ht="12.75">
      <c r="A41" s="1" t="s">
        <v>19</v>
      </c>
    </row>
    <row r="42" ht="12.75">
      <c r="A42" s="1" t="s">
        <v>20</v>
      </c>
    </row>
    <row r="43" spans="1:2" ht="12.75">
      <c r="A43" s="1" t="s">
        <v>14</v>
      </c>
      <c r="B43" s="1" t="s">
        <v>27</v>
      </c>
    </row>
    <row r="44" ht="12.75">
      <c r="A44" s="1" t="s">
        <v>15</v>
      </c>
    </row>
    <row r="45" ht="12.75">
      <c r="A45" s="1" t="s">
        <v>16</v>
      </c>
    </row>
    <row r="46" spans="1:2" ht="12.75">
      <c r="A46" s="1" t="s">
        <v>11</v>
      </c>
      <c r="B46" s="1" t="s">
        <v>28</v>
      </c>
    </row>
    <row r="47" ht="12.75">
      <c r="A47" s="1" t="s">
        <v>12</v>
      </c>
    </row>
    <row r="48" ht="12.75">
      <c r="A48" s="1" t="s">
        <v>13</v>
      </c>
    </row>
    <row r="49" spans="1:2" ht="12.75">
      <c r="A49" s="1" t="s">
        <v>325</v>
      </c>
      <c r="B49" s="1" t="s">
        <v>29</v>
      </c>
    </row>
    <row r="50" ht="12.75">
      <c r="A50" s="1" t="s">
        <v>326</v>
      </c>
    </row>
    <row r="51" ht="12.75">
      <c r="A51" s="1" t="s">
        <v>327</v>
      </c>
    </row>
    <row r="52" spans="1:2" ht="12.75">
      <c r="A52" s="1" t="s">
        <v>24</v>
      </c>
      <c r="B52" s="1" t="s">
        <v>30</v>
      </c>
    </row>
    <row r="53" ht="12.75">
      <c r="A53" s="1" t="s">
        <v>25</v>
      </c>
    </row>
    <row r="54" ht="12.75">
      <c r="A54" s="1" t="s">
        <v>26</v>
      </c>
    </row>
    <row r="55" spans="1:2" ht="12.75">
      <c r="A55" s="1" t="s">
        <v>96</v>
      </c>
      <c r="B55" s="1" t="s">
        <v>136</v>
      </c>
    </row>
    <row r="56" ht="12.75">
      <c r="A56" s="30" t="s">
        <v>478</v>
      </c>
    </row>
    <row r="57" ht="12.75">
      <c r="A57" s="19" t="s">
        <v>479</v>
      </c>
    </row>
    <row r="58" spans="1:2" ht="12.75">
      <c r="A58" s="1" t="s">
        <v>99</v>
      </c>
      <c r="B58" s="1" t="s">
        <v>137</v>
      </c>
    </row>
    <row r="59" ht="12.75">
      <c r="A59" s="1" t="s">
        <v>101</v>
      </c>
    </row>
    <row r="60" ht="12.75">
      <c r="A60" s="1" t="s">
        <v>103</v>
      </c>
    </row>
    <row r="61" spans="1:2" ht="12.75">
      <c r="A61" s="1" t="s">
        <v>105</v>
      </c>
      <c r="B61" s="1" t="s">
        <v>138</v>
      </c>
    </row>
    <row r="62" ht="12.75">
      <c r="A62" s="1" t="s">
        <v>106</v>
      </c>
    </row>
    <row r="63" ht="12.75">
      <c r="A63" s="1" t="s">
        <v>107</v>
      </c>
    </row>
    <row r="64" spans="1:16" ht="12.75">
      <c r="A64" s="1" t="s">
        <v>123</v>
      </c>
      <c r="B64" s="1" t="s">
        <v>139</v>
      </c>
      <c r="C64" s="6"/>
      <c r="D64" s="6"/>
      <c r="E64" s="6"/>
      <c r="F64" s="6"/>
      <c r="G64" s="6"/>
      <c r="H64" s="6"/>
      <c r="I64" s="6"/>
      <c r="J64" s="6"/>
      <c r="K64" s="6"/>
      <c r="L64" s="6"/>
      <c r="M64" s="6"/>
      <c r="N64" s="6"/>
      <c r="O64" s="6"/>
      <c r="P64" s="6"/>
    </row>
    <row r="65" ht="12.75">
      <c r="A65" s="1" t="s">
        <v>124</v>
      </c>
    </row>
    <row r="66" ht="12.75">
      <c r="A66" s="1" t="s">
        <v>125</v>
      </c>
    </row>
    <row r="67" spans="1:2" ht="12.75">
      <c r="A67" s="1" t="s">
        <v>126</v>
      </c>
      <c r="B67" s="1" t="s">
        <v>140</v>
      </c>
    </row>
    <row r="68" spans="1:2" ht="12.75">
      <c r="A68" s="1" t="s">
        <v>127</v>
      </c>
      <c r="B68" s="1" t="s">
        <v>141</v>
      </c>
    </row>
    <row r="69" ht="12.75">
      <c r="A69" s="1" t="s">
        <v>128</v>
      </c>
    </row>
    <row r="70" ht="12.75">
      <c r="A70" s="1" t="s">
        <v>129</v>
      </c>
    </row>
    <row r="71" spans="1:2" ht="12.75">
      <c r="A71" s="1" t="s">
        <v>130</v>
      </c>
      <c r="B71" s="1" t="s">
        <v>142</v>
      </c>
    </row>
    <row r="72" ht="12.75">
      <c r="A72" s="1" t="s">
        <v>131</v>
      </c>
    </row>
    <row r="73" ht="12.75">
      <c r="A73" s="1" t="s">
        <v>132</v>
      </c>
    </row>
    <row r="74" spans="1:2" ht="12.75">
      <c r="A74" s="1" t="s">
        <v>135</v>
      </c>
      <c r="B74" s="1" t="s">
        <v>140</v>
      </c>
    </row>
    <row r="75" spans="1:2" ht="12.75">
      <c r="A75" s="1" t="s">
        <v>448</v>
      </c>
      <c r="B75" s="1" t="s">
        <v>468</v>
      </c>
    </row>
    <row r="76" ht="12.75">
      <c r="A76" s="19" t="s">
        <v>450</v>
      </c>
    </row>
    <row r="77" ht="12.75">
      <c r="A77" s="19" t="s">
        <v>451</v>
      </c>
    </row>
    <row r="78" ht="12.75">
      <c r="A78" s="19" t="s">
        <v>452</v>
      </c>
    </row>
    <row r="79" ht="12.75">
      <c r="A79" s="19" t="s">
        <v>453</v>
      </c>
    </row>
    <row r="80" ht="12.75">
      <c r="A80" s="19" t="s">
        <v>455</v>
      </c>
    </row>
    <row r="81" ht="12.75">
      <c r="A81" s="19" t="s">
        <v>454</v>
      </c>
    </row>
    <row r="82" ht="12.75">
      <c r="A82" s="19" t="s">
        <v>456</v>
      </c>
    </row>
    <row r="83" ht="12.75">
      <c r="A83" s="19" t="s">
        <v>457</v>
      </c>
    </row>
    <row r="84" ht="13.5" thickBot="1">
      <c r="A84" s="15" t="s">
        <v>458</v>
      </c>
    </row>
    <row r="85" spans="1:2" ht="12.75">
      <c r="A85" s="1" t="s">
        <v>469</v>
      </c>
      <c r="B85" s="1" t="s">
        <v>472</v>
      </c>
    </row>
  </sheetData>
  <printOptions/>
  <pageMargins left="0.7874015748031497" right="0.7874015748031497" top="0.84" bottom="0.54" header="0.38" footer="0.24"/>
  <pageSetup fitToHeight="1" fitToWidth="1" horizontalDpi="600" verticalDpi="600" orientation="portrait" paperSize="9" scale="68" r:id="rId1"/>
  <headerFooter alignWithMargins="0">
    <oddHeader>&amp;L&amp;F, &amp;A&amp;R&amp;T, &amp;D</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H48"/>
  <sheetViews>
    <sheetView workbookViewId="0" topLeftCell="B1">
      <selection activeCell="C24" sqref="C24:H33"/>
    </sheetView>
  </sheetViews>
  <sheetFormatPr defaultColWidth="12" defaultRowHeight="12.75"/>
  <cols>
    <col min="1" max="2" width="12" style="1" customWidth="1"/>
    <col min="3" max="3" width="20.16015625" style="1" customWidth="1"/>
    <col min="4" max="5" width="12" style="1" customWidth="1"/>
    <col min="6" max="8" width="10.83203125" style="32" customWidth="1"/>
    <col min="9" max="16384" width="12" style="1" customWidth="1"/>
  </cols>
  <sheetData>
    <row r="1" spans="3:8" s="5" customFormat="1" ht="12.75">
      <c r="C1" s="5" t="s">
        <v>111</v>
      </c>
      <c r="D1" s="5" t="s">
        <v>2</v>
      </c>
      <c r="E1" s="5" t="s">
        <v>143</v>
      </c>
      <c r="F1" s="38" t="s">
        <v>4</v>
      </c>
      <c r="G1" s="39" t="s">
        <v>5</v>
      </c>
      <c r="H1" s="40" t="s">
        <v>6</v>
      </c>
    </row>
    <row r="2" spans="4:8" ht="13.5" thickBot="1">
      <c r="D2" s="1" t="s">
        <v>91</v>
      </c>
      <c r="E2" s="1" t="s">
        <v>110</v>
      </c>
      <c r="F2" s="41">
        <f ca="1">IF(Flag="Ignore","",INDIRECT("RayImpacts!"&amp;F$1))</f>
      </c>
      <c r="G2" s="42">
        <f aca="true" ca="1" t="shared" si="0" ref="G2:H12">IF(Flag="Ignore","",INDIRECT("RayImpacts!"&amp;G$1))</f>
      </c>
      <c r="H2" s="43">
        <f ca="1" t="shared" si="0"/>
      </c>
    </row>
    <row r="3" spans="3:8" ht="12.75">
      <c r="C3" s="10" t="s">
        <v>108</v>
      </c>
      <c r="D3" s="11" t="s">
        <v>92</v>
      </c>
      <c r="E3" s="11"/>
      <c r="F3" s="44">
        <f aca="true" ca="1" t="shared" si="1" ref="F3:H25">IF(Flag="Ignore","",INDIRECT("RayImpacts!"&amp;F$1))</f>
        <v>1252.785036</v>
      </c>
      <c r="G3" s="45">
        <f ca="1" t="shared" si="0"/>
        <v>36.848567</v>
      </c>
      <c r="H3" s="46">
        <f ca="1" t="shared" si="0"/>
        <v>54.803634</v>
      </c>
    </row>
    <row r="4" spans="3:8" ht="13.5" thickBot="1">
      <c r="C4" s="14"/>
      <c r="D4" s="15" t="s">
        <v>93</v>
      </c>
      <c r="E4" s="15"/>
      <c r="F4" s="47">
        <f ca="1" t="shared" si="1"/>
        <v>2840.131</v>
      </c>
      <c r="G4" s="48">
        <f ca="1" t="shared" si="0"/>
        <v>3.77E-13</v>
      </c>
      <c r="H4" s="49">
        <f ca="1" t="shared" si="0"/>
        <v>-3.62E-13</v>
      </c>
    </row>
    <row r="5" spans="3:8" ht="12.75">
      <c r="C5" s="10" t="s">
        <v>109</v>
      </c>
      <c r="D5" s="11" t="s">
        <v>94</v>
      </c>
      <c r="E5" s="11" t="s">
        <v>144</v>
      </c>
      <c r="F5" s="44">
        <f ca="1" t="shared" si="1"/>
        <v>241.659771</v>
      </c>
      <c r="G5" s="45">
        <f ca="1" t="shared" si="0"/>
        <v>-60.320777</v>
      </c>
      <c r="H5" s="46">
        <f ca="1" t="shared" si="0"/>
        <v>-89.713062</v>
      </c>
    </row>
    <row r="6" spans="3:8" ht="12.75">
      <c r="C6" s="18"/>
      <c r="D6" s="19" t="s">
        <v>95</v>
      </c>
      <c r="E6" s="19"/>
      <c r="F6" s="41">
        <f ca="1" t="shared" si="1"/>
        <v>136.530948</v>
      </c>
      <c r="G6" s="42">
        <f ca="1" t="shared" si="0"/>
        <v>-62.761232</v>
      </c>
      <c r="H6" s="43">
        <f ca="1" t="shared" si="0"/>
        <v>-93.342669</v>
      </c>
    </row>
    <row r="7" spans="3:8" ht="12.75">
      <c r="C7" s="18"/>
      <c r="D7" s="19" t="s">
        <v>97</v>
      </c>
      <c r="E7" s="19"/>
      <c r="F7" s="41">
        <f ca="1" t="shared" si="1"/>
        <v>316.03790200000003</v>
      </c>
      <c r="G7" s="42">
        <f ca="1" t="shared" si="0"/>
        <v>0.23026</v>
      </c>
      <c r="H7" s="43">
        <f ca="1" t="shared" si="0"/>
        <v>-200.363128</v>
      </c>
    </row>
    <row r="8" spans="3:8" ht="13.5" thickBot="1">
      <c r="C8" s="14"/>
      <c r="D8" s="15" t="s">
        <v>98</v>
      </c>
      <c r="E8" s="15"/>
      <c r="F8" s="47">
        <f ca="1" t="shared" si="1"/>
        <v>125.120751</v>
      </c>
      <c r="G8" s="48">
        <f ca="1" t="shared" si="0"/>
        <v>58.002151</v>
      </c>
      <c r="H8" s="49">
        <f ca="1" t="shared" si="0"/>
        <v>-183.378714</v>
      </c>
    </row>
    <row r="9" spans="3:8" ht="12.75">
      <c r="C9" s="10" t="s">
        <v>443</v>
      </c>
      <c r="D9" s="11" t="s">
        <v>444</v>
      </c>
      <c r="E9" s="11"/>
      <c r="F9" s="44">
        <f ca="1" t="shared" si="1"/>
        <v>306.147395</v>
      </c>
      <c r="G9" s="45">
        <f ca="1" t="shared" si="0"/>
        <v>33.819252</v>
      </c>
      <c r="H9" s="46">
        <f ca="1" t="shared" si="0"/>
        <v>-263.978028</v>
      </c>
    </row>
    <row r="10" spans="3:8" ht="12.75">
      <c r="C10" s="18"/>
      <c r="D10" s="19" t="s">
        <v>445</v>
      </c>
      <c r="E10" s="19" t="s">
        <v>144</v>
      </c>
      <c r="F10" s="41">
        <f ca="1" t="shared" si="1"/>
        <v>314.98366599999997</v>
      </c>
      <c r="G10" s="42">
        <f ca="1" t="shared" si="0"/>
        <v>141.696058</v>
      </c>
      <c r="H10" s="43">
        <f ca="1" t="shared" si="0"/>
        <v>-233.04406</v>
      </c>
    </row>
    <row r="11" spans="3:8" ht="12.75">
      <c r="C11" s="18"/>
      <c r="D11" s="19" t="s">
        <v>446</v>
      </c>
      <c r="E11" s="19"/>
      <c r="F11" s="41">
        <f ca="1" t="shared" si="1"/>
        <v>317.372432</v>
      </c>
      <c r="G11" s="42">
        <f ca="1" t="shared" si="0"/>
        <v>170.859094</v>
      </c>
      <c r="H11" s="43">
        <f ca="1" t="shared" si="0"/>
        <v>-224.68148</v>
      </c>
    </row>
    <row r="12" spans="3:8" s="19" customFormat="1" ht="13.5" thickBot="1">
      <c r="C12" s="14"/>
      <c r="D12" s="15" t="s">
        <v>447</v>
      </c>
      <c r="E12" s="15"/>
      <c r="F12" s="47">
        <f ca="1" t="shared" si="1"/>
        <v>373.50445</v>
      </c>
      <c r="G12" s="48">
        <f ca="1" t="shared" si="0"/>
        <v>170.859883</v>
      </c>
      <c r="H12" s="49">
        <f ca="1" t="shared" si="0"/>
        <v>-234.57904</v>
      </c>
    </row>
    <row r="13" spans="3:8" s="19" customFormat="1" ht="12.75">
      <c r="C13" s="10" t="s">
        <v>449</v>
      </c>
      <c r="D13" s="11" t="s">
        <v>448</v>
      </c>
      <c r="E13" s="11"/>
      <c r="F13" s="44">
        <f ca="1" t="shared" si="1"/>
        <v>223.12771</v>
      </c>
      <c r="G13" s="45">
        <f ca="1" t="shared" si="1"/>
        <v>170.857126</v>
      </c>
      <c r="H13" s="46">
        <f ca="1" t="shared" si="1"/>
        <v>-321.398179</v>
      </c>
    </row>
    <row r="14" spans="3:8" s="19" customFormat="1" ht="12.75">
      <c r="C14" s="18"/>
      <c r="D14" s="19" t="s">
        <v>450</v>
      </c>
      <c r="F14" s="41">
        <f ca="1" t="shared" si="1"/>
        <v>373.123603</v>
      </c>
      <c r="G14" s="42">
        <f ca="1" t="shared" si="1"/>
        <v>170.854376</v>
      </c>
      <c r="H14" s="43">
        <f ca="1" t="shared" si="1"/>
        <v>-407.997437</v>
      </c>
    </row>
    <row r="15" spans="3:8" s="19" customFormat="1" ht="12.75">
      <c r="C15" s="18"/>
      <c r="D15" s="19" t="s">
        <v>451</v>
      </c>
      <c r="F15" s="41">
        <f ca="1" t="shared" si="1"/>
        <v>248.123882</v>
      </c>
      <c r="G15" s="42">
        <f ca="1" t="shared" si="1"/>
        <v>170.854534</v>
      </c>
      <c r="H15" s="43">
        <f ca="1" t="shared" si="1"/>
        <v>-407.997961</v>
      </c>
    </row>
    <row r="16" spans="3:8" s="19" customFormat="1" ht="12.75">
      <c r="C16" s="18"/>
      <c r="D16" s="19" t="s">
        <v>452</v>
      </c>
      <c r="F16" s="41">
        <f ca="1" t="shared" si="1"/>
        <v>248.126616</v>
      </c>
      <c r="G16" s="42">
        <f ca="1" t="shared" si="1"/>
        <v>170.858759</v>
      </c>
      <c r="H16" s="43">
        <f ca="1" t="shared" si="1"/>
        <v>-457.998896</v>
      </c>
    </row>
    <row r="17" spans="3:8" s="19" customFormat="1" ht="12.75">
      <c r="C17" s="18"/>
      <c r="D17" s="19" t="s">
        <v>453</v>
      </c>
      <c r="F17" s="41">
        <f ca="1" t="shared" si="1"/>
        <v>248.123672</v>
      </c>
      <c r="G17" s="42">
        <f ca="1" t="shared" si="1"/>
        <v>170.854597</v>
      </c>
      <c r="H17" s="43">
        <f ca="1" t="shared" si="1"/>
        <v>-457.995952</v>
      </c>
    </row>
    <row r="18" spans="3:8" s="19" customFormat="1" ht="12.75">
      <c r="C18" s="18"/>
      <c r="D18" s="19" t="s">
        <v>455</v>
      </c>
      <c r="F18" s="41">
        <f ca="1" t="shared" si="1"/>
        <v>373.123266</v>
      </c>
      <c r="G18" s="42">
        <f ca="1" t="shared" si="1"/>
        <v>170.858602</v>
      </c>
      <c r="H18" s="43">
        <f ca="1" t="shared" si="1"/>
        <v>-457.998372</v>
      </c>
    </row>
    <row r="19" spans="3:8" s="19" customFormat="1" ht="12.75">
      <c r="C19" s="18"/>
      <c r="D19" s="19" t="s">
        <v>454</v>
      </c>
      <c r="F19" s="41">
        <f ca="1" t="shared" si="1"/>
        <v>223.12771</v>
      </c>
      <c r="G19" s="42">
        <f ca="1" t="shared" si="1"/>
        <v>170.855908</v>
      </c>
      <c r="H19" s="43">
        <f ca="1" t="shared" si="1"/>
        <v>-544.597766</v>
      </c>
    </row>
    <row r="20" spans="1:8" s="19" customFormat="1" ht="12.75">
      <c r="A20" s="31"/>
      <c r="C20" s="18"/>
      <c r="D20" s="19" t="s">
        <v>456</v>
      </c>
      <c r="F20" s="41">
        <f ca="1" t="shared" si="1"/>
        <v>354.74645499999997</v>
      </c>
      <c r="G20" s="42">
        <f ca="1" t="shared" si="1"/>
        <v>170.853544</v>
      </c>
      <c r="H20" s="43">
        <f ca="1" t="shared" si="1"/>
        <v>-620.587374</v>
      </c>
    </row>
    <row r="21" spans="3:8" s="19" customFormat="1" ht="12.75">
      <c r="C21" s="18"/>
      <c r="D21" s="19" t="s">
        <v>457</v>
      </c>
      <c r="F21" s="41">
        <f ca="1" t="shared" si="1"/>
        <v>263.583891</v>
      </c>
      <c r="G21" s="42">
        <f ca="1" t="shared" si="1"/>
        <v>170.855319</v>
      </c>
      <c r="H21" s="43">
        <f ca="1" t="shared" si="1"/>
        <v>-636.662659</v>
      </c>
    </row>
    <row r="22" spans="3:8" s="19" customFormat="1" ht="13.5" thickBot="1">
      <c r="C22" s="14"/>
      <c r="D22" s="15" t="s">
        <v>458</v>
      </c>
      <c r="E22" s="15" t="s">
        <v>145</v>
      </c>
      <c r="F22" s="47">
        <f ca="1" t="shared" si="1"/>
        <v>263.582508</v>
      </c>
      <c r="G22" s="48">
        <f ca="1" t="shared" si="1"/>
        <v>250.856678</v>
      </c>
      <c r="H22" s="49">
        <f ca="1" t="shared" si="1"/>
        <v>-636.663651</v>
      </c>
    </row>
    <row r="23" spans="1:8" s="19" customFormat="1" ht="13.5" thickBot="1">
      <c r="A23" s="30"/>
      <c r="B23" s="30"/>
      <c r="D23" s="19" t="s">
        <v>447</v>
      </c>
      <c r="E23" s="19" t="s">
        <v>110</v>
      </c>
      <c r="F23" s="41">
        <f ca="1" t="shared" si="1"/>
      </c>
      <c r="G23" s="42">
        <f ca="1" t="shared" si="1"/>
      </c>
      <c r="H23" s="43">
        <f ca="1" t="shared" si="1"/>
      </c>
    </row>
    <row r="24" spans="1:8" s="19" customFormat="1" ht="12.75">
      <c r="A24" s="30"/>
      <c r="B24" s="30"/>
      <c r="C24" s="10" t="s">
        <v>459</v>
      </c>
      <c r="D24" s="11" t="s">
        <v>448</v>
      </c>
      <c r="E24" s="11" t="s">
        <v>144</v>
      </c>
      <c r="F24" s="44">
        <f ca="1" t="shared" si="1"/>
        <v>223.12771</v>
      </c>
      <c r="G24" s="45">
        <f ca="1" t="shared" si="1"/>
        <v>170.857126</v>
      </c>
      <c r="H24" s="46">
        <f ca="1" t="shared" si="1"/>
        <v>-321.398179</v>
      </c>
    </row>
    <row r="25" spans="1:8" s="19" customFormat="1" ht="12.75">
      <c r="A25" s="30"/>
      <c r="B25" s="30"/>
      <c r="C25" s="18"/>
      <c r="D25" s="19" t="s">
        <v>460</v>
      </c>
      <c r="F25" s="41">
        <f ca="1" t="shared" si="1"/>
        <v>73.13181599999999</v>
      </c>
      <c r="G25" s="42">
        <f ca="1" t="shared" si="1"/>
        <v>170.854376</v>
      </c>
      <c r="H25" s="43">
        <f ca="1" t="shared" si="1"/>
        <v>-407.997437</v>
      </c>
    </row>
    <row r="26" spans="1:8" s="19" customFormat="1" ht="12.75">
      <c r="A26" s="30"/>
      <c r="B26" s="30"/>
      <c r="C26" s="18"/>
      <c r="D26" s="19" t="s">
        <v>461</v>
      </c>
      <c r="F26" s="41">
        <f aca="true" ca="1" t="shared" si="2" ref="F26:H33">IF(Flag="Ignore","",INDIRECT("RayImpacts!"&amp;F$1))</f>
        <v>198.131538</v>
      </c>
      <c r="G26" s="42">
        <f ca="1" t="shared" si="2"/>
        <v>170.854534</v>
      </c>
      <c r="H26" s="43">
        <f ca="1" t="shared" si="2"/>
        <v>-407.997961</v>
      </c>
    </row>
    <row r="27" spans="1:8" s="19" customFormat="1" ht="12.75">
      <c r="A27" s="30"/>
      <c r="B27" s="30"/>
      <c r="C27" s="18"/>
      <c r="D27" s="19" t="s">
        <v>462</v>
      </c>
      <c r="F27" s="41">
        <f ca="1" t="shared" si="2"/>
        <v>198.128804</v>
      </c>
      <c r="G27" s="42">
        <f ca="1" t="shared" si="2"/>
        <v>170.858759</v>
      </c>
      <c r="H27" s="43">
        <f ca="1" t="shared" si="2"/>
        <v>-457.998896</v>
      </c>
    </row>
    <row r="28" spans="1:8" s="19" customFormat="1" ht="12.75">
      <c r="A28" s="30"/>
      <c r="B28" s="30"/>
      <c r="C28" s="18"/>
      <c r="D28" s="19" t="s">
        <v>463</v>
      </c>
      <c r="F28" s="41">
        <f ca="1" t="shared" si="2"/>
        <v>198.131747</v>
      </c>
      <c r="G28" s="42">
        <f ca="1" t="shared" si="2"/>
        <v>170.854597</v>
      </c>
      <c r="H28" s="43">
        <f ca="1" t="shared" si="2"/>
        <v>-457.995952</v>
      </c>
    </row>
    <row r="29" spans="1:8" s="19" customFormat="1" ht="12.75">
      <c r="A29" s="30"/>
      <c r="B29" s="30"/>
      <c r="C29" s="18"/>
      <c r="D29" s="19" t="s">
        <v>464</v>
      </c>
      <c r="F29" s="41">
        <f ca="1" t="shared" si="2"/>
        <v>73.13215299999999</v>
      </c>
      <c r="G29" s="42">
        <f ca="1" t="shared" si="2"/>
        <v>170.858602</v>
      </c>
      <c r="H29" s="43">
        <f ca="1" t="shared" si="2"/>
        <v>-457.998372</v>
      </c>
    </row>
    <row r="30" spans="1:8" s="19" customFormat="1" ht="12.75">
      <c r="A30" s="30"/>
      <c r="B30" s="30"/>
      <c r="C30" s="18"/>
      <c r="D30" s="19" t="s">
        <v>454</v>
      </c>
      <c r="F30" s="41">
        <f ca="1" t="shared" si="2"/>
        <v>223.12771</v>
      </c>
      <c r="G30" s="42">
        <f ca="1" t="shared" si="2"/>
        <v>170.855908</v>
      </c>
      <c r="H30" s="43">
        <f ca="1" t="shared" si="2"/>
        <v>-544.597766</v>
      </c>
    </row>
    <row r="31" spans="1:8" s="19" customFormat="1" ht="12.75">
      <c r="A31" s="30"/>
      <c r="B31" s="30"/>
      <c r="C31" s="18"/>
      <c r="D31" s="19" t="s">
        <v>465</v>
      </c>
      <c r="F31" s="41">
        <f ca="1" t="shared" si="2"/>
        <v>91.508965</v>
      </c>
      <c r="G31" s="42">
        <f ca="1" t="shared" si="2"/>
        <v>170.853544</v>
      </c>
      <c r="H31" s="43">
        <f ca="1" t="shared" si="2"/>
        <v>-620.587374</v>
      </c>
    </row>
    <row r="32" spans="1:8" s="19" customFormat="1" ht="12.75">
      <c r="A32" s="30"/>
      <c r="B32" s="30"/>
      <c r="C32" s="18"/>
      <c r="D32" s="19" t="s">
        <v>466</v>
      </c>
      <c r="F32" s="41">
        <f ca="1" t="shared" si="2"/>
        <v>182.671529</v>
      </c>
      <c r="G32" s="42">
        <f ca="1" t="shared" si="2"/>
        <v>170.855319</v>
      </c>
      <c r="H32" s="43">
        <f ca="1" t="shared" si="2"/>
        <v>-636.662659</v>
      </c>
    </row>
    <row r="33" spans="1:8" s="19" customFormat="1" ht="13.5" thickBot="1">
      <c r="A33" s="30"/>
      <c r="B33" s="30"/>
      <c r="C33" s="14"/>
      <c r="D33" s="15" t="s">
        <v>467</v>
      </c>
      <c r="E33" s="15" t="s">
        <v>145</v>
      </c>
      <c r="F33" s="47">
        <f ca="1" t="shared" si="2"/>
        <v>182.672912</v>
      </c>
      <c r="G33" s="48">
        <f ca="1" t="shared" si="2"/>
        <v>250.856678</v>
      </c>
      <c r="H33" s="49">
        <f ca="1" t="shared" si="2"/>
        <v>-636.663651</v>
      </c>
    </row>
    <row r="34" spans="1:8" ht="12.75">
      <c r="A34" s="23"/>
      <c r="B34" s="23"/>
      <c r="C34" s="19"/>
      <c r="D34" s="19"/>
      <c r="E34" s="19"/>
      <c r="F34" s="42"/>
      <c r="G34" s="42"/>
      <c r="H34" s="42"/>
    </row>
    <row r="35" spans="1:8" ht="12.75">
      <c r="A35" s="23"/>
      <c r="B35" s="23"/>
      <c r="C35" s="19"/>
      <c r="D35" s="19"/>
      <c r="E35" s="19"/>
      <c r="F35" s="42"/>
      <c r="G35" s="42"/>
      <c r="H35" s="42"/>
    </row>
    <row r="36" spans="1:8" ht="12.75">
      <c r="A36" s="23"/>
      <c r="B36" s="23"/>
      <c r="C36" s="24" t="s">
        <v>122</v>
      </c>
      <c r="F36" s="42"/>
      <c r="G36" s="42"/>
      <c r="H36" s="42"/>
    </row>
    <row r="37" spans="1:8" ht="12.75">
      <c r="A37" s="23"/>
      <c r="B37" s="23"/>
      <c r="C37" s="1" t="s">
        <v>17</v>
      </c>
      <c r="D37" s="1" t="str">
        <f>"-Zsyno"</f>
        <v>-Zsyno</v>
      </c>
      <c r="E37" s="1" t="s">
        <v>112</v>
      </c>
      <c r="F37" s="42"/>
      <c r="G37" s="42"/>
      <c r="H37" s="42"/>
    </row>
    <row r="38" spans="1:8" ht="12.75">
      <c r="A38" s="23"/>
      <c r="B38" s="23"/>
      <c r="C38" s="1" t="s">
        <v>80</v>
      </c>
      <c r="D38" s="1" t="s">
        <v>118</v>
      </c>
      <c r="E38" s="1" t="s">
        <v>113</v>
      </c>
      <c r="F38" s="42"/>
      <c r="G38" s="42"/>
      <c r="H38" s="42"/>
    </row>
    <row r="39" spans="1:8" ht="12.75">
      <c r="A39" s="23"/>
      <c r="B39" s="23"/>
      <c r="C39" s="1" t="s">
        <v>81</v>
      </c>
      <c r="D39" s="1" t="s">
        <v>119</v>
      </c>
      <c r="E39" s="1" t="s">
        <v>114</v>
      </c>
      <c r="F39" s="42"/>
      <c r="G39" s="42"/>
      <c r="H39" s="42"/>
    </row>
    <row r="40" spans="1:8" ht="12.75">
      <c r="A40" s="23"/>
      <c r="B40" s="23"/>
      <c r="C40" s="19"/>
      <c r="D40" s="19"/>
      <c r="E40" s="19"/>
      <c r="F40" s="42"/>
      <c r="G40" s="42"/>
      <c r="H40" s="42"/>
    </row>
    <row r="41" spans="1:8" ht="12.75">
      <c r="A41" s="23"/>
      <c r="B41" s="23"/>
      <c r="C41" s="19"/>
      <c r="D41" s="19"/>
      <c r="E41" s="19"/>
      <c r="F41" s="42"/>
      <c r="G41" s="42"/>
      <c r="H41" s="42"/>
    </row>
    <row r="42" spans="1:8" ht="12.75">
      <c r="A42" s="23"/>
      <c r="B42" s="23"/>
      <c r="C42" s="19"/>
      <c r="D42" s="19"/>
      <c r="E42" s="19"/>
      <c r="F42" s="42"/>
      <c r="G42" s="42"/>
      <c r="H42" s="42"/>
    </row>
    <row r="43" spans="1:8" ht="12.75">
      <c r="A43" s="23"/>
      <c r="B43" s="23"/>
      <c r="C43" s="19"/>
      <c r="D43" s="19"/>
      <c r="E43" s="19"/>
      <c r="F43" s="42"/>
      <c r="G43" s="42"/>
      <c r="H43" s="42"/>
    </row>
    <row r="44" spans="1:8" ht="12.75">
      <c r="A44" s="23"/>
      <c r="B44" s="23"/>
      <c r="C44" s="19"/>
      <c r="D44" s="19"/>
      <c r="E44" s="19"/>
      <c r="F44" s="42"/>
      <c r="G44" s="42"/>
      <c r="H44" s="42"/>
    </row>
    <row r="45" spans="1:8" ht="12.75">
      <c r="A45" s="23"/>
      <c r="B45" s="23"/>
      <c r="C45" s="19"/>
      <c r="D45" s="19"/>
      <c r="E45" s="19"/>
      <c r="F45" s="42"/>
      <c r="G45" s="42"/>
      <c r="H45" s="42"/>
    </row>
    <row r="46" spans="1:8" ht="12.75">
      <c r="A46" s="23"/>
      <c r="B46" s="23"/>
      <c r="C46" s="19"/>
      <c r="D46" s="19"/>
      <c r="E46" s="19"/>
      <c r="F46" s="42"/>
      <c r="G46" s="42"/>
      <c r="H46" s="42"/>
    </row>
    <row r="47" spans="1:8" ht="12.75">
      <c r="A47" s="23"/>
      <c r="B47" s="23"/>
      <c r="C47" s="19"/>
      <c r="D47" s="19"/>
      <c r="E47" s="19"/>
      <c r="F47" s="42"/>
      <c r="G47" s="42"/>
      <c r="H47" s="42"/>
    </row>
    <row r="48" spans="1:8" ht="12.75">
      <c r="A48" s="23"/>
      <c r="B48" s="23"/>
      <c r="C48" s="19"/>
      <c r="D48" s="19"/>
      <c r="E48" s="19"/>
      <c r="F48" s="42"/>
      <c r="G48" s="42"/>
      <c r="H48" s="42"/>
    </row>
  </sheetData>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Header>&amp;L&amp;F, &amp;A&amp;R&amp;T, &amp;D</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D48"/>
  <sheetViews>
    <sheetView tabSelected="1" zoomScale="80" zoomScaleNormal="80" workbookViewId="0" topLeftCell="D1">
      <selection activeCell="S35" sqref="S35"/>
    </sheetView>
  </sheetViews>
  <sheetFormatPr defaultColWidth="12" defaultRowHeight="12.75"/>
  <cols>
    <col min="1" max="2" width="12" style="1" customWidth="1"/>
    <col min="3" max="3" width="20.16015625" style="1" customWidth="1"/>
    <col min="4" max="5" width="12" style="1" customWidth="1"/>
    <col min="6" max="6" width="12" style="8" customWidth="1"/>
    <col min="7" max="7" width="12" style="1" customWidth="1"/>
    <col min="8" max="22" width="14" style="106" customWidth="1"/>
    <col min="23" max="23" width="11.33203125" style="20" customWidth="1"/>
    <col min="24" max="24" width="12.66015625" style="20" bestFit="1" customWidth="1"/>
    <col min="25" max="30" width="9.33203125" style="20" customWidth="1"/>
    <col min="31" max="16384" width="12" style="1" customWidth="1"/>
  </cols>
  <sheetData>
    <row r="1" spans="3:30" s="5" customFormat="1" ht="12.75">
      <c r="C1" s="5" t="s">
        <v>111</v>
      </c>
      <c r="D1" s="5" t="s">
        <v>2</v>
      </c>
      <c r="E1" s="5" t="s">
        <v>469</v>
      </c>
      <c r="F1" s="6" t="s">
        <v>499</v>
      </c>
      <c r="G1" s="5" t="s">
        <v>143</v>
      </c>
      <c r="H1" s="101" t="s">
        <v>18</v>
      </c>
      <c r="I1" s="102" t="s">
        <v>19</v>
      </c>
      <c r="J1" s="103" t="s">
        <v>20</v>
      </c>
      <c r="K1" s="104" t="s">
        <v>14</v>
      </c>
      <c r="L1" s="104" t="s">
        <v>15</v>
      </c>
      <c r="M1" s="104" t="s">
        <v>16</v>
      </c>
      <c r="N1" s="101" t="s">
        <v>11</v>
      </c>
      <c r="O1" s="102" t="s">
        <v>12</v>
      </c>
      <c r="P1" s="103" t="s">
        <v>13</v>
      </c>
      <c r="Q1" s="104" t="s">
        <v>21</v>
      </c>
      <c r="R1" s="104" t="s">
        <v>22</v>
      </c>
      <c r="S1" s="104" t="s">
        <v>23</v>
      </c>
      <c r="T1" s="101" t="s">
        <v>24</v>
      </c>
      <c r="U1" s="102" t="s">
        <v>25</v>
      </c>
      <c r="V1" s="103" t="s">
        <v>26</v>
      </c>
      <c r="W1" s="28" t="s">
        <v>370</v>
      </c>
      <c r="X1" s="28"/>
      <c r="Y1" s="28"/>
      <c r="Z1" s="28"/>
      <c r="AA1" s="28"/>
      <c r="AB1" s="28"/>
      <c r="AC1" s="28"/>
      <c r="AD1" s="28"/>
    </row>
    <row r="2" spans="4:23" ht="13.5" thickBot="1">
      <c r="D2" s="1" t="s">
        <v>91</v>
      </c>
      <c r="E2" s="1" t="s">
        <v>470</v>
      </c>
      <c r="G2" s="1" t="s">
        <v>110</v>
      </c>
      <c r="H2" s="105">
        <f ca="1">IF(OR(Flag="Ignore",Flag="Det",Flag="Hole"),"",INDIRECT(Flag&amp;"Calc!x"&amp;Flag))</f>
      </c>
      <c r="I2" s="106">
        <f ca="1">IF(OR(Flag="Ignore",Flag="Det",Flag="Hole"),"",INDIRECT(Flag&amp;"Calc!y"&amp;Flag))</f>
      </c>
      <c r="J2" s="107">
        <f ca="1">IF(OR(Flag="Ignore",Flag="Det",Flag="Hole"),"",INDIRECT(Flag&amp;"Calc!z"&amp;Flag))</f>
      </c>
      <c r="K2" s="106">
        <f ca="1">IF(OR(Flag="Ignore",Flag="Det",Flag="Hole"),"",INDIRECT(Flag&amp;"Calc!"&amp;K$1)*VertexCalc!NormDir)</f>
      </c>
      <c r="L2" s="106">
        <f ca="1">IF(OR(Flag="Ignore",Flag="Det",Flag="Hole"),"",INDIRECT(Flag&amp;"Calc!"&amp;L$1)*VertexCalc!NormDir)</f>
      </c>
      <c r="M2" s="106">
        <f ca="1">IF(OR(Flag="Ignore",Flag="Det",Flag="Hole"),"",INDIRECT(Flag&amp;"Calc!"&amp;M$1)*VertexCalc!NormDir)</f>
      </c>
      <c r="N2" s="105">
        <f aca="true" t="shared" si="0" ref="N2:N33">IF(OR(Flag="Ignore",Flag="Det",Flag="Hole"),"",Xmirr-SpigLength*Xnorm)</f>
      </c>
      <c r="O2" s="106">
        <f aca="true" t="shared" si="1" ref="O2:O33">IF(OR(Flag="Ignore",Flag="Det",Flag="Hole"),"",Ymirr-SpigLength*Ynorm)</f>
      </c>
      <c r="P2" s="107">
        <f aca="true" t="shared" si="2" ref="P2:P33">IF(OR(Flag="Ignore",Flag="Det",Flag="Hole"),"",Zmirr-SpigLength*Znorm)</f>
      </c>
      <c r="Q2" s="106">
        <f ca="1">IF(OR(Flag="Ignore",Flag="Det",Flag="Hole"),"",INDIRECT(Flag&amp;"Calc!"&amp;Q$1))</f>
      </c>
      <c r="R2" s="106">
        <f aca="true" ca="1" t="shared" si="3" ref="R2:S17">IF(OR(Flag="Ignore",Flag="Det",Flag="Hole"),"",INDIRECT(Flag&amp;"Calc!"&amp;R$1))</f>
      </c>
      <c r="S2" s="106">
        <f ca="1" t="shared" si="3"/>
      </c>
      <c r="T2" s="105">
        <f aca="true" t="shared" si="4" ref="T2:T33">IF(OR(Flag="Ignore",Flag="Det",Flag="Hole"),"",Xmirr+DowlDir*DowlSep*Xsag)</f>
      </c>
      <c r="U2" s="106">
        <f aca="true" t="shared" si="5" ref="U2:U33">IF(OR(Flag="Ignore",Flag="Det",Flag="Hole"),"",Ymirr+DowlDir*DowlSep*Ysag)</f>
      </c>
      <c r="V2" s="107">
        <f aca="true" t="shared" si="6" ref="V2:V33">IF(OR(Flag="Ignore",Flag="Det",Flag="Hole"),"",Zmirr+DowlDir*DowlSep*Zsag)</f>
      </c>
      <c r="W2" s="20">
        <f>IF(OR(Flag="Ignore",Flag="Hole",Flag="Det"),"",ACOS(Xsag*Xnorm+Ysag*Ynorm+Zsag*Znorm)*180/PI())</f>
      </c>
    </row>
    <row r="3" spans="3:23" ht="12.75">
      <c r="C3" s="10" t="s">
        <v>108</v>
      </c>
      <c r="D3" s="11" t="s">
        <v>92</v>
      </c>
      <c r="E3" s="11" t="s">
        <v>470</v>
      </c>
      <c r="F3" s="12"/>
      <c r="G3" s="11" t="s">
        <v>110</v>
      </c>
      <c r="H3" s="108">
        <f aca="true" ca="1" t="shared" si="7" ref="H3:H33">IF(OR(Flag="Ignore",Flag="Det",Flag="Hole"),"",INDIRECT(Flag&amp;"Calc!x"&amp;Flag))</f>
      </c>
      <c r="I3" s="109">
        <f aca="true" ca="1" t="shared" si="8" ref="I3:I33">IF(OR(Flag="Ignore",Flag="Det",Flag="Hole"),"",INDIRECT(Flag&amp;"Calc!y"&amp;Flag))</f>
      </c>
      <c r="J3" s="110">
        <f aca="true" ca="1" t="shared" si="9" ref="J3:J33">IF(OR(Flag="Ignore",Flag="Det",Flag="Hole"),"",INDIRECT(Flag&amp;"Calc!z"&amp;Flag))</f>
      </c>
      <c r="K3" s="109">
        <f ca="1">IF(OR(Flag="Ignore",Flag="Det",Flag="Hole"),"",INDIRECT(Flag&amp;"Calc!"&amp;K$1)*VertexCalc!NormDir)</f>
      </c>
      <c r="L3" s="109">
        <f ca="1">IF(OR(Flag="Ignore",Flag="Det",Flag="Hole"),"",INDIRECT(Flag&amp;"Calc!"&amp;L$1)*VertexCalc!NormDir)</f>
      </c>
      <c r="M3" s="109">
        <f ca="1">IF(OR(Flag="Ignore",Flag="Det",Flag="Hole"),"",INDIRECT(Flag&amp;"Calc!"&amp;M$1)*VertexCalc!NormDir)</f>
      </c>
      <c r="N3" s="108">
        <f t="shared" si="0"/>
      </c>
      <c r="O3" s="109">
        <f t="shared" si="1"/>
      </c>
      <c r="P3" s="110">
        <f t="shared" si="2"/>
      </c>
      <c r="Q3" s="109">
        <f aca="true" ca="1" t="shared" si="10" ref="Q3:S23">IF(OR(Flag="Ignore",Flag="Det",Flag="Hole"),"",INDIRECT(Flag&amp;"Calc!"&amp;Q$1))</f>
      </c>
      <c r="R3" s="109">
        <f ca="1" t="shared" si="3"/>
      </c>
      <c r="S3" s="109">
        <f ca="1" t="shared" si="3"/>
      </c>
      <c r="T3" s="108">
        <f t="shared" si="4"/>
      </c>
      <c r="U3" s="109">
        <f t="shared" si="5"/>
      </c>
      <c r="V3" s="110">
        <f t="shared" si="6"/>
      </c>
      <c r="W3" s="20">
        <f aca="true" t="shared" si="11" ref="W3:W34">IF(OR(Flag="Ignore",Flag="Hole",Flag="Det"),"",ACOS(Xsag*Xnorm+Ysag*Ynorm+Zsag*Znorm)*180/PI())</f>
      </c>
    </row>
    <row r="4" spans="3:23" ht="13.5" thickBot="1">
      <c r="C4" s="14"/>
      <c r="D4" s="15" t="s">
        <v>93</v>
      </c>
      <c r="E4" s="15" t="s">
        <v>470</v>
      </c>
      <c r="F4" s="16"/>
      <c r="G4" s="15" t="s">
        <v>110</v>
      </c>
      <c r="H4" s="111">
        <f ca="1" t="shared" si="7"/>
      </c>
      <c r="I4" s="112">
        <f ca="1" t="shared" si="8"/>
      </c>
      <c r="J4" s="113">
        <f ca="1" t="shared" si="9"/>
      </c>
      <c r="K4" s="112">
        <f ca="1">IF(OR(Flag="Ignore",Flag="Det",Flag="Hole"),"",INDIRECT(Flag&amp;"Calc!"&amp;K$1)*VertexCalc!NormDir)</f>
      </c>
      <c r="L4" s="112">
        <f ca="1">IF(OR(Flag="Ignore",Flag="Det",Flag="Hole"),"",INDIRECT(Flag&amp;"Calc!"&amp;L$1)*VertexCalc!NormDir)</f>
      </c>
      <c r="M4" s="112">
        <f ca="1">IF(OR(Flag="Ignore",Flag="Det",Flag="Hole"),"",INDIRECT(Flag&amp;"Calc!"&amp;M$1)*VertexCalc!NormDir)</f>
      </c>
      <c r="N4" s="111">
        <f t="shared" si="0"/>
      </c>
      <c r="O4" s="112">
        <f t="shared" si="1"/>
      </c>
      <c r="P4" s="113">
        <f t="shared" si="2"/>
      </c>
      <c r="Q4" s="112">
        <f ca="1" t="shared" si="10"/>
      </c>
      <c r="R4" s="112">
        <f ca="1" t="shared" si="3"/>
      </c>
      <c r="S4" s="112">
        <f ca="1" t="shared" si="3"/>
      </c>
      <c r="T4" s="111">
        <f t="shared" si="4"/>
      </c>
      <c r="U4" s="112">
        <f t="shared" si="5"/>
      </c>
      <c r="V4" s="113">
        <f t="shared" si="6"/>
      </c>
      <c r="W4" s="20">
        <f t="shared" si="11"/>
      </c>
    </row>
    <row r="5" spans="1:23" ht="12.75">
      <c r="A5" s="19"/>
      <c r="B5" s="19"/>
      <c r="C5" s="18" t="s">
        <v>109</v>
      </c>
      <c r="D5" s="19" t="s">
        <v>94</v>
      </c>
      <c r="E5" s="19" t="s">
        <v>470</v>
      </c>
      <c r="F5" s="20"/>
      <c r="G5" s="19" t="s">
        <v>110</v>
      </c>
      <c r="H5" s="105">
        <f ca="1" t="shared" si="7"/>
      </c>
      <c r="I5" s="106">
        <f ca="1" t="shared" si="8"/>
      </c>
      <c r="J5" s="107">
        <f ca="1" t="shared" si="9"/>
      </c>
      <c r="K5" s="106">
        <f ca="1">IF(OR(Flag="Ignore",Flag="Det",Flag="Hole"),"",INDIRECT(Flag&amp;"Calc!"&amp;K$1)*VertexCalc!NormDir)</f>
      </c>
      <c r="L5" s="106">
        <f ca="1">IF(OR(Flag="Ignore",Flag="Det",Flag="Hole"),"",INDIRECT(Flag&amp;"Calc!"&amp;L$1)*VertexCalc!NormDir)</f>
      </c>
      <c r="M5" s="106">
        <f ca="1">IF(OR(Flag="Ignore",Flag="Det",Flag="Hole"),"",INDIRECT(Flag&amp;"Calc!"&amp;M$1)*VertexCalc!NormDir)</f>
      </c>
      <c r="N5" s="105">
        <f t="shared" si="0"/>
      </c>
      <c r="O5" s="106">
        <f t="shared" si="1"/>
      </c>
      <c r="P5" s="107">
        <f t="shared" si="2"/>
      </c>
      <c r="Q5" s="106">
        <f ca="1" t="shared" si="10"/>
      </c>
      <c r="R5" s="106">
        <f ca="1" t="shared" si="3"/>
      </c>
      <c r="S5" s="106">
        <f ca="1" t="shared" si="3"/>
      </c>
      <c r="T5" s="105">
        <f t="shared" si="4"/>
      </c>
      <c r="U5" s="106">
        <f t="shared" si="5"/>
      </c>
      <c r="V5" s="107">
        <f t="shared" si="6"/>
      </c>
      <c r="W5" s="20">
        <f t="shared" si="11"/>
      </c>
    </row>
    <row r="6" spans="3:23" ht="12.75">
      <c r="C6" s="18"/>
      <c r="D6" s="19" t="s">
        <v>95</v>
      </c>
      <c r="E6" s="19" t="s">
        <v>470</v>
      </c>
      <c r="F6" s="20">
        <v>1</v>
      </c>
      <c r="G6" s="19" t="s">
        <v>110</v>
      </c>
      <c r="H6" s="105">
        <f ca="1" t="shared" si="7"/>
      </c>
      <c r="I6" s="106">
        <f ca="1" t="shared" si="8"/>
      </c>
      <c r="J6" s="107">
        <f ca="1" t="shared" si="9"/>
      </c>
      <c r="K6" s="106">
        <f ca="1">IF(OR(Flag="Ignore",Flag="Det",Flag="Hole"),"",INDIRECT(Flag&amp;"Calc!"&amp;K$1)*VertexCalc!NormDir)</f>
      </c>
      <c r="L6" s="106">
        <f ca="1">IF(OR(Flag="Ignore",Flag="Det",Flag="Hole"),"",INDIRECT(Flag&amp;"Calc!"&amp;L$1)*VertexCalc!NormDir)</f>
      </c>
      <c r="M6" s="106">
        <f ca="1">IF(OR(Flag="Ignore",Flag="Det",Flag="Hole"),"",INDIRECT(Flag&amp;"Calc!"&amp;M$1)*VertexCalc!NormDir)</f>
      </c>
      <c r="N6" s="105">
        <f t="shared" si="0"/>
      </c>
      <c r="O6" s="106">
        <f t="shared" si="1"/>
      </c>
      <c r="P6" s="107">
        <f t="shared" si="2"/>
      </c>
      <c r="Q6" s="106">
        <f ca="1" t="shared" si="10"/>
      </c>
      <c r="R6" s="106">
        <f ca="1" t="shared" si="3"/>
      </c>
      <c r="S6" s="106">
        <f ca="1" t="shared" si="3"/>
      </c>
      <c r="T6" s="105">
        <f t="shared" si="4"/>
      </c>
      <c r="U6" s="106">
        <f t="shared" si="5"/>
      </c>
      <c r="V6" s="107">
        <f t="shared" si="6"/>
      </c>
      <c r="W6" s="20">
        <f t="shared" si="11"/>
      </c>
    </row>
    <row r="7" spans="1:23" ht="12.75">
      <c r="A7" s="1" t="s">
        <v>356</v>
      </c>
      <c r="B7" s="1">
        <v>1</v>
      </c>
      <c r="C7" s="18"/>
      <c r="D7" s="19" t="s">
        <v>97</v>
      </c>
      <c r="E7" s="19" t="s">
        <v>470</v>
      </c>
      <c r="F7" s="20">
        <v>1</v>
      </c>
      <c r="G7" s="19" t="s">
        <v>110</v>
      </c>
      <c r="H7" s="105">
        <f ca="1" t="shared" si="7"/>
      </c>
      <c r="I7" s="106">
        <f ca="1" t="shared" si="8"/>
      </c>
      <c r="J7" s="107">
        <f ca="1" t="shared" si="9"/>
      </c>
      <c r="K7" s="106">
        <f ca="1">IF(OR(Flag="Ignore",Flag="Det",Flag="Hole"),"",INDIRECT(Flag&amp;"Calc!"&amp;K$1)*VertexCalc!NormDir)</f>
      </c>
      <c r="L7" s="106">
        <f ca="1">IF(OR(Flag="Ignore",Flag="Det",Flag="Hole"),"",INDIRECT(Flag&amp;"Calc!"&amp;L$1)*VertexCalc!NormDir)</f>
      </c>
      <c r="M7" s="106">
        <f ca="1">IF(OR(Flag="Ignore",Flag="Det",Flag="Hole"),"",INDIRECT(Flag&amp;"Calc!"&amp;M$1)*VertexCalc!NormDir)</f>
      </c>
      <c r="N7" s="105">
        <f t="shared" si="0"/>
      </c>
      <c r="O7" s="106">
        <f t="shared" si="1"/>
      </c>
      <c r="P7" s="107">
        <f t="shared" si="2"/>
      </c>
      <c r="Q7" s="106">
        <f ca="1" t="shared" si="10"/>
      </c>
      <c r="R7" s="106">
        <f ca="1" t="shared" si="3"/>
      </c>
      <c r="S7" s="106">
        <f ca="1" t="shared" si="3"/>
      </c>
      <c r="T7" s="105">
        <f t="shared" si="4"/>
      </c>
      <c r="U7" s="106">
        <f t="shared" si="5"/>
      </c>
      <c r="V7" s="107">
        <f t="shared" si="6"/>
      </c>
      <c r="W7" s="20">
        <f t="shared" si="11"/>
      </c>
    </row>
    <row r="8" spans="1:23" ht="13.5" thickBot="1">
      <c r="A8" s="1" t="s">
        <v>357</v>
      </c>
      <c r="B8" s="1">
        <v>1</v>
      </c>
      <c r="C8" s="18"/>
      <c r="D8" s="19" t="s">
        <v>98</v>
      </c>
      <c r="E8" s="19" t="s">
        <v>470</v>
      </c>
      <c r="F8" s="20">
        <v>1</v>
      </c>
      <c r="G8" s="19" t="s">
        <v>110</v>
      </c>
      <c r="H8" s="105">
        <f ca="1" t="shared" si="7"/>
      </c>
      <c r="I8" s="106">
        <f ca="1" t="shared" si="8"/>
      </c>
      <c r="J8" s="107">
        <f ca="1" t="shared" si="9"/>
      </c>
      <c r="K8" s="106">
        <f ca="1">IF(OR(Flag="Ignore",Flag="Det",Flag="Hole"),"",INDIRECT(Flag&amp;"Calc!"&amp;K$1)*VertexCalc!NormDir)</f>
      </c>
      <c r="L8" s="106">
        <f ca="1">IF(OR(Flag="Ignore",Flag="Det",Flag="Hole"),"",INDIRECT(Flag&amp;"Calc!"&amp;L$1)*VertexCalc!NormDir)</f>
      </c>
      <c r="M8" s="106">
        <f ca="1">IF(OR(Flag="Ignore",Flag="Det",Flag="Hole"),"",INDIRECT(Flag&amp;"Calc!"&amp;M$1)*VertexCalc!NormDir)</f>
      </c>
      <c r="N8" s="105">
        <f t="shared" si="0"/>
      </c>
      <c r="O8" s="106">
        <f t="shared" si="1"/>
      </c>
      <c r="P8" s="107">
        <f t="shared" si="2"/>
      </c>
      <c r="Q8" s="106">
        <f ca="1" t="shared" si="10"/>
      </c>
      <c r="R8" s="106">
        <f ca="1" t="shared" si="3"/>
      </c>
      <c r="S8" s="106">
        <f ca="1" t="shared" si="3"/>
      </c>
      <c r="T8" s="105">
        <f t="shared" si="4"/>
      </c>
      <c r="U8" s="106">
        <f t="shared" si="5"/>
      </c>
      <c r="V8" s="107">
        <f t="shared" si="6"/>
      </c>
      <c r="W8" s="20">
        <f t="shared" si="11"/>
      </c>
    </row>
    <row r="9" spans="3:23" ht="12.75">
      <c r="C9" s="10" t="s">
        <v>443</v>
      </c>
      <c r="D9" s="11" t="s">
        <v>444</v>
      </c>
      <c r="E9" s="11" t="s">
        <v>470</v>
      </c>
      <c r="F9" s="12">
        <v>1</v>
      </c>
      <c r="G9" s="11" t="s">
        <v>352</v>
      </c>
      <c r="H9" s="108">
        <f ca="1" t="shared" si="7"/>
        <v>306.150668</v>
      </c>
      <c r="I9" s="109">
        <f ca="1" t="shared" si="8"/>
        <v>33.82</v>
      </c>
      <c r="J9" s="110">
        <f ca="1" t="shared" si="9"/>
        <v>-263.975222</v>
      </c>
      <c r="K9" s="109">
        <f ca="1">IF(OR(Flag="Ignore",Flag="Det",Flag="Hole"),"",INDIRECT(Flag&amp;"Calc!"&amp;K$1)*VertexCalc!NormDir)</f>
        <v>-0.5448036270784826</v>
      </c>
      <c r="L9" s="109">
        <f ca="1">IF(OR(Flag="Ignore",Flag="Det",Flag="Hole"),"",INDIRECT(Flag&amp;"Calc!"&amp;L$1)*VertexCalc!NormDir)</f>
        <v>0.7099523680362496</v>
      </c>
      <c r="M9" s="109">
        <f ca="1">IF(OR(Flag="Ignore",Flag="Det",Flag="Hole"),"",INDIRECT(Flag&amp;"Calc!"&amp;M$1)*VertexCalc!NormDir)</f>
        <v>0.4462696974035244</v>
      </c>
      <c r="N9" s="108">
        <f t="shared" si="0"/>
        <v>306.69547162707846</v>
      </c>
      <c r="O9" s="109">
        <f t="shared" si="1"/>
        <v>33.11004763196375</v>
      </c>
      <c r="P9" s="110">
        <f t="shared" si="2"/>
        <v>-264.4214916974035</v>
      </c>
      <c r="Q9" s="109">
        <f ca="1" t="shared" si="10"/>
        <v>0.3774163324386196</v>
      </c>
      <c r="R9" s="109">
        <f ca="1" t="shared" si="3"/>
        <v>0.6828304098612817</v>
      </c>
      <c r="S9" s="109">
        <f ca="1" t="shared" si="3"/>
        <v>-0.6255394019382434</v>
      </c>
      <c r="T9" s="108">
        <f t="shared" si="4"/>
        <v>306.5280843324386</v>
      </c>
      <c r="U9" s="109">
        <f t="shared" si="5"/>
        <v>34.50283040986128</v>
      </c>
      <c r="V9" s="110">
        <f t="shared" si="6"/>
        <v>-264.6007614019382</v>
      </c>
      <c r="W9" s="20">
        <f t="shared" si="11"/>
        <v>90</v>
      </c>
    </row>
    <row r="10" spans="3:23" ht="12.75">
      <c r="C10" s="18"/>
      <c r="D10" s="19" t="s">
        <v>445</v>
      </c>
      <c r="E10" s="19" t="s">
        <v>470</v>
      </c>
      <c r="F10" s="20"/>
      <c r="G10" s="19" t="s">
        <v>144</v>
      </c>
      <c r="H10" s="105">
        <f ca="1" t="shared" si="7"/>
      </c>
      <c r="I10" s="106">
        <f ca="1" t="shared" si="8"/>
      </c>
      <c r="J10" s="107">
        <f ca="1" t="shared" si="9"/>
      </c>
      <c r="K10" s="106">
        <f ca="1">IF(OR(Flag="Ignore",Flag="Det",Flag="Hole"),"",INDIRECT(Flag&amp;"Calc!"&amp;K$1)*VertexCalc!NormDir)</f>
      </c>
      <c r="L10" s="106">
        <f ca="1">IF(OR(Flag="Ignore",Flag="Det",Flag="Hole"),"",INDIRECT(Flag&amp;"Calc!"&amp;L$1)*VertexCalc!NormDir)</f>
      </c>
      <c r="M10" s="106">
        <f ca="1">IF(OR(Flag="Ignore",Flag="Det",Flag="Hole"),"",INDIRECT(Flag&amp;"Calc!"&amp;M$1)*VertexCalc!NormDir)</f>
      </c>
      <c r="N10" s="105">
        <f t="shared" si="0"/>
      </c>
      <c r="O10" s="106">
        <f t="shared" si="1"/>
      </c>
      <c r="P10" s="107">
        <f t="shared" si="2"/>
      </c>
      <c r="Q10" s="106">
        <f ca="1" t="shared" si="10"/>
      </c>
      <c r="R10" s="106">
        <f ca="1" t="shared" si="3"/>
      </c>
      <c r="S10" s="106">
        <f ca="1" t="shared" si="3"/>
      </c>
      <c r="T10" s="105">
        <f t="shared" si="4"/>
      </c>
      <c r="U10" s="106">
        <f t="shared" si="5"/>
      </c>
      <c r="V10" s="107">
        <f t="shared" si="6"/>
      </c>
      <c r="W10" s="20">
        <f t="shared" si="11"/>
      </c>
    </row>
    <row r="11" spans="3:23" ht="12.75">
      <c r="C11" s="18"/>
      <c r="D11" s="19" t="s">
        <v>446</v>
      </c>
      <c r="E11" s="19" t="s">
        <v>470</v>
      </c>
      <c r="F11" s="20">
        <v>-1</v>
      </c>
      <c r="G11" s="19" t="s">
        <v>352</v>
      </c>
      <c r="H11" s="105">
        <f ca="1" t="shared" si="7"/>
        <v>317.370319</v>
      </c>
      <c r="I11" s="106">
        <f ca="1" t="shared" si="8"/>
        <v>170.856678</v>
      </c>
      <c r="J11" s="107">
        <f ca="1" t="shared" si="9"/>
        <v>-224.680587</v>
      </c>
      <c r="K11" s="106">
        <f ca="1">IF(OR(Flag="Ignore",Flag="Det",Flag="Hole"),"",INDIRECT(Flag&amp;"Calc!"&amp;K$1)*VertexCalc!NormDir)</f>
        <v>0.6505602727316985</v>
      </c>
      <c r="L11" s="106">
        <f ca="1">IF(OR(Flag="Ignore",Flag="Det",Flag="Hole"),"",INDIRECT(Flag&amp;"Calc!"&amp;L$1)*VertexCalc!NormDir)</f>
        <v>-0.6878624431606988</v>
      </c>
      <c r="M11" s="106">
        <f ca="1">IF(OR(Flag="Ignore",Flag="Det",Flag="Hole"),"",INDIRECT(Flag&amp;"Calc!"&amp;M$1)*VertexCalc!NormDir)</f>
        <v>-0.32189531036075103</v>
      </c>
      <c r="N11" s="105">
        <f t="shared" si="0"/>
        <v>316.7197587272683</v>
      </c>
      <c r="O11" s="106">
        <f t="shared" si="1"/>
        <v>171.54454044316068</v>
      </c>
      <c r="P11" s="107">
        <f t="shared" si="2"/>
        <v>-224.35869168963924</v>
      </c>
      <c r="Q11" s="106">
        <f ca="1" t="shared" si="10"/>
        <v>0.3146691628566174</v>
      </c>
      <c r="R11" s="106">
        <f ca="1" t="shared" si="3"/>
        <v>0.6298970733282109</v>
      </c>
      <c r="S11" s="106">
        <f ca="1" t="shared" si="3"/>
        <v>-0.7100795694565997</v>
      </c>
      <c r="T11" s="105">
        <f t="shared" si="4"/>
        <v>317.0556498371434</v>
      </c>
      <c r="U11" s="106">
        <f t="shared" si="5"/>
        <v>170.22678092667178</v>
      </c>
      <c r="V11" s="107">
        <f t="shared" si="6"/>
        <v>-223.9705074305434</v>
      </c>
      <c r="W11" s="20">
        <f t="shared" si="11"/>
        <v>90</v>
      </c>
    </row>
    <row r="12" spans="3:23" ht="13.5" thickBot="1">
      <c r="C12" s="14"/>
      <c r="D12" s="15" t="s">
        <v>447</v>
      </c>
      <c r="E12" s="15" t="s">
        <v>470</v>
      </c>
      <c r="F12" s="16">
        <v>-1</v>
      </c>
      <c r="G12" s="15" t="s">
        <v>352</v>
      </c>
      <c r="H12" s="111">
        <f ca="1" t="shared" si="7"/>
        <v>373.504361</v>
      </c>
      <c r="I12" s="112">
        <f ca="1" t="shared" si="8"/>
        <v>170.856678</v>
      </c>
      <c r="J12" s="113">
        <f ca="1" t="shared" si="9"/>
        <v>-234.578533</v>
      </c>
      <c r="K12" s="112">
        <f ca="1">IF(OR(Flag="Ignore",Flag="Det",Flag="Hole"),"",INDIRECT(Flag&amp;"Calc!"&amp;K$1)*VertexCalc!NormDir)</f>
        <v>-0.984807752887055</v>
      </c>
      <c r="L12" s="112">
        <f ca="1">IF(OR(Flag="Ignore",Flag="Det",Flag="Hole"),"",INDIRECT(Flag&amp;"Calc!"&amp;L$1)*VertexCalc!NormDir)</f>
        <v>0</v>
      </c>
      <c r="M12" s="112">
        <f ca="1">IF(OR(Flag="Ignore",Flag="Det",Flag="Hole"),"",INDIRECT(Flag&amp;"Calc!"&amp;M$1)*VertexCalc!NormDir)</f>
        <v>-0.17364817764486248</v>
      </c>
      <c r="N12" s="111">
        <f t="shared" si="0"/>
        <v>374.48916875288705</v>
      </c>
      <c r="O12" s="112">
        <f t="shared" si="1"/>
        <v>170.856678</v>
      </c>
      <c r="P12" s="113">
        <f t="shared" si="2"/>
        <v>-234.40488482235514</v>
      </c>
      <c r="Q12" s="112">
        <f ca="1" t="shared" si="10"/>
        <v>0.018814150275320164</v>
      </c>
      <c r="R12" s="112">
        <f ca="1" t="shared" si="3"/>
        <v>0.9941132045189992</v>
      </c>
      <c r="S12" s="112">
        <f ca="1" t="shared" si="3"/>
        <v>-0.10670034840797878</v>
      </c>
      <c r="T12" s="111">
        <f t="shared" si="4"/>
        <v>373.4855468497247</v>
      </c>
      <c r="U12" s="112">
        <f t="shared" si="5"/>
        <v>169.86256479548098</v>
      </c>
      <c r="V12" s="113">
        <f t="shared" si="6"/>
        <v>-234.47183265159202</v>
      </c>
      <c r="W12" s="20">
        <f t="shared" si="11"/>
        <v>90</v>
      </c>
    </row>
    <row r="13" spans="3:23" ht="12.75">
      <c r="C13" s="10" t="s">
        <v>449</v>
      </c>
      <c r="D13" s="11" t="s">
        <v>448</v>
      </c>
      <c r="E13" s="11" t="s">
        <v>470</v>
      </c>
      <c r="F13" s="12"/>
      <c r="G13" s="11" t="s">
        <v>110</v>
      </c>
      <c r="H13" s="108">
        <f ca="1" t="shared" si="7"/>
      </c>
      <c r="I13" s="109">
        <f ca="1" t="shared" si="8"/>
      </c>
      <c r="J13" s="110">
        <f ca="1" t="shared" si="9"/>
      </c>
      <c r="K13" s="109">
        <f ca="1">IF(OR(Flag="Ignore",Flag="Det",Flag="Hole"),"",INDIRECT(Flag&amp;"Calc!"&amp;K$1)*VertexCalc!NormDir)</f>
      </c>
      <c r="L13" s="109">
        <f ca="1">IF(OR(Flag="Ignore",Flag="Det",Flag="Hole"),"",INDIRECT(Flag&amp;"Calc!"&amp;L$1)*VertexCalc!NormDir)</f>
      </c>
      <c r="M13" s="109">
        <f ca="1">IF(OR(Flag="Ignore",Flag="Det",Flag="Hole"),"",INDIRECT(Flag&amp;"Calc!"&amp;M$1)*VertexCalc!NormDir)</f>
      </c>
      <c r="N13" s="108">
        <f t="shared" si="0"/>
      </c>
      <c r="O13" s="109">
        <f t="shared" si="1"/>
      </c>
      <c r="P13" s="110">
        <f t="shared" si="2"/>
      </c>
      <c r="Q13" s="109">
        <f ca="1" t="shared" si="10"/>
      </c>
      <c r="R13" s="109">
        <f ca="1" t="shared" si="3"/>
      </c>
      <c r="S13" s="109">
        <f ca="1" t="shared" si="3"/>
      </c>
      <c r="T13" s="108">
        <f t="shared" si="4"/>
      </c>
      <c r="U13" s="109">
        <f t="shared" si="5"/>
      </c>
      <c r="V13" s="110">
        <f t="shared" si="6"/>
      </c>
      <c r="W13" s="20">
        <f t="shared" si="11"/>
      </c>
    </row>
    <row r="14" spans="3:23" ht="12.75">
      <c r="C14" s="18"/>
      <c r="D14" s="19" t="s">
        <v>450</v>
      </c>
      <c r="E14" s="19" t="s">
        <v>470</v>
      </c>
      <c r="F14" s="20">
        <v>-1</v>
      </c>
      <c r="G14" s="19" t="s">
        <v>352</v>
      </c>
      <c r="H14" s="105">
        <f ca="1" t="shared" si="7"/>
        <v>373.12331</v>
      </c>
      <c r="I14" s="106">
        <f ca="1" t="shared" si="8"/>
        <v>170.856678</v>
      </c>
      <c r="J14" s="107">
        <f ca="1" t="shared" si="9"/>
        <v>-407.998533</v>
      </c>
      <c r="K14" s="106">
        <f ca="1">IF(OR(Flag="Ignore",Flag="Det",Flag="Hole"),"",INDIRECT(Flag&amp;"Calc!"&amp;K$1)*VertexCalc!NormDir)</f>
        <v>-0.9659258262418029</v>
      </c>
      <c r="L14" s="106">
        <f ca="1">IF(OR(Flag="Ignore",Flag="Det",Flag="Hole"),"",INDIRECT(Flag&amp;"Calc!"&amp;L$1)*VertexCalc!NormDir)</f>
        <v>0</v>
      </c>
      <c r="M14" s="106">
        <f ca="1">IF(OR(Flag="Ignore",Flag="Det",Flag="Hole"),"",INDIRECT(Flag&amp;"Calc!"&amp;M$1)*VertexCalc!NormDir)</f>
        <v>0.25881904508985604</v>
      </c>
      <c r="N14" s="105">
        <f t="shared" si="0"/>
        <v>374.0892358262418</v>
      </c>
      <c r="O14" s="106">
        <f t="shared" si="1"/>
        <v>170.856678</v>
      </c>
      <c r="P14" s="107">
        <f t="shared" si="2"/>
        <v>-408.2573520450899</v>
      </c>
      <c r="Q14" s="106">
        <f ca="1" t="shared" si="10"/>
        <v>0</v>
      </c>
      <c r="R14" s="106">
        <f ca="1" t="shared" si="3"/>
        <v>1</v>
      </c>
      <c r="S14" s="106">
        <f ca="1" t="shared" si="3"/>
        <v>0</v>
      </c>
      <c r="T14" s="105">
        <f t="shared" si="4"/>
        <v>373.12331</v>
      </c>
      <c r="U14" s="106">
        <f t="shared" si="5"/>
        <v>169.856678</v>
      </c>
      <c r="V14" s="107">
        <f t="shared" si="6"/>
        <v>-407.998533</v>
      </c>
      <c r="W14" s="20">
        <f t="shared" si="11"/>
        <v>90</v>
      </c>
    </row>
    <row r="15" spans="3:23" ht="12.75">
      <c r="C15" s="18"/>
      <c r="D15" s="19" t="s">
        <v>451</v>
      </c>
      <c r="E15" s="19" t="s">
        <v>470</v>
      </c>
      <c r="F15" s="20"/>
      <c r="G15" s="19" t="s">
        <v>110</v>
      </c>
      <c r="H15" s="105">
        <f ca="1" t="shared" si="7"/>
      </c>
      <c r="I15" s="106">
        <f ca="1" t="shared" si="8"/>
      </c>
      <c r="J15" s="107">
        <f ca="1" t="shared" si="9"/>
      </c>
      <c r="K15" s="106">
        <f ca="1">IF(OR(Flag="Ignore",Flag="Det",Flag="Hole"),"",INDIRECT(Flag&amp;"Calc!"&amp;K$1)*VertexCalc!NormDir)</f>
      </c>
      <c r="L15" s="106">
        <f ca="1">IF(OR(Flag="Ignore",Flag="Det",Flag="Hole"),"",INDIRECT(Flag&amp;"Calc!"&amp;L$1)*VertexCalc!NormDir)</f>
      </c>
      <c r="M15" s="106">
        <f ca="1">IF(OR(Flag="Ignore",Flag="Det",Flag="Hole"),"",INDIRECT(Flag&amp;"Calc!"&amp;M$1)*VertexCalc!NormDir)</f>
      </c>
      <c r="N15" s="105">
        <f t="shared" si="0"/>
      </c>
      <c r="O15" s="106">
        <f t="shared" si="1"/>
      </c>
      <c r="P15" s="107">
        <f t="shared" si="2"/>
      </c>
      <c r="Q15" s="106">
        <f ca="1" t="shared" si="10"/>
      </c>
      <c r="R15" s="106">
        <f ca="1" t="shared" si="3"/>
      </c>
      <c r="S15" s="106">
        <f ca="1" t="shared" si="3"/>
      </c>
      <c r="T15" s="105">
        <f t="shared" si="4"/>
      </c>
      <c r="U15" s="106">
        <f t="shared" si="5"/>
      </c>
      <c r="V15" s="107">
        <f t="shared" si="6"/>
      </c>
      <c r="W15" s="20">
        <f t="shared" si="11"/>
      </c>
    </row>
    <row r="16" spans="3:23" ht="12.75">
      <c r="C16" s="18"/>
      <c r="D16" s="19" t="s">
        <v>452</v>
      </c>
      <c r="E16" s="19" t="s">
        <v>470</v>
      </c>
      <c r="F16" s="20"/>
      <c r="G16" s="19" t="s">
        <v>110</v>
      </c>
      <c r="H16" s="105">
        <f ca="1" t="shared" si="7"/>
      </c>
      <c r="I16" s="106">
        <f ca="1" t="shared" si="8"/>
      </c>
      <c r="J16" s="107">
        <f ca="1" t="shared" si="9"/>
      </c>
      <c r="K16" s="106">
        <f ca="1">IF(OR(Flag="Ignore",Flag="Det",Flag="Hole"),"",INDIRECT(Flag&amp;"Calc!"&amp;K$1)*VertexCalc!NormDir)</f>
      </c>
      <c r="L16" s="106">
        <f ca="1">IF(OR(Flag="Ignore",Flag="Det",Flag="Hole"),"",INDIRECT(Flag&amp;"Calc!"&amp;L$1)*VertexCalc!NormDir)</f>
      </c>
      <c r="M16" s="106">
        <f ca="1">IF(OR(Flag="Ignore",Flag="Det",Flag="Hole"),"",INDIRECT(Flag&amp;"Calc!"&amp;M$1)*VertexCalc!NormDir)</f>
      </c>
      <c r="N16" s="105">
        <f t="shared" si="0"/>
      </c>
      <c r="O16" s="106">
        <f t="shared" si="1"/>
      </c>
      <c r="P16" s="107">
        <f t="shared" si="2"/>
      </c>
      <c r="Q16" s="106">
        <f ca="1" t="shared" si="10"/>
      </c>
      <c r="R16" s="106">
        <f ca="1" t="shared" si="3"/>
      </c>
      <c r="S16" s="106">
        <f ca="1" t="shared" si="3"/>
      </c>
      <c r="T16" s="105">
        <f t="shared" si="4"/>
      </c>
      <c r="U16" s="106">
        <f t="shared" si="5"/>
      </c>
      <c r="V16" s="107">
        <f t="shared" si="6"/>
      </c>
      <c r="W16" s="20">
        <f t="shared" si="11"/>
      </c>
    </row>
    <row r="17" spans="3:23" ht="12.75">
      <c r="C17" s="18"/>
      <c r="D17" s="19" t="s">
        <v>453</v>
      </c>
      <c r="E17" s="19" t="s">
        <v>470</v>
      </c>
      <c r="F17" s="20"/>
      <c r="G17" s="19" t="s">
        <v>110</v>
      </c>
      <c r="H17" s="105">
        <f ca="1" t="shared" si="7"/>
      </c>
      <c r="I17" s="106">
        <f ca="1" t="shared" si="8"/>
      </c>
      <c r="J17" s="107">
        <f ca="1" t="shared" si="9"/>
      </c>
      <c r="K17" s="106">
        <f ca="1">IF(OR(Flag="Ignore",Flag="Det",Flag="Hole"),"",INDIRECT(Flag&amp;"Calc!"&amp;K$1)*VertexCalc!NormDir)</f>
      </c>
      <c r="L17" s="106">
        <f ca="1">IF(OR(Flag="Ignore",Flag="Det",Flag="Hole"),"",INDIRECT(Flag&amp;"Calc!"&amp;L$1)*VertexCalc!NormDir)</f>
      </c>
      <c r="M17" s="106">
        <f ca="1">IF(OR(Flag="Ignore",Flag="Det",Flag="Hole"),"",INDIRECT(Flag&amp;"Calc!"&amp;M$1)*VertexCalc!NormDir)</f>
      </c>
      <c r="N17" s="105">
        <f t="shared" si="0"/>
      </c>
      <c r="O17" s="106">
        <f t="shared" si="1"/>
      </c>
      <c r="P17" s="107">
        <f t="shared" si="2"/>
      </c>
      <c r="Q17" s="106">
        <f ca="1" t="shared" si="10"/>
      </c>
      <c r="R17" s="106">
        <f ca="1" t="shared" si="3"/>
      </c>
      <c r="S17" s="106">
        <f ca="1" t="shared" si="3"/>
      </c>
      <c r="T17" s="105">
        <f t="shared" si="4"/>
      </c>
      <c r="U17" s="106">
        <f t="shared" si="5"/>
      </c>
      <c r="V17" s="107">
        <f t="shared" si="6"/>
      </c>
      <c r="W17" s="20">
        <f t="shared" si="11"/>
      </c>
    </row>
    <row r="18" spans="3:23" ht="12.75">
      <c r="C18" s="18"/>
      <c r="D18" s="19" t="s">
        <v>455</v>
      </c>
      <c r="E18" s="19" t="s">
        <v>470</v>
      </c>
      <c r="F18" s="20">
        <v>-1</v>
      </c>
      <c r="G18" s="19" t="s">
        <v>352</v>
      </c>
      <c r="H18" s="105">
        <f ca="1" t="shared" si="7"/>
        <v>373.12331</v>
      </c>
      <c r="I18" s="106">
        <f ca="1" t="shared" si="8"/>
        <v>170.856678</v>
      </c>
      <c r="J18" s="107">
        <f ca="1" t="shared" si="9"/>
        <v>-457.998533</v>
      </c>
      <c r="K18" s="106">
        <f ca="1">IF(OR(Flag="Ignore",Flag="Det",Flag="Hole"),"",INDIRECT(Flag&amp;"Calc!"&amp;K$1)*VertexCalc!NormDir)</f>
        <v>-0.9659258259360795</v>
      </c>
      <c r="L18" s="106">
        <f ca="1">IF(OR(Flag="Ignore",Flag="Det",Flag="Hole"),"",INDIRECT(Flag&amp;"Calc!"&amp;L$1)*VertexCalc!NormDir)</f>
        <v>0</v>
      </c>
      <c r="M18" s="106">
        <f ca="1">IF(OR(Flag="Ignore",Flag="Det",Flag="Hole"),"",INDIRECT(Flag&amp;"Calc!"&amp;M$1)*VertexCalc!NormDir)</f>
        <v>-0.25881904500793795</v>
      </c>
      <c r="N18" s="105">
        <f t="shared" si="0"/>
        <v>374.0892358259361</v>
      </c>
      <c r="O18" s="106">
        <f t="shared" si="1"/>
        <v>170.856678</v>
      </c>
      <c r="P18" s="107">
        <f t="shared" si="2"/>
        <v>-457.73971395499206</v>
      </c>
      <c r="Q18" s="106">
        <f ca="1" t="shared" si="10"/>
        <v>0</v>
      </c>
      <c r="R18" s="106">
        <f ca="1" t="shared" si="10"/>
        <v>1</v>
      </c>
      <c r="S18" s="106">
        <f ca="1" t="shared" si="10"/>
        <v>0</v>
      </c>
      <c r="T18" s="105">
        <f t="shared" si="4"/>
        <v>373.12331</v>
      </c>
      <c r="U18" s="106">
        <f t="shared" si="5"/>
        <v>169.856678</v>
      </c>
      <c r="V18" s="107">
        <f t="shared" si="6"/>
        <v>-457.998533</v>
      </c>
      <c r="W18" s="20">
        <f t="shared" si="11"/>
        <v>90</v>
      </c>
    </row>
    <row r="19" spans="3:23" ht="12.75">
      <c r="C19" s="18"/>
      <c r="D19" s="19" t="s">
        <v>454</v>
      </c>
      <c r="E19" s="19" t="s">
        <v>470</v>
      </c>
      <c r="F19" s="20"/>
      <c r="G19" s="19" t="s">
        <v>110</v>
      </c>
      <c r="H19" s="105">
        <f ca="1" t="shared" si="7"/>
      </c>
      <c r="I19" s="106">
        <f ca="1" t="shared" si="8"/>
      </c>
      <c r="J19" s="107">
        <f ca="1" t="shared" si="9"/>
      </c>
      <c r="K19" s="106">
        <f ca="1">IF(OR(Flag="Ignore",Flag="Det",Flag="Hole"),"",INDIRECT(Flag&amp;"Calc!"&amp;K$1)*VertexCalc!NormDir)</f>
      </c>
      <c r="L19" s="106">
        <f ca="1">IF(OR(Flag="Ignore",Flag="Det",Flag="Hole"),"",INDIRECT(Flag&amp;"Calc!"&amp;L$1)*VertexCalc!NormDir)</f>
      </c>
      <c r="M19" s="106">
        <f ca="1">IF(OR(Flag="Ignore",Flag="Det",Flag="Hole"),"",INDIRECT(Flag&amp;"Calc!"&amp;M$1)*VertexCalc!NormDir)</f>
      </c>
      <c r="N19" s="105">
        <f t="shared" si="0"/>
      </c>
      <c r="O19" s="106">
        <f t="shared" si="1"/>
      </c>
      <c r="P19" s="107">
        <f t="shared" si="2"/>
      </c>
      <c r="Q19" s="106">
        <f ca="1" t="shared" si="10"/>
      </c>
      <c r="R19" s="106">
        <f ca="1" t="shared" si="10"/>
      </c>
      <c r="S19" s="106">
        <f ca="1" t="shared" si="10"/>
      </c>
      <c r="T19" s="105">
        <f t="shared" si="4"/>
      </c>
      <c r="U19" s="106">
        <f t="shared" si="5"/>
      </c>
      <c r="V19" s="107">
        <f t="shared" si="6"/>
      </c>
      <c r="W19" s="20">
        <f t="shared" si="11"/>
      </c>
    </row>
    <row r="20" spans="3:23" ht="12.75">
      <c r="C20" s="18"/>
      <c r="D20" s="19" t="s">
        <v>456</v>
      </c>
      <c r="E20" s="19" t="s">
        <v>470</v>
      </c>
      <c r="F20" s="20">
        <v>-1</v>
      </c>
      <c r="G20" s="19" t="s">
        <v>352</v>
      </c>
      <c r="H20" s="105">
        <f ca="1" t="shared" si="7"/>
        <v>354.74625000000003</v>
      </c>
      <c r="I20" s="106">
        <f ca="1" t="shared" si="8"/>
        <v>170.856678</v>
      </c>
      <c r="J20" s="107">
        <f ca="1" t="shared" si="9"/>
        <v>-620.588533</v>
      </c>
      <c r="K20" s="106">
        <f ca="1">IF(OR(Flag="Ignore",Flag="Det",Flag="Hole"),"",INDIRECT(Flag&amp;"Calc!"&amp;K$1)*VertexCalc!NormDir)</f>
        <v>-0.9848077528260041</v>
      </c>
      <c r="L20" s="106">
        <f ca="1">IF(OR(Flag="Ignore",Flag="Det",Flag="Hole"),"",INDIRECT(Flag&amp;"Calc!"&amp;L$1)*VertexCalc!NormDir)</f>
        <v>0</v>
      </c>
      <c r="M20" s="106">
        <f ca="1">IF(OR(Flag="Ignore",Flag="Det",Flag="Hole"),"",INDIRECT(Flag&amp;"Calc!"&amp;M$1)*VertexCalc!NormDir)</f>
        <v>0.1736481776340975</v>
      </c>
      <c r="N20" s="105">
        <f t="shared" si="0"/>
        <v>355.731057752826</v>
      </c>
      <c r="O20" s="106">
        <f t="shared" si="1"/>
        <v>170.856678</v>
      </c>
      <c r="P20" s="107">
        <f t="shared" si="2"/>
        <v>-620.762181177634</v>
      </c>
      <c r="Q20" s="106">
        <f ca="1" t="shared" si="10"/>
        <v>0.0054241286205614836</v>
      </c>
      <c r="R20" s="106">
        <f ca="1" t="shared" si="10"/>
        <v>0.9995120273540129</v>
      </c>
      <c r="S20" s="106">
        <f ca="1" t="shared" si="10"/>
        <v>0.03076176203305844</v>
      </c>
      <c r="T20" s="105">
        <f t="shared" si="4"/>
        <v>354.74082587137946</v>
      </c>
      <c r="U20" s="106">
        <f t="shared" si="5"/>
        <v>169.857165972646</v>
      </c>
      <c r="V20" s="107">
        <f t="shared" si="6"/>
        <v>-620.6192947620331</v>
      </c>
      <c r="W20" s="20">
        <f t="shared" si="11"/>
        <v>90</v>
      </c>
    </row>
    <row r="21" spans="3:23" ht="12.75">
      <c r="C21" s="18"/>
      <c r="D21" s="19" t="s">
        <v>457</v>
      </c>
      <c r="E21" s="19" t="s">
        <v>470</v>
      </c>
      <c r="F21" s="20">
        <v>-1</v>
      </c>
      <c r="G21" s="19" t="s">
        <v>352</v>
      </c>
      <c r="H21" s="105">
        <f ca="1" t="shared" si="7"/>
        <v>263.582597</v>
      </c>
      <c r="I21" s="106">
        <f ca="1" t="shared" si="8"/>
        <v>170.856678</v>
      </c>
      <c r="J21" s="107">
        <f ca="1" t="shared" si="9"/>
        <v>-636.663145</v>
      </c>
      <c r="K21" s="106">
        <f ca="1">IF(OR(Flag="Ignore",Flag="Det",Flag="Hole"),"",INDIRECT(Flag&amp;"Calc!"&amp;K$1)*VertexCalc!NormDir)</f>
        <v>0.696364240320019</v>
      </c>
      <c r="L21" s="106">
        <f ca="1">IF(OR(Flag="Ignore",Flag="Det",Flag="Hole"),"",INDIRECT(Flag&amp;"Calc!"&amp;L$1)*VertexCalc!NormDir)</f>
        <v>0.7071067811865475</v>
      </c>
      <c r="M21" s="106">
        <f ca="1">IF(OR(Flag="Ignore",Flag="Det",Flag="Hole"),"",INDIRECT(Flag&amp;"Calc!"&amp;M$1)*VertexCalc!NormDir)</f>
        <v>0.1227878039689728</v>
      </c>
      <c r="N21" s="105">
        <f t="shared" si="0"/>
        <v>262.88623275968</v>
      </c>
      <c r="O21" s="106">
        <f t="shared" si="1"/>
        <v>170.14957121881343</v>
      </c>
      <c r="P21" s="107">
        <f t="shared" si="2"/>
        <v>-636.785932803969</v>
      </c>
      <c r="Q21" s="106">
        <f ca="1" t="shared" si="10"/>
        <v>-0.6963642403200189</v>
      </c>
      <c r="R21" s="106">
        <f ca="1" t="shared" si="10"/>
        <v>0.7071067811865476</v>
      </c>
      <c r="S21" s="106">
        <f ca="1" t="shared" si="10"/>
        <v>-0.12278780396897278</v>
      </c>
      <c r="T21" s="105">
        <f t="shared" si="4"/>
        <v>264.27896124032003</v>
      </c>
      <c r="U21" s="106">
        <f t="shared" si="5"/>
        <v>170.14957121881343</v>
      </c>
      <c r="V21" s="107">
        <f t="shared" si="6"/>
        <v>-636.540357196031</v>
      </c>
      <c r="W21" s="20">
        <f t="shared" si="11"/>
        <v>90</v>
      </c>
    </row>
    <row r="22" spans="3:23" ht="13.5" thickBot="1">
      <c r="C22" s="14"/>
      <c r="D22" s="15" t="s">
        <v>458</v>
      </c>
      <c r="E22" s="15" t="s">
        <v>470</v>
      </c>
      <c r="F22" s="16"/>
      <c r="G22" s="15" t="s">
        <v>145</v>
      </c>
      <c r="H22" s="111">
        <f ca="1" t="shared" si="7"/>
      </c>
      <c r="I22" s="112">
        <f ca="1" t="shared" si="8"/>
      </c>
      <c r="J22" s="113">
        <f ca="1" t="shared" si="9"/>
      </c>
      <c r="K22" s="112">
        <f ca="1">IF(OR(Flag="Ignore",Flag="Det",Flag="Hole"),"",INDIRECT(Flag&amp;"Calc!"&amp;K$1)*VertexCalc!NormDir)</f>
      </c>
      <c r="L22" s="112">
        <f ca="1">IF(OR(Flag="Ignore",Flag="Det",Flag="Hole"),"",INDIRECT(Flag&amp;"Calc!"&amp;L$1)*VertexCalc!NormDir)</f>
      </c>
      <c r="M22" s="112">
        <f ca="1">IF(OR(Flag="Ignore",Flag="Det",Flag="Hole"),"",INDIRECT(Flag&amp;"Calc!"&amp;M$1)*VertexCalc!NormDir)</f>
      </c>
      <c r="N22" s="111">
        <f t="shared" si="0"/>
      </c>
      <c r="O22" s="112">
        <f t="shared" si="1"/>
      </c>
      <c r="P22" s="113">
        <f t="shared" si="2"/>
      </c>
      <c r="Q22" s="112">
        <f ca="1" t="shared" si="10"/>
      </c>
      <c r="R22" s="112">
        <f ca="1" t="shared" si="10"/>
      </c>
      <c r="S22" s="112">
        <f ca="1" t="shared" si="10"/>
      </c>
      <c r="T22" s="111">
        <f t="shared" si="4"/>
      </c>
      <c r="U22" s="112">
        <f t="shared" si="5"/>
      </c>
      <c r="V22" s="113">
        <f t="shared" si="6"/>
      </c>
      <c r="W22" s="20">
        <f t="shared" si="11"/>
      </c>
    </row>
    <row r="23" spans="1:23" ht="13.5" thickBot="1">
      <c r="A23" s="24"/>
      <c r="C23" s="19"/>
      <c r="D23" s="19" t="s">
        <v>447</v>
      </c>
      <c r="E23" s="19" t="s">
        <v>471</v>
      </c>
      <c r="F23" s="20"/>
      <c r="G23" s="19" t="s">
        <v>110</v>
      </c>
      <c r="H23" s="105">
        <f ca="1" t="shared" si="7"/>
      </c>
      <c r="I23" s="106">
        <f ca="1" t="shared" si="8"/>
      </c>
      <c r="J23" s="107">
        <f ca="1" t="shared" si="9"/>
      </c>
      <c r="K23" s="106">
        <f ca="1">IF(OR(Flag="Ignore",Flag="Det",Flag="Hole"),"",INDIRECT(Flag&amp;"Calc!"&amp;K$1)*VertexCalc!NormDir)</f>
      </c>
      <c r="L23" s="106">
        <f ca="1">IF(OR(Flag="Ignore",Flag="Det",Flag="Hole"),"",INDIRECT(Flag&amp;"Calc!"&amp;L$1)*VertexCalc!NormDir)</f>
      </c>
      <c r="M23" s="106">
        <f ca="1">IF(OR(Flag="Ignore",Flag="Det",Flag="Hole"),"",INDIRECT(Flag&amp;"Calc!"&amp;M$1)*VertexCalc!NormDir)</f>
      </c>
      <c r="N23" s="105">
        <f t="shared" si="0"/>
      </c>
      <c r="O23" s="106">
        <f t="shared" si="1"/>
      </c>
      <c r="P23" s="107">
        <f t="shared" si="2"/>
      </c>
      <c r="Q23" s="106">
        <f ca="1" t="shared" si="10"/>
      </c>
      <c r="R23" s="106">
        <f ca="1" t="shared" si="10"/>
      </c>
      <c r="S23" s="106">
        <f ca="1" t="shared" si="10"/>
      </c>
      <c r="T23" s="105">
        <f t="shared" si="4"/>
      </c>
      <c r="U23" s="106">
        <f t="shared" si="5"/>
      </c>
      <c r="V23" s="107">
        <f t="shared" si="6"/>
      </c>
      <c r="W23" s="20">
        <f t="shared" si="11"/>
      </c>
    </row>
    <row r="24" spans="3:23" ht="12.75">
      <c r="C24" s="10" t="s">
        <v>459</v>
      </c>
      <c r="D24" s="11" t="s">
        <v>448</v>
      </c>
      <c r="E24" s="11" t="s">
        <v>471</v>
      </c>
      <c r="F24" s="12"/>
      <c r="G24" s="11" t="s">
        <v>144</v>
      </c>
      <c r="H24" s="108">
        <f ca="1" t="shared" si="7"/>
      </c>
      <c r="I24" s="109">
        <f ca="1" t="shared" si="8"/>
      </c>
      <c r="J24" s="110">
        <f ca="1" t="shared" si="9"/>
      </c>
      <c r="K24" s="109">
        <f ca="1">IF(OR(Flag="Ignore",Flag="Det",Flag="Hole"),"",INDIRECT(Flag&amp;"Calc!"&amp;K$1)*VertexCalc!NormDir)</f>
      </c>
      <c r="L24" s="109">
        <f ca="1">IF(OR(Flag="Ignore",Flag="Det",Flag="Hole"),"",INDIRECT(Flag&amp;"Calc!"&amp;L$1)*VertexCalc!NormDir)</f>
      </c>
      <c r="M24" s="109">
        <f ca="1">IF(OR(Flag="Ignore",Flag="Det",Flag="Hole"),"",INDIRECT(Flag&amp;"Calc!"&amp;M$1)*VertexCalc!NormDir)</f>
      </c>
      <c r="N24" s="108">
        <f t="shared" si="0"/>
      </c>
      <c r="O24" s="109">
        <f t="shared" si="1"/>
      </c>
      <c r="P24" s="110">
        <f t="shared" si="2"/>
      </c>
      <c r="Q24" s="109">
        <f aca="true" ca="1" t="shared" si="12" ref="Q24:S33">IF(OR(Flag="Ignore",Flag="Det",Flag="Hole"),"",INDIRECT(Flag&amp;"Calc!"&amp;Q$1))</f>
      </c>
      <c r="R24" s="109">
        <f ca="1" t="shared" si="12"/>
      </c>
      <c r="S24" s="109">
        <f ca="1" t="shared" si="12"/>
      </c>
      <c r="T24" s="108">
        <f t="shared" si="4"/>
      </c>
      <c r="U24" s="109">
        <f t="shared" si="5"/>
      </c>
      <c r="V24" s="110">
        <f t="shared" si="6"/>
      </c>
      <c r="W24" s="20">
        <f t="shared" si="11"/>
      </c>
    </row>
    <row r="25" spans="3:23" ht="12.75">
      <c r="C25" s="18"/>
      <c r="D25" s="19" t="s">
        <v>460</v>
      </c>
      <c r="E25" s="19" t="s">
        <v>471</v>
      </c>
      <c r="F25" s="20">
        <v>-1</v>
      </c>
      <c r="G25" s="19" t="s">
        <v>352</v>
      </c>
      <c r="H25" s="105">
        <f ca="1" t="shared" si="7"/>
        <v>73.13211000000001</v>
      </c>
      <c r="I25" s="106">
        <f ca="1" t="shared" si="8"/>
        <v>170.856678</v>
      </c>
      <c r="J25" s="107">
        <f ca="1" t="shared" si="9"/>
        <v>-407.998533</v>
      </c>
      <c r="K25" s="106">
        <f ca="1">IF(OR(Flag="Ignore",Flag="Det",Flag="Hole"),"",INDIRECT(Flag&amp;"Calc!"&amp;K$1)*VertexCalc!NormDir)</f>
        <v>0.9659258262417969</v>
      </c>
      <c r="L25" s="106">
        <f ca="1">IF(OR(Flag="Ignore",Flag="Det",Flag="Hole"),"",INDIRECT(Flag&amp;"Calc!"&amp;L$1)*VertexCalc!NormDir)</f>
        <v>0</v>
      </c>
      <c r="M25" s="106">
        <f ca="1">IF(OR(Flag="Ignore",Flag="Det",Flag="Hole"),"",INDIRECT(Flag&amp;"Calc!"&amp;M$1)*VertexCalc!NormDir)</f>
        <v>0.2588190450898544</v>
      </c>
      <c r="N25" s="105">
        <f t="shared" si="0"/>
        <v>72.16618417375821</v>
      </c>
      <c r="O25" s="106">
        <f t="shared" si="1"/>
        <v>170.856678</v>
      </c>
      <c r="P25" s="107">
        <f t="shared" si="2"/>
        <v>-408.2573520450899</v>
      </c>
      <c r="Q25" s="106">
        <f ca="1" t="shared" si="12"/>
        <v>0</v>
      </c>
      <c r="R25" s="106">
        <f ca="1" t="shared" si="12"/>
        <v>1</v>
      </c>
      <c r="S25" s="106">
        <f ca="1" t="shared" si="12"/>
        <v>0</v>
      </c>
      <c r="T25" s="105">
        <f t="shared" si="4"/>
        <v>73.13211000000001</v>
      </c>
      <c r="U25" s="106">
        <f t="shared" si="5"/>
        <v>169.856678</v>
      </c>
      <c r="V25" s="107">
        <f t="shared" si="6"/>
        <v>-407.998533</v>
      </c>
      <c r="W25" s="20">
        <f t="shared" si="11"/>
        <v>90</v>
      </c>
    </row>
    <row r="26" spans="3:23" ht="12.75">
      <c r="C26" s="18"/>
      <c r="D26" s="19" t="s">
        <v>461</v>
      </c>
      <c r="E26" s="19" t="s">
        <v>471</v>
      </c>
      <c r="F26" s="20"/>
      <c r="G26" s="19" t="s">
        <v>110</v>
      </c>
      <c r="H26" s="105">
        <f ca="1" t="shared" si="7"/>
      </c>
      <c r="I26" s="106">
        <f ca="1" t="shared" si="8"/>
      </c>
      <c r="J26" s="107">
        <f ca="1" t="shared" si="9"/>
      </c>
      <c r="K26" s="106">
        <f ca="1">IF(OR(Flag="Ignore",Flag="Det",Flag="Hole"),"",INDIRECT(Flag&amp;"Calc!"&amp;K$1)*VertexCalc!NormDir)</f>
      </c>
      <c r="L26" s="106">
        <f ca="1">IF(OR(Flag="Ignore",Flag="Det",Flag="Hole"),"",INDIRECT(Flag&amp;"Calc!"&amp;L$1)*VertexCalc!NormDir)</f>
      </c>
      <c r="M26" s="106">
        <f ca="1">IF(OR(Flag="Ignore",Flag="Det",Flag="Hole"),"",INDIRECT(Flag&amp;"Calc!"&amp;M$1)*VertexCalc!NormDir)</f>
      </c>
      <c r="N26" s="105">
        <f t="shared" si="0"/>
      </c>
      <c r="O26" s="106">
        <f t="shared" si="1"/>
      </c>
      <c r="P26" s="107">
        <f t="shared" si="2"/>
      </c>
      <c r="Q26" s="106">
        <f ca="1" t="shared" si="12"/>
      </c>
      <c r="R26" s="106">
        <f ca="1" t="shared" si="12"/>
      </c>
      <c r="S26" s="106">
        <f ca="1" t="shared" si="12"/>
      </c>
      <c r="T26" s="105">
        <f t="shared" si="4"/>
      </c>
      <c r="U26" s="106">
        <f t="shared" si="5"/>
      </c>
      <c r="V26" s="107">
        <f t="shared" si="6"/>
      </c>
      <c r="W26" s="20">
        <f t="shared" si="11"/>
      </c>
    </row>
    <row r="27" spans="3:23" ht="12.75">
      <c r="C27" s="18"/>
      <c r="D27" s="19" t="s">
        <v>462</v>
      </c>
      <c r="E27" s="19" t="s">
        <v>471</v>
      </c>
      <c r="F27" s="20"/>
      <c r="G27" s="19" t="s">
        <v>110</v>
      </c>
      <c r="H27" s="105">
        <f ca="1" t="shared" si="7"/>
      </c>
      <c r="I27" s="106">
        <f ca="1" t="shared" si="8"/>
      </c>
      <c r="J27" s="107">
        <f ca="1" t="shared" si="9"/>
      </c>
      <c r="K27" s="106">
        <f ca="1">IF(OR(Flag="Ignore",Flag="Det",Flag="Hole"),"",INDIRECT(Flag&amp;"Calc!"&amp;K$1)*VertexCalc!NormDir)</f>
      </c>
      <c r="L27" s="106">
        <f ca="1">IF(OR(Flag="Ignore",Flag="Det",Flag="Hole"),"",INDIRECT(Flag&amp;"Calc!"&amp;L$1)*VertexCalc!NormDir)</f>
      </c>
      <c r="M27" s="106">
        <f ca="1">IF(OR(Flag="Ignore",Flag="Det",Flag="Hole"),"",INDIRECT(Flag&amp;"Calc!"&amp;M$1)*VertexCalc!NormDir)</f>
      </c>
      <c r="N27" s="105">
        <f t="shared" si="0"/>
      </c>
      <c r="O27" s="106">
        <f t="shared" si="1"/>
      </c>
      <c r="P27" s="107">
        <f t="shared" si="2"/>
      </c>
      <c r="Q27" s="106">
        <f ca="1" t="shared" si="12"/>
      </c>
      <c r="R27" s="106">
        <f ca="1" t="shared" si="12"/>
      </c>
      <c r="S27" s="106">
        <f ca="1" t="shared" si="12"/>
      </c>
      <c r="T27" s="105">
        <f t="shared" si="4"/>
      </c>
      <c r="U27" s="106">
        <f t="shared" si="5"/>
      </c>
      <c r="V27" s="107">
        <f t="shared" si="6"/>
      </c>
      <c r="W27" s="20">
        <f t="shared" si="11"/>
      </c>
    </row>
    <row r="28" spans="3:23" ht="12.75">
      <c r="C28" s="18"/>
      <c r="D28" s="19" t="s">
        <v>463</v>
      </c>
      <c r="E28" s="19" t="s">
        <v>471</v>
      </c>
      <c r="F28" s="20"/>
      <c r="G28" s="19" t="s">
        <v>110</v>
      </c>
      <c r="H28" s="105">
        <f ca="1" t="shared" si="7"/>
      </c>
      <c r="I28" s="106">
        <f ca="1" t="shared" si="8"/>
      </c>
      <c r="J28" s="107">
        <f ca="1" t="shared" si="9"/>
      </c>
      <c r="K28" s="106">
        <f ca="1">IF(OR(Flag="Ignore",Flag="Det",Flag="Hole"),"",INDIRECT(Flag&amp;"Calc!"&amp;K$1)*VertexCalc!NormDir)</f>
      </c>
      <c r="L28" s="106">
        <f ca="1">IF(OR(Flag="Ignore",Flag="Det",Flag="Hole"),"",INDIRECT(Flag&amp;"Calc!"&amp;L$1)*VertexCalc!NormDir)</f>
      </c>
      <c r="M28" s="106">
        <f ca="1">IF(OR(Flag="Ignore",Flag="Det",Flag="Hole"),"",INDIRECT(Flag&amp;"Calc!"&amp;M$1)*VertexCalc!NormDir)</f>
      </c>
      <c r="N28" s="105">
        <f t="shared" si="0"/>
      </c>
      <c r="O28" s="106">
        <f t="shared" si="1"/>
      </c>
      <c r="P28" s="107">
        <f t="shared" si="2"/>
      </c>
      <c r="Q28" s="106">
        <f ca="1" t="shared" si="12"/>
      </c>
      <c r="R28" s="106">
        <f ca="1" t="shared" si="12"/>
      </c>
      <c r="S28" s="106">
        <f ca="1" t="shared" si="12"/>
      </c>
      <c r="T28" s="105">
        <f t="shared" si="4"/>
      </c>
      <c r="U28" s="106">
        <f t="shared" si="5"/>
      </c>
      <c r="V28" s="107">
        <f t="shared" si="6"/>
      </c>
      <c r="W28" s="20">
        <f t="shared" si="11"/>
      </c>
    </row>
    <row r="29" spans="3:23" ht="12.75">
      <c r="C29" s="18"/>
      <c r="D29" s="19" t="s">
        <v>464</v>
      </c>
      <c r="E29" s="19" t="s">
        <v>471</v>
      </c>
      <c r="F29" s="20">
        <v>-1</v>
      </c>
      <c r="G29" s="19" t="s">
        <v>352</v>
      </c>
      <c r="H29" s="105">
        <f ca="1" t="shared" si="7"/>
        <v>73.13211000000001</v>
      </c>
      <c r="I29" s="106">
        <f ca="1" t="shared" si="8"/>
        <v>170.856678</v>
      </c>
      <c r="J29" s="107">
        <f ca="1" t="shared" si="9"/>
        <v>-457.998533</v>
      </c>
      <c r="K29" s="106">
        <f ca="1">IF(OR(Flag="Ignore",Flag="Det",Flag="Hole"),"",INDIRECT(Flag&amp;"Calc!"&amp;K$1)*VertexCalc!NormDir)</f>
        <v>0.9659258259360641</v>
      </c>
      <c r="L29" s="106">
        <f ca="1">IF(OR(Flag="Ignore",Flag="Det",Flag="Hole"),"",INDIRECT(Flag&amp;"Calc!"&amp;L$1)*VertexCalc!NormDir)</f>
        <v>0</v>
      </c>
      <c r="M29" s="106">
        <f ca="1">IF(OR(Flag="Ignore",Flag="Det",Flag="Hole"),"",INDIRECT(Flag&amp;"Calc!"&amp;M$1)*VertexCalc!NormDir)</f>
        <v>-0.25881904500793385</v>
      </c>
      <c r="N29" s="105">
        <f t="shared" si="0"/>
        <v>72.16618417406394</v>
      </c>
      <c r="O29" s="106">
        <f t="shared" si="1"/>
        <v>170.856678</v>
      </c>
      <c r="P29" s="107">
        <f t="shared" si="2"/>
        <v>-457.73971395499206</v>
      </c>
      <c r="Q29" s="106">
        <f ca="1" t="shared" si="12"/>
        <v>0</v>
      </c>
      <c r="R29" s="106">
        <f ca="1" t="shared" si="12"/>
        <v>1</v>
      </c>
      <c r="S29" s="106">
        <f ca="1" t="shared" si="12"/>
        <v>0</v>
      </c>
      <c r="T29" s="105">
        <f t="shared" si="4"/>
        <v>73.13211000000001</v>
      </c>
      <c r="U29" s="106">
        <f t="shared" si="5"/>
        <v>169.856678</v>
      </c>
      <c r="V29" s="107">
        <f t="shared" si="6"/>
        <v>-457.998533</v>
      </c>
      <c r="W29" s="20">
        <f t="shared" si="11"/>
        <v>90</v>
      </c>
    </row>
    <row r="30" spans="3:23" ht="12.75">
      <c r="C30" s="18"/>
      <c r="D30" s="19" t="s">
        <v>454</v>
      </c>
      <c r="E30" s="19" t="s">
        <v>471</v>
      </c>
      <c r="F30" s="20"/>
      <c r="G30" s="19" t="s">
        <v>110</v>
      </c>
      <c r="H30" s="105">
        <f ca="1" t="shared" si="7"/>
      </c>
      <c r="I30" s="106">
        <f ca="1" t="shared" si="8"/>
      </c>
      <c r="J30" s="107">
        <f ca="1" t="shared" si="9"/>
      </c>
      <c r="K30" s="106">
        <f ca="1">IF(OR(Flag="Ignore",Flag="Det",Flag="Hole"),"",INDIRECT(Flag&amp;"Calc!"&amp;K$1)*VertexCalc!NormDir)</f>
      </c>
      <c r="L30" s="106">
        <f ca="1">IF(OR(Flag="Ignore",Flag="Det",Flag="Hole"),"",INDIRECT(Flag&amp;"Calc!"&amp;L$1)*VertexCalc!NormDir)</f>
      </c>
      <c r="M30" s="106">
        <f ca="1">IF(OR(Flag="Ignore",Flag="Det",Flag="Hole"),"",INDIRECT(Flag&amp;"Calc!"&amp;M$1)*VertexCalc!NormDir)</f>
      </c>
      <c r="N30" s="105">
        <f t="shared" si="0"/>
      </c>
      <c r="O30" s="106">
        <f t="shared" si="1"/>
      </c>
      <c r="P30" s="107">
        <f t="shared" si="2"/>
      </c>
      <c r="Q30" s="106">
        <f ca="1" t="shared" si="12"/>
      </c>
      <c r="R30" s="106">
        <f ca="1" t="shared" si="12"/>
      </c>
      <c r="S30" s="106">
        <f ca="1" t="shared" si="12"/>
      </c>
      <c r="T30" s="105">
        <f t="shared" si="4"/>
      </c>
      <c r="U30" s="106">
        <f t="shared" si="5"/>
      </c>
      <c r="V30" s="107">
        <f t="shared" si="6"/>
      </c>
      <c r="W30" s="20">
        <f t="shared" si="11"/>
      </c>
    </row>
    <row r="31" spans="3:23" ht="12.75">
      <c r="C31" s="18"/>
      <c r="D31" s="19" t="s">
        <v>465</v>
      </c>
      <c r="E31" s="19" t="s">
        <v>471</v>
      </c>
      <c r="F31" s="20">
        <v>-1</v>
      </c>
      <c r="G31" s="19" t="s">
        <v>352</v>
      </c>
      <c r="H31" s="105">
        <f ca="1" t="shared" si="7"/>
        <v>91.509169</v>
      </c>
      <c r="I31" s="106">
        <f ca="1" t="shared" si="8"/>
        <v>170.856678</v>
      </c>
      <c r="J31" s="107">
        <f ca="1" t="shared" si="9"/>
        <v>-620.588533</v>
      </c>
      <c r="K31" s="106">
        <f ca="1">IF(OR(Flag="Ignore",Flag="Det",Flag="Hole"),"",INDIRECT(Flag&amp;"Calc!"&amp;K$1)*VertexCalc!NormDir)</f>
        <v>0.9848077528260041</v>
      </c>
      <c r="L31" s="106">
        <f ca="1">IF(OR(Flag="Ignore",Flag="Det",Flag="Hole"),"",INDIRECT(Flag&amp;"Calc!"&amp;L$1)*VertexCalc!NormDir)</f>
        <v>0</v>
      </c>
      <c r="M31" s="106">
        <f ca="1">IF(OR(Flag="Ignore",Flag="Det",Flag="Hole"),"",INDIRECT(Flag&amp;"Calc!"&amp;M$1)*VertexCalc!NormDir)</f>
        <v>0.1736481776340975</v>
      </c>
      <c r="N31" s="105">
        <f t="shared" si="0"/>
        <v>90.524361247174</v>
      </c>
      <c r="O31" s="106">
        <f t="shared" si="1"/>
        <v>170.856678</v>
      </c>
      <c r="P31" s="107">
        <f t="shared" si="2"/>
        <v>-620.762181177634</v>
      </c>
      <c r="Q31" s="106">
        <f ca="1" t="shared" si="12"/>
        <v>-0.0054241286205614836</v>
      </c>
      <c r="R31" s="106">
        <f ca="1" t="shared" si="12"/>
        <v>0.9995120273540129</v>
      </c>
      <c r="S31" s="106">
        <f ca="1" t="shared" si="12"/>
        <v>0.03076176203305844</v>
      </c>
      <c r="T31" s="105">
        <f t="shared" si="4"/>
        <v>91.51459312862056</v>
      </c>
      <c r="U31" s="106">
        <f t="shared" si="5"/>
        <v>169.857165972646</v>
      </c>
      <c r="V31" s="107">
        <f t="shared" si="6"/>
        <v>-620.6192947620331</v>
      </c>
      <c r="W31" s="20">
        <f t="shared" si="11"/>
        <v>90</v>
      </c>
    </row>
    <row r="32" spans="3:23" ht="13.5" thickBot="1">
      <c r="C32" s="18"/>
      <c r="D32" s="19" t="s">
        <v>466</v>
      </c>
      <c r="E32" s="19" t="s">
        <v>471</v>
      </c>
      <c r="F32" s="20">
        <v>-1</v>
      </c>
      <c r="G32" s="19" t="s">
        <v>352</v>
      </c>
      <c r="H32" s="111">
        <f ca="1" t="shared" si="7"/>
        <v>182.672823</v>
      </c>
      <c r="I32" s="112">
        <f ca="1" t="shared" si="8"/>
        <v>170.856678</v>
      </c>
      <c r="J32" s="113">
        <f ca="1" t="shared" si="9"/>
        <v>-636.663145</v>
      </c>
      <c r="K32" s="106">
        <f ca="1">IF(OR(Flag="Ignore",Flag="Det",Flag="Hole"),"",INDIRECT(Flag&amp;"Calc!"&amp;K$1)*VertexCalc!NormDir)</f>
        <v>-0.6963642403200189</v>
      </c>
      <c r="L32" s="106">
        <f ca="1">IF(OR(Flag="Ignore",Flag="Det",Flag="Hole"),"",INDIRECT(Flag&amp;"Calc!"&amp;L$1)*VertexCalc!NormDir)</f>
        <v>0.7071067811865474</v>
      </c>
      <c r="M32" s="106">
        <f ca="1">IF(OR(Flag="Ignore",Flag="Det",Flag="Hole"),"",INDIRECT(Flag&amp;"Calc!"&amp;M$1)*VertexCalc!NormDir)</f>
        <v>0.12278780396897279</v>
      </c>
      <c r="N32" s="111">
        <f t="shared" si="0"/>
        <v>183.36918724032</v>
      </c>
      <c r="O32" s="112">
        <f t="shared" si="1"/>
        <v>170.14957121881343</v>
      </c>
      <c r="P32" s="113">
        <f t="shared" si="2"/>
        <v>-636.785932803969</v>
      </c>
      <c r="Q32" s="106">
        <f ca="1" t="shared" si="12"/>
        <v>0.6963642403200189</v>
      </c>
      <c r="R32" s="106">
        <f ca="1" t="shared" si="12"/>
        <v>0.7071067811865476</v>
      </c>
      <c r="S32" s="106">
        <f ca="1" t="shared" si="12"/>
        <v>-0.12278780396897278</v>
      </c>
      <c r="T32" s="111">
        <f t="shared" si="4"/>
        <v>181.97645875967999</v>
      </c>
      <c r="U32" s="112">
        <f t="shared" si="5"/>
        <v>170.14957121881343</v>
      </c>
      <c r="V32" s="113">
        <f t="shared" si="6"/>
        <v>-636.540357196031</v>
      </c>
      <c r="W32" s="20">
        <f t="shared" si="11"/>
        <v>90</v>
      </c>
    </row>
    <row r="33" spans="3:23" ht="13.5" thickBot="1">
      <c r="C33" s="14"/>
      <c r="D33" s="15" t="s">
        <v>467</v>
      </c>
      <c r="E33" s="15" t="s">
        <v>471</v>
      </c>
      <c r="F33" s="16"/>
      <c r="G33" s="15" t="s">
        <v>145</v>
      </c>
      <c r="H33" s="112">
        <f ca="1" t="shared" si="7"/>
      </c>
      <c r="I33" s="112">
        <f ca="1" t="shared" si="8"/>
      </c>
      <c r="J33" s="112">
        <f ca="1" t="shared" si="9"/>
      </c>
      <c r="K33" s="112">
        <f ca="1">IF(OR(Flag="Ignore",Flag="Det",Flag="Hole"),"",INDIRECT(Flag&amp;"Calc!"&amp;K$1)*VertexCalc!NormDir)</f>
      </c>
      <c r="L33" s="112">
        <f ca="1">IF(OR(Flag="Ignore",Flag="Det",Flag="Hole"),"",INDIRECT(Flag&amp;"Calc!"&amp;L$1)*VertexCalc!NormDir)</f>
      </c>
      <c r="M33" s="112">
        <f ca="1">IF(OR(Flag="Ignore",Flag="Det",Flag="Hole"),"",INDIRECT(Flag&amp;"Calc!"&amp;M$1)*VertexCalc!NormDir)</f>
      </c>
      <c r="N33" s="112">
        <f t="shared" si="0"/>
      </c>
      <c r="O33" s="112">
        <f t="shared" si="1"/>
      </c>
      <c r="P33" s="112">
        <f t="shared" si="2"/>
      </c>
      <c r="Q33" s="112">
        <f ca="1" t="shared" si="12"/>
      </c>
      <c r="R33" s="112">
        <f ca="1" t="shared" si="12"/>
      </c>
      <c r="S33" s="112">
        <f ca="1" t="shared" si="12"/>
      </c>
      <c r="T33" s="112">
        <f t="shared" si="4"/>
      </c>
      <c r="U33" s="112">
        <f t="shared" si="5"/>
      </c>
      <c r="V33" s="113">
        <f t="shared" si="6"/>
      </c>
      <c r="W33" s="20">
        <f t="shared" si="11"/>
      </c>
    </row>
    <row r="34" spans="3:23" ht="13.5" thickBot="1">
      <c r="C34" s="75" t="s">
        <v>494</v>
      </c>
      <c r="D34" s="76" t="s">
        <v>491</v>
      </c>
      <c r="E34" s="76"/>
      <c r="F34" s="115"/>
      <c r="G34" s="76"/>
      <c r="H34" s="114">
        <f>2*VertexCalc!$G$13-H12</f>
        <v>72.751059</v>
      </c>
      <c r="I34" s="114">
        <f>I12</f>
        <v>170.856678</v>
      </c>
      <c r="J34" s="114">
        <f>J12</f>
        <v>-234.578533</v>
      </c>
      <c r="K34" s="114">
        <f>Xmirr-Xspig</f>
        <v>0.9848077528870363</v>
      </c>
      <c r="L34" s="114">
        <f>Ymirr-Yspig</f>
        <v>0</v>
      </c>
      <c r="M34" s="114">
        <f>Zmirr-Zspig</f>
        <v>-0.17364817764484997</v>
      </c>
      <c r="N34" s="114">
        <f>2*VertexCalc!$G$13-N12</f>
        <v>71.76625124711296</v>
      </c>
      <c r="O34" s="114">
        <f>O12</f>
        <v>170.856678</v>
      </c>
      <c r="P34" s="114">
        <f>P12</f>
        <v>-234.40488482235514</v>
      </c>
      <c r="Q34" s="114">
        <f>Xmirr-Xdowl</f>
        <v>-0.018814150275318298</v>
      </c>
      <c r="R34" s="114">
        <f>Ymirr-Ydowl</f>
        <v>0.9941132045190102</v>
      </c>
      <c r="S34" s="114">
        <f>Zmirr-Zdowl</f>
        <v>-0.10670034840796916</v>
      </c>
      <c r="T34" s="114">
        <f>2*VertexCalc!$G$13-T12</f>
        <v>72.76987315027532</v>
      </c>
      <c r="U34" s="114">
        <f>U12</f>
        <v>169.86256479548098</v>
      </c>
      <c r="V34" s="114">
        <f>V12</f>
        <v>-234.47183265159202</v>
      </c>
      <c r="W34" s="20">
        <f t="shared" si="11"/>
        <v>90.00000000000006</v>
      </c>
    </row>
    <row r="35" spans="3:7" ht="12.75">
      <c r="C35" s="19"/>
      <c r="D35" s="19"/>
      <c r="E35" s="19"/>
      <c r="F35" s="20"/>
      <c r="G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7" ht="12.75">
      <c r="C40" s="19"/>
      <c r="D40" s="19"/>
      <c r="E40" s="19"/>
      <c r="F40" s="20"/>
      <c r="G40" s="19"/>
    </row>
    <row r="41" spans="3:7" ht="12.75">
      <c r="C41" s="31" t="s">
        <v>46</v>
      </c>
      <c r="D41" s="31" t="s">
        <v>375</v>
      </c>
      <c r="E41" s="31" t="s">
        <v>268</v>
      </c>
      <c r="F41" s="116"/>
      <c r="G41" s="31" t="s">
        <v>376</v>
      </c>
    </row>
    <row r="42" spans="3:7" ht="12.75">
      <c r="C42" s="19" t="s">
        <v>17</v>
      </c>
      <c r="D42" s="19" t="str">
        <f>"-Zsyno"</f>
        <v>-Zsyno</v>
      </c>
      <c r="E42" s="19" t="s">
        <v>372</v>
      </c>
      <c r="F42" s="20"/>
      <c r="G42" s="19" t="s">
        <v>112</v>
      </c>
    </row>
    <row r="43" spans="3:7" ht="12.75">
      <c r="C43" s="19" t="s">
        <v>80</v>
      </c>
      <c r="D43" s="19" t="s">
        <v>118</v>
      </c>
      <c r="E43" s="19" t="s">
        <v>373</v>
      </c>
      <c r="F43" s="20"/>
      <c r="G43" s="19" t="s">
        <v>113</v>
      </c>
    </row>
    <row r="44" spans="3:7" ht="12.75">
      <c r="C44" s="19" t="s">
        <v>81</v>
      </c>
      <c r="D44" s="19" t="s">
        <v>119</v>
      </c>
      <c r="E44" s="19" t="s">
        <v>374</v>
      </c>
      <c r="F44" s="20"/>
      <c r="G44" s="19" t="s">
        <v>114</v>
      </c>
    </row>
    <row r="45" spans="3:7" ht="12.75">
      <c r="C45" s="19"/>
      <c r="D45" s="19"/>
      <c r="E45" s="19"/>
      <c r="F45" s="20"/>
      <c r="G45" s="19"/>
    </row>
    <row r="46" spans="3:7" ht="12.75">
      <c r="C46" s="19" t="s">
        <v>366</v>
      </c>
      <c r="D46" s="19">
        <v>-1</v>
      </c>
      <c r="E46" s="19"/>
      <c r="F46" s="20"/>
      <c r="G46" s="19"/>
    </row>
    <row r="47" spans="3:7" ht="12.75">
      <c r="C47" s="19" t="s">
        <v>367</v>
      </c>
      <c r="D47" s="19">
        <v>-1</v>
      </c>
      <c r="E47" s="19"/>
      <c r="F47" s="20"/>
      <c r="G47" s="19"/>
    </row>
    <row r="48" spans="3:7" ht="12.75">
      <c r="C48" s="19"/>
      <c r="D48" s="19"/>
      <c r="E48" s="19"/>
      <c r="F48" s="20"/>
      <c r="G48" s="19"/>
    </row>
  </sheetData>
  <printOptions/>
  <pageMargins left="0.33" right="0.28" top="0.984251968503937" bottom="0.984251968503937" header="0.5118110236220472" footer="0.5118110236220472"/>
  <pageSetup fitToHeight="1" fitToWidth="1" horizontalDpi="600" verticalDpi="600" orientation="landscape" paperSize="9" scale="50" r:id="rId1"/>
  <headerFooter alignWithMargins="0">
    <oddHeader>&amp;L&amp;F, &amp;A&amp;R&amp;T, &amp;D</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AC48"/>
  <sheetViews>
    <sheetView zoomScale="80" zoomScaleNormal="80" workbookViewId="0" topLeftCell="B1">
      <selection activeCell="F1" sqref="F1:F8"/>
    </sheetView>
  </sheetViews>
  <sheetFormatPr defaultColWidth="12" defaultRowHeight="12.75"/>
  <cols>
    <col min="1" max="2" width="12" style="1" customWidth="1"/>
    <col min="3" max="3" width="20.16015625" style="1" customWidth="1"/>
    <col min="4" max="6" width="12" style="1" customWidth="1"/>
    <col min="7" max="7" width="13.33203125" style="42" customWidth="1"/>
    <col min="8" max="8" width="10.83203125" style="42" customWidth="1"/>
    <col min="9" max="9" width="12.16015625" style="42" customWidth="1"/>
    <col min="10" max="12" width="10.83203125" style="42" customWidth="1"/>
    <col min="13" max="13" width="12.33203125" style="42" customWidth="1"/>
    <col min="14" max="14" width="9.5" style="42" customWidth="1"/>
    <col min="15" max="19" width="11" style="42" customWidth="1"/>
    <col min="20" max="20" width="8.83203125" style="42" customWidth="1"/>
    <col min="21" max="21" width="11" style="42" customWidth="1"/>
    <col min="22" max="22" width="11" style="20" customWidth="1"/>
    <col min="23" max="23" width="12" style="20" customWidth="1"/>
    <col min="24" max="29" width="9.33203125" style="20" customWidth="1"/>
    <col min="30" max="16384" width="12" style="1" customWidth="1"/>
  </cols>
  <sheetData>
    <row r="1" spans="3:29" s="5" customFormat="1" ht="12.75">
      <c r="C1" s="5" t="s">
        <v>111</v>
      </c>
      <c r="D1" s="5" t="s">
        <v>2</v>
      </c>
      <c r="E1" s="5" t="s">
        <v>469</v>
      </c>
      <c r="F1" s="5" t="s">
        <v>143</v>
      </c>
      <c r="G1" s="38" t="s">
        <v>18</v>
      </c>
      <c r="H1" s="39" t="s">
        <v>19</v>
      </c>
      <c r="I1" s="40" t="s">
        <v>20</v>
      </c>
      <c r="J1" s="51" t="s">
        <v>14</v>
      </c>
      <c r="K1" s="51" t="s">
        <v>15</v>
      </c>
      <c r="L1" s="51" t="s">
        <v>16</v>
      </c>
      <c r="M1" s="38" t="s">
        <v>11</v>
      </c>
      <c r="N1" s="39" t="s">
        <v>12</v>
      </c>
      <c r="O1" s="40" t="s">
        <v>13</v>
      </c>
      <c r="P1" s="51" t="s">
        <v>21</v>
      </c>
      <c r="Q1" s="51" t="s">
        <v>22</v>
      </c>
      <c r="R1" s="51" t="s">
        <v>23</v>
      </c>
      <c r="S1" s="38" t="s">
        <v>24</v>
      </c>
      <c r="T1" s="39" t="s">
        <v>25</v>
      </c>
      <c r="U1" s="40" t="s">
        <v>26</v>
      </c>
      <c r="V1" s="28" t="s">
        <v>370</v>
      </c>
      <c r="W1" s="28"/>
      <c r="X1" s="28"/>
      <c r="Y1" s="28"/>
      <c r="Z1" s="28"/>
      <c r="AA1" s="28"/>
      <c r="AB1" s="28"/>
      <c r="AC1" s="28"/>
    </row>
    <row r="2" spans="4:22" ht="13.5" thickBot="1">
      <c r="D2" s="1" t="s">
        <v>91</v>
      </c>
      <c r="E2" s="1" t="s">
        <v>470</v>
      </c>
      <c r="F2" s="1" t="s">
        <v>110</v>
      </c>
      <c r="G2" s="41">
        <f>IF(OR(Flag="Ignore",Flag="Det",Flag="Hole"),"",VertexCalc!Xnorm*(Interfaces!Xmirr-VertexCalc!Xmirr)+VertexCalc!Ynorm*(Interfaces!Ymirr-VertexCalc!Ymirr)+VertexCalc!Znorm*(Interfaces!Zmirr-VertexCalc!Zmirr))</f>
      </c>
      <c r="H2" s="42">
        <f>IF(OR(Flag="Ignore",Flag="Det",Flag="Hole"),"",VertexCalc!Xsag*(Interfaces!Xmirr-VertexCalc!Xmirr)+VertexCalc!Ysag*(Interfaces!Ymirr-VertexCalc!Ymirr)+VertexCalc!Zsag*(Interfaces!Zmirr-VertexCalc!Zmirr))</f>
      </c>
      <c r="I2" s="43">
        <f>IF(OR(Flag="Ignore",Flag="Det",Flag="Hole"),"",VertexCalc!Xtang*(Interfaces!Xmirr-VertexCalc!Xmirr)+VertexCalc!Ytang*(Interfaces!Ymirr-VertexCalc!Ymirr)+VertexCalc!Ztang*(Interfaces!Zmirr-VertexCalc!Zmirr))</f>
      </c>
      <c r="J2" s="42">
        <f>IF(OR(Flag="Ignore",Flag="Det",Flag="Hole"),"",VertexCalc!Xnorm*Interfaces!Xnorm+VertexCalc!Ynorm*Interfaces!Ynorm+VertexCalc!Znorm*Interfaces!Znorm)</f>
      </c>
      <c r="K2" s="42">
        <f>IF(OR(Flag="Ignore",Flag="Det",Flag="Hole"),"",VertexCalc!Xsag*Interfaces!Xnorm+VertexCalc!Ysag*Interfaces!Ynorm+VertexCalc!Zsag*Interfaces!Znorm)</f>
      </c>
      <c r="L2" s="42">
        <f>IF(OR(Flag="Ignore",Flag="Det",Flag="Hole"),"",VertexCalc!Xtang*Interfaces!Xnorm+VertexCalc!Ytang*Interfaces!Ynorm+VertexCalc!Ztang*Interfaces!Znorm)</f>
      </c>
      <c r="M2" s="41">
        <f>IF(OR(Flag="Ignore",Flag="Det",Flag="Hole"),"",Xmirr+SpigLength*Xnorm)</f>
      </c>
      <c r="N2" s="42">
        <f>IF(OR(Flag="Ignore",Flag="Det",Flag="Hole"),"",Ymirr+SpigLength*Ynorm)</f>
      </c>
      <c r="O2" s="43">
        <f>IF(OR(Flag="Ignore",Flag="Det",Flag="Hole"),"",Zmirr+SpigLength*Znorm)</f>
      </c>
      <c r="P2" s="42">
        <f>IF(OR(Flag="Ignore",Flag="Det",Flag="Hole"),"",VertexCalc!Xnorm*Interfaces!Xsag+VertexCalc!Ynorm*Interfaces!Ysag+VertexCalc!Znorm*Interfaces!Zsag)</f>
      </c>
      <c r="Q2" s="42">
        <f>IF(OR(Flag="Ignore",Flag="Det",Flag="Hole"),"",VertexCalc!Xsag*Interfaces!Xsag+VertexCalc!Ysag*Interfaces!Ysag+VertexCalc!Zsag*Interfaces!Zsag)</f>
      </c>
      <c r="R2" s="42">
        <f>IF(OR(Flag="Ignore",Flag="Det",Flag="Hole"),"",VertexCalc!Xtang*Interfaces!Xsag+VertexCalc!Ytang*Interfaces!Ysag+VertexCalc!Ztang*Interfaces!Zsag)</f>
      </c>
      <c r="S2" s="41">
        <f>IF(OR(Flag="Ignore",Flag="Det",Flag="Hole"),"",Xmirr+DowlSep*Xsag)</f>
      </c>
      <c r="T2" s="42">
        <f>IF(OR(Flag="Ignore",Flag="Det",Flag="Hole"),"",Ymirr+DowlSep*Ysag)</f>
      </c>
      <c r="U2" s="43">
        <f>IF(OR(Flag="Ignore",Flag="Det",Flag="Hole"),"",Zmirr+DowlSep*Zsag)</f>
      </c>
      <c r="V2" s="20">
        <f>IF(OR(Flag="Ignore",Flag="Hole",Flag="Det"),"",ACOS(Xsag*Xnorm+Ysag*Ynorm+Zsag*Znorm)*180/PI())</f>
      </c>
    </row>
    <row r="3" spans="3:22" ht="12.75">
      <c r="C3" s="10" t="s">
        <v>108</v>
      </c>
      <c r="D3" s="11" t="s">
        <v>92</v>
      </c>
      <c r="E3" s="11" t="s">
        <v>470</v>
      </c>
      <c r="F3" s="11" t="s">
        <v>110</v>
      </c>
      <c r="G3" s="44">
        <f>IF(OR(Flag="Ignore",Flag="Det",Flag="Hole"),"",VertexCalc!Xnorm*(Interfaces!Xmirr-VertexCalc!Xmirr)+VertexCalc!Ynorm*(Interfaces!Ymirr-VertexCalc!Ymirr)+VertexCalc!Znorm*(Interfaces!Zmirr-VertexCalc!Zmirr))</f>
      </c>
      <c r="H3" s="45">
        <f>IF(OR(Flag="Ignore",Flag="Det",Flag="Hole"),"",VertexCalc!Xsag*(Interfaces!Xmirr-VertexCalc!Xmirr)+VertexCalc!Ysag*(Interfaces!Ymirr-VertexCalc!Ymirr)+VertexCalc!Zsag*(Interfaces!Zmirr-VertexCalc!Zmirr))</f>
      </c>
      <c r="I3" s="46">
        <f>IF(OR(Flag="Ignore",Flag="Det",Flag="Hole"),"",VertexCalc!Xtang*(Interfaces!Xmirr-VertexCalc!Xmirr)+VertexCalc!Ytang*(Interfaces!Ymirr-VertexCalc!Ymirr)+VertexCalc!Ztang*(Interfaces!Zmirr-VertexCalc!Zmirr))</f>
      </c>
      <c r="J3" s="45">
        <f>IF(OR(Flag="Ignore",Flag="Det",Flag="Hole"),"",VertexCalc!Xnorm*Interfaces!Xnorm+VertexCalc!Ynorm*Interfaces!Ynorm+VertexCalc!Znorm*Interfaces!Znorm)</f>
      </c>
      <c r="K3" s="45">
        <f>IF(OR(Flag="Ignore",Flag="Det",Flag="Hole"),"",VertexCalc!Xsag*Interfaces!Xnorm+VertexCalc!Ysag*Interfaces!Ynorm+VertexCalc!Zsag*Interfaces!Znorm)</f>
      </c>
      <c r="L3" s="45">
        <f>IF(OR(Flag="Ignore",Flag="Det",Flag="Hole"),"",VertexCalc!Xtang*Interfaces!Xnorm+VertexCalc!Ytang*Interfaces!Ynorm+VertexCalc!Ztang*Interfaces!Znorm)</f>
      </c>
      <c r="M3" s="44">
        <f aca="true" t="shared" si="0" ref="M3:M33">IF(OR(Flag="Ignore",Flag="Det",Flag="Hole"),"",Xmirr+SpigLength*Xnorm)</f>
      </c>
      <c r="N3" s="45">
        <f aca="true" t="shared" si="1" ref="N3:N33">IF(OR(Flag="Ignore",Flag="Det",Flag="Hole"),"",Ymirr+SpigLength*Ynorm)</f>
      </c>
      <c r="O3" s="46">
        <f aca="true" t="shared" si="2" ref="O3:O33">IF(OR(Flag="Ignore",Flag="Det",Flag="Hole"),"",Zmirr+SpigLength*Znorm)</f>
      </c>
      <c r="P3" s="45">
        <f>IF(OR(Flag="Ignore",Flag="Det",Flag="Hole"),"",VertexCalc!Xnorm*Interfaces!Xsag+VertexCalc!Ynorm*Interfaces!Ysag+VertexCalc!Znorm*Interfaces!Zsag)</f>
      </c>
      <c r="Q3" s="45">
        <f>IF(OR(Flag="Ignore",Flag="Det",Flag="Hole"),"",VertexCalc!Xsag*Interfaces!Xsag+VertexCalc!Ysag*Interfaces!Ysag+VertexCalc!Zsag*Interfaces!Zsag)</f>
      </c>
      <c r="R3" s="45">
        <f>IF(OR(Flag="Ignore",Flag="Det",Flag="Hole"),"",VertexCalc!Xtang*Interfaces!Xsag+VertexCalc!Ytang*Interfaces!Ysag+VertexCalc!Ztang*Interfaces!Zsag)</f>
      </c>
      <c r="S3" s="44">
        <f aca="true" t="shared" si="3" ref="S3:S33">IF(OR(Flag="Ignore",Flag="Det",Flag="Hole"),"",Xmirr+DowlSep*Xsag)</f>
      </c>
      <c r="T3" s="45">
        <f aca="true" t="shared" si="4" ref="T3:T33">IF(OR(Flag="Ignore",Flag="Det",Flag="Hole"),"",Ymirr+DowlSep*Ysag)</f>
      </c>
      <c r="U3" s="46">
        <f aca="true" t="shared" si="5" ref="U3:U33">IF(OR(Flag="Ignore",Flag="Det",Flag="Hole"),"",Zmirr+DowlSep*Zsag)</f>
      </c>
      <c r="V3" s="20">
        <f aca="true" t="shared" si="6" ref="V3:V33">IF(OR(Flag="Ignore",Flag="Hole",Flag="Det"),"",ACOS(Xsag*Xnorm+Ysag*Ynorm+Zsag*Znorm)*180/PI())</f>
      </c>
    </row>
    <row r="4" spans="3:22" ht="13.5" thickBot="1">
      <c r="C4" s="14"/>
      <c r="D4" s="15" t="s">
        <v>93</v>
      </c>
      <c r="E4" s="15" t="s">
        <v>470</v>
      </c>
      <c r="F4" s="15" t="s">
        <v>110</v>
      </c>
      <c r="G4" s="47">
        <f>IF(OR(Flag="Ignore",Flag="Det",Flag="Hole"),"",VertexCalc!Xnorm*(Interfaces!Xmirr-VertexCalc!Xmirr)+VertexCalc!Ynorm*(Interfaces!Ymirr-VertexCalc!Ymirr)+VertexCalc!Znorm*(Interfaces!Zmirr-VertexCalc!Zmirr))</f>
      </c>
      <c r="H4" s="48">
        <f>IF(OR(Flag="Ignore",Flag="Det",Flag="Hole"),"",VertexCalc!Xsag*(Interfaces!Xmirr-VertexCalc!Xmirr)+VertexCalc!Ysag*(Interfaces!Ymirr-VertexCalc!Ymirr)+VertexCalc!Zsag*(Interfaces!Zmirr-VertexCalc!Zmirr))</f>
      </c>
      <c r="I4" s="49">
        <f>IF(OR(Flag="Ignore",Flag="Det",Flag="Hole"),"",VertexCalc!Xtang*(Interfaces!Xmirr-VertexCalc!Xmirr)+VertexCalc!Ytang*(Interfaces!Ymirr-VertexCalc!Ymirr)+VertexCalc!Ztang*(Interfaces!Zmirr-VertexCalc!Zmirr))</f>
      </c>
      <c r="J4" s="48">
        <f>IF(OR(Flag="Ignore",Flag="Det",Flag="Hole"),"",VertexCalc!Xnorm*Interfaces!Xnorm+VertexCalc!Ynorm*Interfaces!Ynorm+VertexCalc!Znorm*Interfaces!Znorm)</f>
      </c>
      <c r="K4" s="48">
        <f>IF(OR(Flag="Ignore",Flag="Det",Flag="Hole"),"",VertexCalc!Xsag*Interfaces!Xnorm+VertexCalc!Ysag*Interfaces!Ynorm+VertexCalc!Zsag*Interfaces!Znorm)</f>
      </c>
      <c r="L4" s="48">
        <f>IF(OR(Flag="Ignore",Flag="Det",Flag="Hole"),"",VertexCalc!Xtang*Interfaces!Xnorm+VertexCalc!Ytang*Interfaces!Ynorm+VertexCalc!Ztang*Interfaces!Znorm)</f>
      </c>
      <c r="M4" s="47">
        <f t="shared" si="0"/>
      </c>
      <c r="N4" s="48">
        <f t="shared" si="1"/>
      </c>
      <c r="O4" s="49">
        <f t="shared" si="2"/>
      </c>
      <c r="P4" s="48">
        <f>IF(OR(Flag="Ignore",Flag="Det",Flag="Hole"),"",VertexCalc!Xnorm*Interfaces!Xsag+VertexCalc!Ynorm*Interfaces!Ysag+VertexCalc!Znorm*Interfaces!Zsag)</f>
      </c>
      <c r="Q4" s="48">
        <f>IF(OR(Flag="Ignore",Flag="Det",Flag="Hole"),"",VertexCalc!Xsag*Interfaces!Xsag+VertexCalc!Ysag*Interfaces!Ysag+VertexCalc!Zsag*Interfaces!Zsag)</f>
      </c>
      <c r="R4" s="48">
        <f>IF(OR(Flag="Ignore",Flag="Det",Flag="Hole"),"",VertexCalc!Xtang*Interfaces!Xsag+VertexCalc!Ytang*Interfaces!Ysag+VertexCalc!Ztang*Interfaces!Zsag)</f>
      </c>
      <c r="S4" s="47">
        <f t="shared" si="3"/>
      </c>
      <c r="T4" s="48">
        <f t="shared" si="4"/>
      </c>
      <c r="U4" s="49">
        <f t="shared" si="5"/>
      </c>
      <c r="V4" s="20">
        <f t="shared" si="6"/>
      </c>
    </row>
    <row r="5" spans="1:22" ht="12.75">
      <c r="A5" s="19"/>
      <c r="B5" s="19"/>
      <c r="C5" s="18" t="s">
        <v>109</v>
      </c>
      <c r="D5" s="19" t="s">
        <v>94</v>
      </c>
      <c r="E5" s="19" t="s">
        <v>470</v>
      </c>
      <c r="F5" s="19" t="s">
        <v>110</v>
      </c>
      <c r="G5" s="41">
        <f>IF(OR(Flag="Ignore",Flag="Det",Flag="Hole"),"",VertexCalc!Xnorm*(Interfaces!Xmirr-VertexCalc!Xmirr)+VertexCalc!Ynorm*(Interfaces!Ymirr-VertexCalc!Ymirr)+VertexCalc!Znorm*(Interfaces!Zmirr-VertexCalc!Zmirr))</f>
      </c>
      <c r="H5" s="42">
        <f>IF(OR(Flag="Ignore",Flag="Det",Flag="Hole"),"",VertexCalc!Xsag*(Interfaces!Xmirr-VertexCalc!Xmirr)+VertexCalc!Ysag*(Interfaces!Ymirr-VertexCalc!Ymirr)+VertexCalc!Zsag*(Interfaces!Zmirr-VertexCalc!Zmirr))</f>
      </c>
      <c r="I5" s="43">
        <f>IF(OR(Flag="Ignore",Flag="Det",Flag="Hole"),"",VertexCalc!Xtang*(Interfaces!Xmirr-VertexCalc!Xmirr)+VertexCalc!Ytang*(Interfaces!Ymirr-VertexCalc!Ymirr)+VertexCalc!Ztang*(Interfaces!Zmirr-VertexCalc!Zmirr))</f>
      </c>
      <c r="J5" s="42">
        <f>IF(OR(Flag="Ignore",Flag="Det",Flag="Hole"),"",VertexCalc!Xnorm*Interfaces!Xnorm+VertexCalc!Ynorm*Interfaces!Ynorm+VertexCalc!Znorm*Interfaces!Znorm)</f>
      </c>
      <c r="K5" s="42">
        <f>IF(OR(Flag="Ignore",Flag="Det",Flag="Hole"),"",VertexCalc!Xsag*Interfaces!Xnorm+VertexCalc!Ysag*Interfaces!Ynorm+VertexCalc!Zsag*Interfaces!Znorm)</f>
      </c>
      <c r="L5" s="42">
        <f>IF(OR(Flag="Ignore",Flag="Det",Flag="Hole"),"",VertexCalc!Xtang*Interfaces!Xnorm+VertexCalc!Ytang*Interfaces!Ynorm+VertexCalc!Ztang*Interfaces!Znorm)</f>
      </c>
      <c r="M5" s="41">
        <f t="shared" si="0"/>
      </c>
      <c r="N5" s="42">
        <f t="shared" si="1"/>
      </c>
      <c r="O5" s="43">
        <f t="shared" si="2"/>
      </c>
      <c r="P5" s="42">
        <f>IF(OR(Flag="Ignore",Flag="Det",Flag="Hole"),"",VertexCalc!Xnorm*Interfaces!Xsag+VertexCalc!Ynorm*Interfaces!Ysag+VertexCalc!Znorm*Interfaces!Zsag)</f>
      </c>
      <c r="Q5" s="42">
        <f>IF(OR(Flag="Ignore",Flag="Det",Flag="Hole"),"",VertexCalc!Xsag*Interfaces!Xsag+VertexCalc!Ysag*Interfaces!Ysag+VertexCalc!Zsag*Interfaces!Zsag)</f>
      </c>
      <c r="R5" s="42">
        <f>IF(OR(Flag="Ignore",Flag="Det",Flag="Hole"),"",VertexCalc!Xtang*Interfaces!Xsag+VertexCalc!Ytang*Interfaces!Ysag+VertexCalc!Ztang*Interfaces!Zsag)</f>
      </c>
      <c r="S5" s="41">
        <f t="shared" si="3"/>
      </c>
      <c r="T5" s="42">
        <f t="shared" si="4"/>
      </c>
      <c r="U5" s="43">
        <f t="shared" si="5"/>
      </c>
      <c r="V5" s="20">
        <f t="shared" si="6"/>
      </c>
    </row>
    <row r="6" spans="3:22" ht="12.75">
      <c r="C6" s="18"/>
      <c r="D6" s="19" t="s">
        <v>95</v>
      </c>
      <c r="E6" s="19" t="s">
        <v>470</v>
      </c>
      <c r="F6" s="19" t="s">
        <v>110</v>
      </c>
      <c r="G6" s="41">
        <f>IF(OR(Flag="Ignore",Flag="Det",Flag="Hole"),"",VertexCalc!Xnorm*(Interfaces!Xmirr-VertexCalc!Xmirr)+VertexCalc!Ynorm*(Interfaces!Ymirr-VertexCalc!Ymirr)+VertexCalc!Znorm*(Interfaces!Zmirr-VertexCalc!Zmirr))</f>
      </c>
      <c r="H6" s="42">
        <f>IF(OR(Flag="Ignore",Flag="Det",Flag="Hole"),"",VertexCalc!Xsag*(Interfaces!Xmirr-VertexCalc!Xmirr)+VertexCalc!Ysag*(Interfaces!Ymirr-VertexCalc!Ymirr)+VertexCalc!Zsag*(Interfaces!Zmirr-VertexCalc!Zmirr))</f>
      </c>
      <c r="I6" s="43">
        <f>IF(OR(Flag="Ignore",Flag="Det",Flag="Hole"),"",VertexCalc!Xtang*(Interfaces!Xmirr-VertexCalc!Xmirr)+VertexCalc!Ytang*(Interfaces!Ymirr-VertexCalc!Ymirr)+VertexCalc!Ztang*(Interfaces!Zmirr-VertexCalc!Zmirr))</f>
      </c>
      <c r="J6" s="42">
        <f>IF(OR(Flag="Ignore",Flag="Det",Flag="Hole"),"",VertexCalc!Xnorm*Interfaces!Xnorm+VertexCalc!Ynorm*Interfaces!Ynorm+VertexCalc!Znorm*Interfaces!Znorm)</f>
      </c>
      <c r="K6" s="42">
        <f>IF(OR(Flag="Ignore",Flag="Det",Flag="Hole"),"",VertexCalc!Xsag*Interfaces!Xnorm+VertexCalc!Ysag*Interfaces!Ynorm+VertexCalc!Zsag*Interfaces!Znorm)</f>
      </c>
      <c r="L6" s="42">
        <f>IF(OR(Flag="Ignore",Flag="Det",Flag="Hole"),"",VertexCalc!Xtang*Interfaces!Xnorm+VertexCalc!Ytang*Interfaces!Ynorm+VertexCalc!Ztang*Interfaces!Znorm)</f>
      </c>
      <c r="M6" s="41">
        <f t="shared" si="0"/>
      </c>
      <c r="N6" s="42">
        <f t="shared" si="1"/>
      </c>
      <c r="O6" s="43">
        <f t="shared" si="2"/>
      </c>
      <c r="P6" s="42">
        <f>IF(OR(Flag="Ignore",Flag="Det",Flag="Hole"),"",VertexCalc!Xnorm*Interfaces!Xsag+VertexCalc!Ynorm*Interfaces!Ysag+VertexCalc!Znorm*Interfaces!Zsag)</f>
      </c>
      <c r="Q6" s="42">
        <f>IF(OR(Flag="Ignore",Flag="Det",Flag="Hole"),"",VertexCalc!Xsag*Interfaces!Xsag+VertexCalc!Ysag*Interfaces!Ysag+VertexCalc!Zsag*Interfaces!Zsag)</f>
      </c>
      <c r="R6" s="42">
        <f>IF(OR(Flag="Ignore",Flag="Det",Flag="Hole"),"",VertexCalc!Xtang*Interfaces!Xsag+VertexCalc!Ytang*Interfaces!Ysag+VertexCalc!Ztang*Interfaces!Zsag)</f>
      </c>
      <c r="S6" s="41">
        <f t="shared" si="3"/>
      </c>
      <c r="T6" s="42">
        <f t="shared" si="4"/>
      </c>
      <c r="U6" s="43">
        <f t="shared" si="5"/>
      </c>
      <c r="V6" s="20">
        <f t="shared" si="6"/>
      </c>
    </row>
    <row r="7" spans="1:22" ht="12.75">
      <c r="A7" s="1" t="s">
        <v>356</v>
      </c>
      <c r="B7" s="1">
        <v>1</v>
      </c>
      <c r="C7" s="18"/>
      <c r="D7" s="19" t="s">
        <v>97</v>
      </c>
      <c r="E7" s="19" t="s">
        <v>470</v>
      </c>
      <c r="F7" s="19" t="s">
        <v>110</v>
      </c>
      <c r="G7" s="41">
        <f>IF(OR(Flag="Ignore",Flag="Det",Flag="Hole"),"",VertexCalc!Xnorm*(Interfaces!Xmirr-VertexCalc!Xmirr)+VertexCalc!Ynorm*(Interfaces!Ymirr-VertexCalc!Ymirr)+VertexCalc!Znorm*(Interfaces!Zmirr-VertexCalc!Zmirr))</f>
      </c>
      <c r="H7" s="42">
        <f>IF(OR(Flag="Ignore",Flag="Det",Flag="Hole"),"",VertexCalc!Xsag*(Interfaces!Xmirr-VertexCalc!Xmirr)+VertexCalc!Ysag*(Interfaces!Ymirr-VertexCalc!Ymirr)+VertexCalc!Zsag*(Interfaces!Zmirr-VertexCalc!Zmirr))</f>
      </c>
      <c r="I7" s="43">
        <f>IF(OR(Flag="Ignore",Flag="Det",Flag="Hole"),"",VertexCalc!Xtang*(Interfaces!Xmirr-VertexCalc!Xmirr)+VertexCalc!Ytang*(Interfaces!Ymirr-VertexCalc!Ymirr)+VertexCalc!Ztang*(Interfaces!Zmirr-VertexCalc!Zmirr))</f>
      </c>
      <c r="J7" s="42">
        <f>IF(OR(Flag="Ignore",Flag="Det",Flag="Hole"),"",VertexCalc!Xnorm*Interfaces!Xnorm+VertexCalc!Ynorm*Interfaces!Ynorm+VertexCalc!Znorm*Interfaces!Znorm)</f>
      </c>
      <c r="K7" s="42">
        <f>IF(OR(Flag="Ignore",Flag="Det",Flag="Hole"),"",VertexCalc!Xsag*Interfaces!Xnorm+VertexCalc!Ysag*Interfaces!Ynorm+VertexCalc!Zsag*Interfaces!Znorm)</f>
      </c>
      <c r="L7" s="42">
        <f>IF(OR(Flag="Ignore",Flag="Det",Flag="Hole"),"",VertexCalc!Xtang*Interfaces!Xnorm+VertexCalc!Ytang*Interfaces!Ynorm+VertexCalc!Ztang*Interfaces!Znorm)</f>
      </c>
      <c r="M7" s="41">
        <f t="shared" si="0"/>
      </c>
      <c r="N7" s="42">
        <f t="shared" si="1"/>
      </c>
      <c r="O7" s="43">
        <f t="shared" si="2"/>
      </c>
      <c r="P7" s="42">
        <f>IF(OR(Flag="Ignore",Flag="Det",Flag="Hole"),"",VertexCalc!Xnorm*Interfaces!Xsag+VertexCalc!Ynorm*Interfaces!Ysag+VertexCalc!Znorm*Interfaces!Zsag)</f>
      </c>
      <c r="Q7" s="42">
        <f>IF(OR(Flag="Ignore",Flag="Det",Flag="Hole"),"",VertexCalc!Xsag*Interfaces!Xsag+VertexCalc!Ysag*Interfaces!Ysag+VertexCalc!Zsag*Interfaces!Zsag)</f>
      </c>
      <c r="R7" s="42">
        <f>IF(OR(Flag="Ignore",Flag="Det",Flag="Hole"),"",VertexCalc!Xtang*Interfaces!Xsag+VertexCalc!Ytang*Interfaces!Ysag+VertexCalc!Ztang*Interfaces!Zsag)</f>
      </c>
      <c r="S7" s="41">
        <f t="shared" si="3"/>
      </c>
      <c r="T7" s="42">
        <f t="shared" si="4"/>
      </c>
      <c r="U7" s="43">
        <f t="shared" si="5"/>
      </c>
      <c r="V7" s="20">
        <f t="shared" si="6"/>
      </c>
    </row>
    <row r="8" spans="1:22" ht="13.5" thickBot="1">
      <c r="A8" s="1" t="s">
        <v>357</v>
      </c>
      <c r="B8" s="1">
        <v>1</v>
      </c>
      <c r="C8" s="18"/>
      <c r="D8" s="19" t="s">
        <v>98</v>
      </c>
      <c r="E8" s="19" t="s">
        <v>470</v>
      </c>
      <c r="F8" s="19" t="s">
        <v>110</v>
      </c>
      <c r="G8" s="41">
        <f>IF(OR(Flag="Ignore",Flag="Det",Flag="Hole"),"",VertexCalc!Xnorm*(Interfaces!Xmirr-VertexCalc!Xmirr)+VertexCalc!Ynorm*(Interfaces!Ymirr-VertexCalc!Ymirr)+VertexCalc!Znorm*(Interfaces!Zmirr-VertexCalc!Zmirr))</f>
      </c>
      <c r="H8" s="42">
        <f>IF(OR(Flag="Ignore",Flag="Det",Flag="Hole"),"",VertexCalc!Xsag*(Interfaces!Xmirr-VertexCalc!Xmirr)+VertexCalc!Ysag*(Interfaces!Ymirr-VertexCalc!Ymirr)+VertexCalc!Zsag*(Interfaces!Zmirr-VertexCalc!Zmirr))</f>
      </c>
      <c r="I8" s="43">
        <f>IF(OR(Flag="Ignore",Flag="Det",Flag="Hole"),"",VertexCalc!Xtang*(Interfaces!Xmirr-VertexCalc!Xmirr)+VertexCalc!Ytang*(Interfaces!Ymirr-VertexCalc!Ymirr)+VertexCalc!Ztang*(Interfaces!Zmirr-VertexCalc!Zmirr))</f>
      </c>
      <c r="J8" s="42">
        <f>IF(OR(Flag="Ignore",Flag="Det",Flag="Hole"),"",VertexCalc!Xnorm*Interfaces!Xnorm+VertexCalc!Ynorm*Interfaces!Ynorm+VertexCalc!Znorm*Interfaces!Znorm)</f>
      </c>
      <c r="K8" s="42">
        <f>IF(OR(Flag="Ignore",Flag="Det",Flag="Hole"),"",VertexCalc!Xsag*Interfaces!Xnorm+VertexCalc!Ysag*Interfaces!Ynorm+VertexCalc!Zsag*Interfaces!Znorm)</f>
      </c>
      <c r="L8" s="42">
        <f>IF(OR(Flag="Ignore",Flag="Det",Flag="Hole"),"",VertexCalc!Xtang*Interfaces!Xnorm+VertexCalc!Ytang*Interfaces!Ynorm+VertexCalc!Ztang*Interfaces!Znorm)</f>
      </c>
      <c r="M8" s="41">
        <f t="shared" si="0"/>
      </c>
      <c r="N8" s="42">
        <f t="shared" si="1"/>
      </c>
      <c r="O8" s="43">
        <f t="shared" si="2"/>
      </c>
      <c r="P8" s="42">
        <f>IF(OR(Flag="Ignore",Flag="Det",Flag="Hole"),"",VertexCalc!Xnorm*Interfaces!Xsag+VertexCalc!Ynorm*Interfaces!Ysag+VertexCalc!Znorm*Interfaces!Zsag)</f>
      </c>
      <c r="Q8" s="42">
        <f>IF(OR(Flag="Ignore",Flag="Det",Flag="Hole"),"",VertexCalc!Xsag*Interfaces!Xsag+VertexCalc!Ysag*Interfaces!Ysag+VertexCalc!Zsag*Interfaces!Zsag)</f>
      </c>
      <c r="R8" s="42">
        <f>IF(OR(Flag="Ignore",Flag="Det",Flag="Hole"),"",VertexCalc!Xtang*Interfaces!Xsag+VertexCalc!Ytang*Interfaces!Ysag+VertexCalc!Ztang*Interfaces!Zsag)</f>
      </c>
      <c r="S8" s="41">
        <f t="shared" si="3"/>
      </c>
      <c r="T8" s="42">
        <f t="shared" si="4"/>
      </c>
      <c r="U8" s="43">
        <f t="shared" si="5"/>
      </c>
      <c r="V8" s="20">
        <f t="shared" si="6"/>
      </c>
    </row>
    <row r="9" spans="3:22" ht="12.75">
      <c r="C9" s="10" t="s">
        <v>443</v>
      </c>
      <c r="D9" s="11" t="s">
        <v>444</v>
      </c>
      <c r="E9" s="11" t="s">
        <v>470</v>
      </c>
      <c r="F9" s="11"/>
      <c r="G9" s="44">
        <f>IF(OR(Flag="Ignore",Flag="Det",Flag="Hole"),"",VertexCalc!Xnorm*(Interfaces!Xmirr-VertexCalc!Xmirr)+VertexCalc!Ynorm*(Interfaces!Ymirr-VertexCalc!Ymirr)+VertexCalc!Znorm*(Interfaces!Zmirr-VertexCalc!Zmirr))</f>
        <v>0</v>
      </c>
      <c r="H9" s="45">
        <f>IF(OR(Flag="Ignore",Flag="Det",Flag="Hole"),"",VertexCalc!Xsag*(Interfaces!Xmirr-VertexCalc!Xmirr)+VertexCalc!Ysag*(Interfaces!Ymirr-VertexCalc!Ymirr)+VertexCalc!Zsag*(Interfaces!Zmirr-VertexCalc!Zmirr))</f>
        <v>0</v>
      </c>
      <c r="I9" s="46">
        <f>IF(OR(Flag="Ignore",Flag="Det",Flag="Hole"),"",VertexCalc!Xtang*(Interfaces!Xmirr-VertexCalc!Xmirr)+VertexCalc!Ytang*(Interfaces!Ymirr-VertexCalc!Ymirr)+VertexCalc!Ztang*(Interfaces!Zmirr-VertexCalc!Zmirr))</f>
        <v>0</v>
      </c>
      <c r="J9" s="45">
        <f>IF(OR(Flag="Ignore",Flag="Det",Flag="Hole"),"",VertexCalc!Xnorm*Interfaces!Xnorm+VertexCalc!Ynorm*Interfaces!Ynorm+VertexCalc!Znorm*Interfaces!Znorm)</f>
        <v>0.9999999998893909</v>
      </c>
      <c r="K9" s="45">
        <f>IF(OR(Flag="Ignore",Flag="Det",Flag="Hole"),"",VertexCalc!Xsag*Interfaces!Xnorm+VertexCalc!Ysag*Interfaces!Ynorm+VertexCalc!Zsag*Interfaces!Znorm)</f>
        <v>0</v>
      </c>
      <c r="L9" s="45">
        <f>IF(OR(Flag="Ignore",Flag="Det",Flag="Hole"),"",VertexCalc!Xtang*Interfaces!Xnorm+VertexCalc!Ytang*Interfaces!Ynorm+VertexCalc!Ztang*Interfaces!Znorm)</f>
        <v>0</v>
      </c>
      <c r="M9" s="44">
        <f t="shared" si="0"/>
        <v>0.9999999998893909</v>
      </c>
      <c r="N9" s="45">
        <f t="shared" si="1"/>
        <v>0</v>
      </c>
      <c r="O9" s="46">
        <f t="shared" si="2"/>
        <v>0</v>
      </c>
      <c r="P9" s="45">
        <f>IF(OR(Flag="Ignore",Flag="Det",Flag="Hole"),"",VertexCalc!Xnorm*Interfaces!Xsag+VertexCalc!Ynorm*Interfaces!Ysag+VertexCalc!Znorm*Interfaces!Zsag)</f>
        <v>0</v>
      </c>
      <c r="Q9" s="45">
        <f>IF(OR(Flag="Ignore",Flag="Det",Flag="Hole"),"",VertexCalc!Xsag*Interfaces!Xsag+VertexCalc!Ysag*Interfaces!Ysag+VertexCalc!Zsag*Interfaces!Zsag)</f>
        <v>0.9999999999999999</v>
      </c>
      <c r="R9" s="45">
        <f>IF(OR(Flag="Ignore",Flag="Det",Flag="Hole"),"",VertexCalc!Xtang*Interfaces!Xsag+VertexCalc!Ytang*Interfaces!Ysag+VertexCalc!Ztang*Interfaces!Zsag)</f>
        <v>-5.551115123125783E-17</v>
      </c>
      <c r="S9" s="44">
        <f t="shared" si="3"/>
        <v>0</v>
      </c>
      <c r="T9" s="45">
        <f t="shared" si="4"/>
        <v>0.9999999999999999</v>
      </c>
      <c r="U9" s="46">
        <f t="shared" si="5"/>
        <v>-5.551115123125783E-17</v>
      </c>
      <c r="V9" s="20">
        <f t="shared" si="6"/>
        <v>90</v>
      </c>
    </row>
    <row r="10" spans="3:22" ht="12.75">
      <c r="C10" s="18"/>
      <c r="D10" s="19" t="s">
        <v>445</v>
      </c>
      <c r="E10" s="19" t="s">
        <v>470</v>
      </c>
      <c r="F10" s="19" t="s">
        <v>144</v>
      </c>
      <c r="G10" s="41">
        <f>IF(OR(Flag="Ignore",Flag="Det",Flag="Hole"),"",VertexCalc!Xnorm*(Interfaces!Xmirr-VertexCalc!Xmirr)+VertexCalc!Ynorm*(Interfaces!Ymirr-VertexCalc!Ymirr)+VertexCalc!Znorm*(Interfaces!Zmirr-VertexCalc!Zmirr))</f>
      </c>
      <c r="H10" s="42">
        <f>IF(OR(Flag="Ignore",Flag="Det",Flag="Hole"),"",VertexCalc!Xsag*(Interfaces!Xmirr-VertexCalc!Xmirr)+VertexCalc!Ysag*(Interfaces!Ymirr-VertexCalc!Ymirr)+VertexCalc!Zsag*(Interfaces!Zmirr-VertexCalc!Zmirr))</f>
      </c>
      <c r="I10" s="43">
        <f>IF(OR(Flag="Ignore",Flag="Det",Flag="Hole"),"",VertexCalc!Xtang*(Interfaces!Xmirr-VertexCalc!Xmirr)+VertexCalc!Ytang*(Interfaces!Ymirr-VertexCalc!Ymirr)+VertexCalc!Ztang*(Interfaces!Zmirr-VertexCalc!Zmirr))</f>
      </c>
      <c r="J10" s="42">
        <f>IF(OR(Flag="Ignore",Flag="Det",Flag="Hole"),"",VertexCalc!Xnorm*Interfaces!Xnorm+VertexCalc!Ynorm*Interfaces!Ynorm+VertexCalc!Znorm*Interfaces!Znorm)</f>
      </c>
      <c r="K10" s="42">
        <f>IF(OR(Flag="Ignore",Flag="Det",Flag="Hole"),"",VertexCalc!Xsag*Interfaces!Xnorm+VertexCalc!Ysag*Interfaces!Ynorm+VertexCalc!Zsag*Interfaces!Znorm)</f>
      </c>
      <c r="L10" s="42">
        <f>IF(OR(Flag="Ignore",Flag="Det",Flag="Hole"),"",VertexCalc!Xtang*Interfaces!Xnorm+VertexCalc!Ytang*Interfaces!Ynorm+VertexCalc!Ztang*Interfaces!Znorm)</f>
      </c>
      <c r="M10" s="41">
        <f t="shared" si="0"/>
      </c>
      <c r="N10" s="42">
        <f t="shared" si="1"/>
      </c>
      <c r="O10" s="43">
        <f t="shared" si="2"/>
      </c>
      <c r="P10" s="42">
        <f>IF(OR(Flag="Ignore",Flag="Det",Flag="Hole"),"",VertexCalc!Xnorm*Interfaces!Xsag+VertexCalc!Ynorm*Interfaces!Ysag+VertexCalc!Znorm*Interfaces!Zsag)</f>
      </c>
      <c r="Q10" s="42">
        <f>IF(OR(Flag="Ignore",Flag="Det",Flag="Hole"),"",VertexCalc!Xsag*Interfaces!Xsag+VertexCalc!Ysag*Interfaces!Ysag+VertexCalc!Zsag*Interfaces!Zsag)</f>
      </c>
      <c r="R10" s="42">
        <f>IF(OR(Flag="Ignore",Flag="Det",Flag="Hole"),"",VertexCalc!Xtang*Interfaces!Xsag+VertexCalc!Ytang*Interfaces!Ysag+VertexCalc!Ztang*Interfaces!Zsag)</f>
      </c>
      <c r="S10" s="41">
        <f t="shared" si="3"/>
      </c>
      <c r="T10" s="42">
        <f t="shared" si="4"/>
      </c>
      <c r="U10" s="43">
        <f t="shared" si="5"/>
      </c>
      <c r="V10" s="20">
        <f t="shared" si="6"/>
      </c>
    </row>
    <row r="11" spans="3:22" ht="12.75">
      <c r="C11" s="18"/>
      <c r="D11" s="19" t="s">
        <v>446</v>
      </c>
      <c r="E11" s="19" t="s">
        <v>470</v>
      </c>
      <c r="F11" s="19"/>
      <c r="G11" s="41">
        <f>IF(OR(Flag="Ignore",Flag="Det",Flag="Hole"),"",VertexCalc!Xnorm*(Interfaces!Xmirr-VertexCalc!Xmirr)+VertexCalc!Ynorm*(Interfaces!Ymirr-VertexCalc!Ymirr)+VertexCalc!Znorm*(Interfaces!Zmirr-VertexCalc!Zmirr))</f>
        <v>0</v>
      </c>
      <c r="H11" s="42">
        <f>IF(OR(Flag="Ignore",Flag="Det",Flag="Hole"),"",VertexCalc!Xsag*(Interfaces!Xmirr-VertexCalc!Xmirr)+VertexCalc!Ysag*(Interfaces!Ymirr-VertexCalc!Ymirr)+VertexCalc!Zsag*(Interfaces!Zmirr-VertexCalc!Zmirr))</f>
        <v>0</v>
      </c>
      <c r="I11" s="43">
        <f>IF(OR(Flag="Ignore",Flag="Det",Flag="Hole"),"",VertexCalc!Xtang*(Interfaces!Xmirr-VertexCalc!Xmirr)+VertexCalc!Ytang*(Interfaces!Ymirr-VertexCalc!Ymirr)+VertexCalc!Ztang*(Interfaces!Zmirr-VertexCalc!Zmirr))</f>
        <v>0</v>
      </c>
      <c r="J11" s="42">
        <f>IF(OR(Flag="Ignore",Flag="Det",Flag="Hole"),"",VertexCalc!Xnorm*Interfaces!Xnorm+VertexCalc!Ynorm*Interfaces!Ynorm+VertexCalc!Znorm*Interfaces!Znorm)</f>
        <v>0.9999999999999958</v>
      </c>
      <c r="K11" s="42">
        <f>IF(OR(Flag="Ignore",Flag="Det",Flag="Hole"),"",VertexCalc!Xsag*Interfaces!Xnorm+VertexCalc!Ysag*Interfaces!Ynorm+VertexCalc!Zsag*Interfaces!Znorm)</f>
        <v>-1.1102230246251565E-16</v>
      </c>
      <c r="L11" s="42">
        <f>IF(OR(Flag="Ignore",Flag="Det",Flag="Hole"),"",VertexCalc!Xtang*Interfaces!Xnorm+VertexCalc!Ytang*Interfaces!Ynorm+VertexCalc!Ztang*Interfaces!Znorm)</f>
        <v>1.3877787807814457E-16</v>
      </c>
      <c r="M11" s="41">
        <f t="shared" si="0"/>
        <v>0.9999999999999958</v>
      </c>
      <c r="N11" s="42">
        <f t="shared" si="1"/>
        <v>-1.1102230246251565E-16</v>
      </c>
      <c r="O11" s="43">
        <f t="shared" si="2"/>
        <v>1.3877787807814457E-16</v>
      </c>
      <c r="P11" s="42">
        <f>IF(OR(Flag="Ignore",Flag="Det",Flag="Hole"),"",VertexCalc!Xnorm*Interfaces!Xsag+VertexCalc!Ynorm*Interfaces!Ysag+VertexCalc!Znorm*Interfaces!Zsag)</f>
        <v>-2.7755575615628914E-17</v>
      </c>
      <c r="Q11" s="42">
        <f>IF(OR(Flag="Ignore",Flag="Det",Flag="Hole"),"",VertexCalc!Xsag*Interfaces!Xsag+VertexCalc!Ysag*Interfaces!Ysag+VertexCalc!Zsag*Interfaces!Zsag)</f>
        <v>0.9999999999999998</v>
      </c>
      <c r="R11" s="42">
        <f>IF(OR(Flag="Ignore",Flag="Det",Flag="Hole"),"",VertexCalc!Xtang*Interfaces!Xsag+VertexCalc!Ytang*Interfaces!Ysag+VertexCalc!Ztang*Interfaces!Zsag)</f>
        <v>5.551115123125783E-17</v>
      </c>
      <c r="S11" s="41">
        <f t="shared" si="3"/>
        <v>-2.7755575615628914E-17</v>
      </c>
      <c r="T11" s="42">
        <f t="shared" si="4"/>
        <v>0.9999999999999998</v>
      </c>
      <c r="U11" s="43">
        <f t="shared" si="5"/>
        <v>5.551115123125783E-17</v>
      </c>
      <c r="V11" s="20">
        <f t="shared" si="6"/>
        <v>90.00000000000001</v>
      </c>
    </row>
    <row r="12" spans="3:22" ht="13.5" thickBot="1">
      <c r="C12" s="14"/>
      <c r="D12" s="15" t="s">
        <v>447</v>
      </c>
      <c r="E12" s="15" t="s">
        <v>470</v>
      </c>
      <c r="F12" s="15"/>
      <c r="G12" s="47">
        <f>IF(OR(Flag="Ignore",Flag="Det",Flag="Hole"),"",VertexCalc!Xnorm*(Interfaces!Xmirr-VertexCalc!Xmirr)+VertexCalc!Ynorm*(Interfaces!Ymirr-VertexCalc!Ymirr)+VertexCalc!Znorm*(Interfaces!Zmirr-VertexCalc!Zmirr))</f>
        <v>0</v>
      </c>
      <c r="H12" s="48">
        <f>IF(OR(Flag="Ignore",Flag="Det",Flag="Hole"),"",VertexCalc!Xsag*(Interfaces!Xmirr-VertexCalc!Xmirr)+VertexCalc!Ysag*(Interfaces!Ymirr-VertexCalc!Ymirr)+VertexCalc!Zsag*(Interfaces!Zmirr-VertexCalc!Zmirr))</f>
        <v>0</v>
      </c>
      <c r="I12" s="49">
        <f>IF(OR(Flag="Ignore",Flag="Det",Flag="Hole"),"",VertexCalc!Xtang*(Interfaces!Xmirr-VertexCalc!Xmirr)+VertexCalc!Ytang*(Interfaces!Ymirr-VertexCalc!Ymirr)+VertexCalc!Ztang*(Interfaces!Zmirr-VertexCalc!Zmirr))</f>
        <v>0</v>
      </c>
      <c r="J12" s="48">
        <f>IF(OR(Flag="Ignore",Flag="Det",Flag="Hole"),"",VertexCalc!Xnorm*Interfaces!Xnorm+VertexCalc!Ynorm*Interfaces!Ynorm+VertexCalc!Znorm*Interfaces!Znorm)</f>
        <v>0.9999999998729162</v>
      </c>
      <c r="K12" s="48">
        <f>IF(OR(Flag="Ignore",Flag="Det",Flag="Hole"),"",VertexCalc!Xsag*Interfaces!Xnorm+VertexCalc!Ysag*Interfaces!Ynorm+VertexCalc!Zsag*Interfaces!Znorm)</f>
        <v>0</v>
      </c>
      <c r="L12" s="48">
        <f>IF(OR(Flag="Ignore",Flag="Det",Flag="Hole"),"",VertexCalc!Xtang*Interfaces!Xnorm+VertexCalc!Ytang*Interfaces!Ynorm+VertexCalc!Ztang*Interfaces!Znorm)</f>
        <v>0</v>
      </c>
      <c r="M12" s="47">
        <f t="shared" si="0"/>
        <v>0.9999999998729162</v>
      </c>
      <c r="N12" s="48">
        <f t="shared" si="1"/>
        <v>0</v>
      </c>
      <c r="O12" s="49">
        <f t="shared" si="2"/>
        <v>0</v>
      </c>
      <c r="P12" s="48">
        <f>IF(OR(Flag="Ignore",Flag="Det",Flag="Hole"),"",VertexCalc!Xnorm*Interfaces!Xsag+VertexCalc!Ynorm*Interfaces!Ysag+VertexCalc!Znorm*Interfaces!Zsag)</f>
        <v>0</v>
      </c>
      <c r="Q12" s="48">
        <f>IF(OR(Flag="Ignore",Flag="Det",Flag="Hole"),"",VertexCalc!Xsag*Interfaces!Xsag+VertexCalc!Ysag*Interfaces!Ysag+VertexCalc!Zsag*Interfaces!Zsag)</f>
        <v>0.9999999999999999</v>
      </c>
      <c r="R12" s="48">
        <f>IF(OR(Flag="Ignore",Flag="Det",Flag="Hole"),"",VertexCalc!Xtang*Interfaces!Xsag+VertexCalc!Ytang*Interfaces!Ysag+VertexCalc!Ztang*Interfaces!Zsag)</f>
        <v>-1.3877787807814457E-17</v>
      </c>
      <c r="S12" s="47">
        <f t="shared" si="3"/>
        <v>0</v>
      </c>
      <c r="T12" s="48">
        <f t="shared" si="4"/>
        <v>0.9999999999999999</v>
      </c>
      <c r="U12" s="49">
        <f t="shared" si="5"/>
        <v>-1.3877787807814457E-17</v>
      </c>
      <c r="V12" s="20">
        <f t="shared" si="6"/>
        <v>90</v>
      </c>
    </row>
    <row r="13" spans="3:22" ht="12.75">
      <c r="C13" s="10" t="s">
        <v>449</v>
      </c>
      <c r="D13" s="11" t="s">
        <v>448</v>
      </c>
      <c r="E13" s="11" t="s">
        <v>470</v>
      </c>
      <c r="F13" s="11"/>
      <c r="G13" s="44" t="e">
        <f>IF(OR(Flag="Ignore",Flag="Det",Flag="Hole"),"",VertexCalc!Xnorm*(Interfaces!Xmirr-VertexCalc!Xmirr)+VertexCalc!Ynorm*(Interfaces!Ymirr-VertexCalc!Ymirr)+VertexCalc!Znorm*(Interfaces!Zmirr-VertexCalc!Zmirr))</f>
        <v>#VALUE!</v>
      </c>
      <c r="H13" s="45" t="e">
        <f>IF(OR(Flag="Ignore",Flag="Det",Flag="Hole"),"",VertexCalc!Xsag*(Interfaces!Xmirr-VertexCalc!Xmirr)+VertexCalc!Ysag*(Interfaces!Ymirr-VertexCalc!Ymirr)+VertexCalc!Zsag*(Interfaces!Zmirr-VertexCalc!Zmirr))</f>
        <v>#VALUE!</v>
      </c>
      <c r="I13" s="46" t="e">
        <f>IF(OR(Flag="Ignore",Flag="Det",Flag="Hole"),"",VertexCalc!Xtang*(Interfaces!Xmirr-VertexCalc!Xmirr)+VertexCalc!Ytang*(Interfaces!Ymirr-VertexCalc!Ymirr)+VertexCalc!Ztang*(Interfaces!Zmirr-VertexCalc!Zmirr))</f>
        <v>#VALUE!</v>
      </c>
      <c r="J13" s="45" t="e">
        <f>IF(OR(Flag="Ignore",Flag="Det",Flag="Hole"),"",VertexCalc!Xnorm*Interfaces!Xnorm+VertexCalc!Ynorm*Interfaces!Ynorm+VertexCalc!Znorm*Interfaces!Znorm)</f>
        <v>#VALUE!</v>
      </c>
      <c r="K13" s="45" t="e">
        <f>IF(OR(Flag="Ignore",Flag="Det",Flag="Hole"),"",VertexCalc!Xsag*Interfaces!Xnorm+VertexCalc!Ysag*Interfaces!Ynorm+VertexCalc!Zsag*Interfaces!Znorm)</f>
        <v>#VALUE!</v>
      </c>
      <c r="L13" s="45" t="e">
        <f>IF(OR(Flag="Ignore",Flag="Det",Flag="Hole"),"",VertexCalc!Xtang*Interfaces!Xnorm+VertexCalc!Ytang*Interfaces!Ynorm+VertexCalc!Ztang*Interfaces!Znorm)</f>
        <v>#VALUE!</v>
      </c>
      <c r="M13" s="44" t="e">
        <f t="shared" si="0"/>
        <v>#VALUE!</v>
      </c>
      <c r="N13" s="45" t="e">
        <f t="shared" si="1"/>
        <v>#VALUE!</v>
      </c>
      <c r="O13" s="46" t="e">
        <f t="shared" si="2"/>
        <v>#VALUE!</v>
      </c>
      <c r="P13" s="45" t="e">
        <f>IF(OR(Flag="Ignore",Flag="Det",Flag="Hole"),"",VertexCalc!Xnorm*Interfaces!Xsag+VertexCalc!Ynorm*Interfaces!Ysag+VertexCalc!Znorm*Interfaces!Zsag)</f>
        <v>#VALUE!</v>
      </c>
      <c r="Q13" s="45" t="e">
        <f>IF(OR(Flag="Ignore",Flag="Det",Flag="Hole"),"",VertexCalc!Xsag*Interfaces!Xsag+VertexCalc!Ysag*Interfaces!Ysag+VertexCalc!Zsag*Interfaces!Zsag)</f>
        <v>#VALUE!</v>
      </c>
      <c r="R13" s="45" t="e">
        <f>IF(OR(Flag="Ignore",Flag="Det",Flag="Hole"),"",VertexCalc!Xtang*Interfaces!Xsag+VertexCalc!Ytang*Interfaces!Ysag+VertexCalc!Ztang*Interfaces!Zsag)</f>
        <v>#VALUE!</v>
      </c>
      <c r="S13" s="44" t="e">
        <f t="shared" si="3"/>
        <v>#VALUE!</v>
      </c>
      <c r="T13" s="45" t="e">
        <f t="shared" si="4"/>
        <v>#VALUE!</v>
      </c>
      <c r="U13" s="46" t="e">
        <f t="shared" si="5"/>
        <v>#VALUE!</v>
      </c>
      <c r="V13" s="20" t="e">
        <f t="shared" si="6"/>
        <v>#VALUE!</v>
      </c>
    </row>
    <row r="14" spans="3:22" ht="12.75">
      <c r="C14" s="18"/>
      <c r="D14" s="19" t="s">
        <v>450</v>
      </c>
      <c r="E14" s="19" t="s">
        <v>470</v>
      </c>
      <c r="F14" s="19"/>
      <c r="G14" s="41">
        <f>IF(OR(Flag="Ignore",Flag="Det",Flag="Hole"),"",VertexCalc!Xnorm*(Interfaces!Xmirr-VertexCalc!Xmirr)+VertexCalc!Ynorm*(Interfaces!Ymirr-VertexCalc!Ymirr)+VertexCalc!Znorm*(Interfaces!Zmirr-VertexCalc!Zmirr))</f>
        <v>0</v>
      </c>
      <c r="H14" s="42">
        <f>IF(OR(Flag="Ignore",Flag="Det",Flag="Hole"),"",VertexCalc!Xsag*(Interfaces!Xmirr-VertexCalc!Xmirr)+VertexCalc!Ysag*(Interfaces!Ymirr-VertexCalc!Ymirr)+VertexCalc!Zsag*(Interfaces!Zmirr-VertexCalc!Zmirr))</f>
        <v>0</v>
      </c>
      <c r="I14" s="43">
        <f>IF(OR(Flag="Ignore",Flag="Det",Flag="Hole"),"",VertexCalc!Xtang*(Interfaces!Xmirr-VertexCalc!Xmirr)+VertexCalc!Ytang*(Interfaces!Ymirr-VertexCalc!Ymirr)+VertexCalc!Ztang*(Interfaces!Zmirr-VertexCalc!Zmirr))</f>
        <v>0</v>
      </c>
      <c r="J14" s="42">
        <f>IF(OR(Flag="Ignore",Flag="Det",Flag="Hole"),"",VertexCalc!Xnorm*Interfaces!Xnorm+VertexCalc!Ynorm*Interfaces!Ynorm+VertexCalc!Znorm*Interfaces!Znorm)</f>
        <v>0.9999999999510673</v>
      </c>
      <c r="K14" s="42">
        <f>IF(OR(Flag="Ignore",Flag="Det",Flag="Hole"),"",VertexCalc!Xsag*Interfaces!Xnorm+VertexCalc!Ysag*Interfaces!Ynorm+VertexCalc!Zsag*Interfaces!Znorm)</f>
        <v>0</v>
      </c>
      <c r="L14" s="42">
        <f>IF(OR(Flag="Ignore",Flag="Det",Flag="Hole"),"",VertexCalc!Xtang*Interfaces!Xnorm+VertexCalc!Ytang*Interfaces!Ynorm+VertexCalc!Ztang*Interfaces!Znorm)</f>
        <v>-2.7755575615628914E-17</v>
      </c>
      <c r="M14" s="41">
        <f t="shared" si="0"/>
        <v>0.9999999999510673</v>
      </c>
      <c r="N14" s="42">
        <f t="shared" si="1"/>
        <v>0</v>
      </c>
      <c r="O14" s="43">
        <f t="shared" si="2"/>
        <v>-2.7755575615628914E-17</v>
      </c>
      <c r="P14" s="42">
        <f>IF(OR(Flag="Ignore",Flag="Det",Flag="Hole"),"",VertexCalc!Xnorm*Interfaces!Xsag+VertexCalc!Ynorm*Interfaces!Ysag+VertexCalc!Znorm*Interfaces!Zsag)</f>
        <v>0</v>
      </c>
      <c r="Q14" s="42">
        <f>IF(OR(Flag="Ignore",Flag="Det",Flag="Hole"),"",VertexCalc!Xsag*Interfaces!Xsag+VertexCalc!Ysag*Interfaces!Ysag+VertexCalc!Zsag*Interfaces!Zsag)</f>
        <v>1</v>
      </c>
      <c r="R14" s="42">
        <f>IF(OR(Flag="Ignore",Flag="Det",Flag="Hole"),"",VertexCalc!Xtang*Interfaces!Xsag+VertexCalc!Ytang*Interfaces!Ysag+VertexCalc!Ztang*Interfaces!Zsag)</f>
        <v>0</v>
      </c>
      <c r="S14" s="41">
        <f t="shared" si="3"/>
        <v>0</v>
      </c>
      <c r="T14" s="42">
        <f t="shared" si="4"/>
        <v>1</v>
      </c>
      <c r="U14" s="43">
        <f t="shared" si="5"/>
        <v>0</v>
      </c>
      <c r="V14" s="20">
        <f t="shared" si="6"/>
        <v>90</v>
      </c>
    </row>
    <row r="15" spans="3:22" ht="12.75">
      <c r="C15" s="18"/>
      <c r="D15" s="19" t="s">
        <v>451</v>
      </c>
      <c r="E15" s="19" t="s">
        <v>470</v>
      </c>
      <c r="F15" s="19"/>
      <c r="G15" s="41" t="e">
        <f>IF(OR(Flag="Ignore",Flag="Det",Flag="Hole"),"",VertexCalc!Xnorm*(Interfaces!Xmirr-VertexCalc!Xmirr)+VertexCalc!Ynorm*(Interfaces!Ymirr-VertexCalc!Ymirr)+VertexCalc!Znorm*(Interfaces!Zmirr-VertexCalc!Zmirr))</f>
        <v>#VALUE!</v>
      </c>
      <c r="H15" s="42" t="e">
        <f>IF(OR(Flag="Ignore",Flag="Det",Flag="Hole"),"",VertexCalc!Xsag*(Interfaces!Xmirr-VertexCalc!Xmirr)+VertexCalc!Ysag*(Interfaces!Ymirr-VertexCalc!Ymirr)+VertexCalc!Zsag*(Interfaces!Zmirr-VertexCalc!Zmirr))</f>
        <v>#VALUE!</v>
      </c>
      <c r="I15" s="43" t="e">
        <f>IF(OR(Flag="Ignore",Flag="Det",Flag="Hole"),"",VertexCalc!Xtang*(Interfaces!Xmirr-VertexCalc!Xmirr)+VertexCalc!Ytang*(Interfaces!Ymirr-VertexCalc!Ymirr)+VertexCalc!Ztang*(Interfaces!Zmirr-VertexCalc!Zmirr))</f>
        <v>#VALUE!</v>
      </c>
      <c r="J15" s="42" t="e">
        <f>IF(OR(Flag="Ignore",Flag="Det",Flag="Hole"),"",VertexCalc!Xnorm*Interfaces!Xnorm+VertexCalc!Ynorm*Interfaces!Ynorm+VertexCalc!Znorm*Interfaces!Znorm)</f>
        <v>#VALUE!</v>
      </c>
      <c r="K15" s="42" t="e">
        <f>IF(OR(Flag="Ignore",Flag="Det",Flag="Hole"),"",VertexCalc!Xsag*Interfaces!Xnorm+VertexCalc!Ysag*Interfaces!Ynorm+VertexCalc!Zsag*Interfaces!Znorm)</f>
        <v>#VALUE!</v>
      </c>
      <c r="L15" s="42" t="e">
        <f>IF(OR(Flag="Ignore",Flag="Det",Flag="Hole"),"",VertexCalc!Xtang*Interfaces!Xnorm+VertexCalc!Ytang*Interfaces!Ynorm+VertexCalc!Ztang*Interfaces!Znorm)</f>
        <v>#VALUE!</v>
      </c>
      <c r="M15" s="41" t="e">
        <f t="shared" si="0"/>
        <v>#VALUE!</v>
      </c>
      <c r="N15" s="42" t="e">
        <f t="shared" si="1"/>
        <v>#VALUE!</v>
      </c>
      <c r="O15" s="43" t="e">
        <f t="shared" si="2"/>
        <v>#VALUE!</v>
      </c>
      <c r="P15" s="42" t="e">
        <f>IF(OR(Flag="Ignore",Flag="Det",Flag="Hole"),"",VertexCalc!Xnorm*Interfaces!Xsag+VertexCalc!Ynorm*Interfaces!Ysag+VertexCalc!Znorm*Interfaces!Zsag)</f>
        <v>#VALUE!</v>
      </c>
      <c r="Q15" s="42" t="e">
        <f>IF(OR(Flag="Ignore",Flag="Det",Flag="Hole"),"",VertexCalc!Xsag*Interfaces!Xsag+VertexCalc!Ysag*Interfaces!Ysag+VertexCalc!Zsag*Interfaces!Zsag)</f>
        <v>#VALUE!</v>
      </c>
      <c r="R15" s="42" t="e">
        <f>IF(OR(Flag="Ignore",Flag="Det",Flag="Hole"),"",VertexCalc!Xtang*Interfaces!Xsag+VertexCalc!Ytang*Interfaces!Ysag+VertexCalc!Ztang*Interfaces!Zsag)</f>
        <v>#VALUE!</v>
      </c>
      <c r="S15" s="41" t="e">
        <f t="shared" si="3"/>
        <v>#VALUE!</v>
      </c>
      <c r="T15" s="42" t="e">
        <f t="shared" si="4"/>
        <v>#VALUE!</v>
      </c>
      <c r="U15" s="43" t="e">
        <f t="shared" si="5"/>
        <v>#VALUE!</v>
      </c>
      <c r="V15" s="20" t="e">
        <f t="shared" si="6"/>
        <v>#VALUE!</v>
      </c>
    </row>
    <row r="16" spans="3:22" ht="12.75">
      <c r="C16" s="18"/>
      <c r="D16" s="19" t="s">
        <v>452</v>
      </c>
      <c r="E16" s="19" t="s">
        <v>470</v>
      </c>
      <c r="F16" s="19"/>
      <c r="G16" s="41" t="e">
        <f>IF(OR(Flag="Ignore",Flag="Det",Flag="Hole"),"",VertexCalc!Xnorm*(Interfaces!Xmirr-VertexCalc!Xmirr)+VertexCalc!Ynorm*(Interfaces!Ymirr-VertexCalc!Ymirr)+VertexCalc!Znorm*(Interfaces!Zmirr-VertexCalc!Zmirr))</f>
        <v>#VALUE!</v>
      </c>
      <c r="H16" s="42" t="e">
        <f>IF(OR(Flag="Ignore",Flag="Det",Flag="Hole"),"",VertexCalc!Xsag*(Interfaces!Xmirr-VertexCalc!Xmirr)+VertexCalc!Ysag*(Interfaces!Ymirr-VertexCalc!Ymirr)+VertexCalc!Zsag*(Interfaces!Zmirr-VertexCalc!Zmirr))</f>
        <v>#VALUE!</v>
      </c>
      <c r="I16" s="43" t="e">
        <f>IF(OR(Flag="Ignore",Flag="Det",Flag="Hole"),"",VertexCalc!Xtang*(Interfaces!Xmirr-VertexCalc!Xmirr)+VertexCalc!Ytang*(Interfaces!Ymirr-VertexCalc!Ymirr)+VertexCalc!Ztang*(Interfaces!Zmirr-VertexCalc!Zmirr))</f>
        <v>#VALUE!</v>
      </c>
      <c r="J16" s="42" t="e">
        <f>IF(OR(Flag="Ignore",Flag="Det",Flag="Hole"),"",VertexCalc!Xnorm*Interfaces!Xnorm+VertexCalc!Ynorm*Interfaces!Ynorm+VertexCalc!Znorm*Interfaces!Znorm)</f>
        <v>#VALUE!</v>
      </c>
      <c r="K16" s="42" t="e">
        <f>IF(OR(Flag="Ignore",Flag="Det",Flag="Hole"),"",VertexCalc!Xsag*Interfaces!Xnorm+VertexCalc!Ysag*Interfaces!Ynorm+VertexCalc!Zsag*Interfaces!Znorm)</f>
        <v>#VALUE!</v>
      </c>
      <c r="L16" s="42" t="e">
        <f>IF(OR(Flag="Ignore",Flag="Det",Flag="Hole"),"",VertexCalc!Xtang*Interfaces!Xnorm+VertexCalc!Ytang*Interfaces!Ynorm+VertexCalc!Ztang*Interfaces!Znorm)</f>
        <v>#VALUE!</v>
      </c>
      <c r="M16" s="41" t="e">
        <f t="shared" si="0"/>
        <v>#VALUE!</v>
      </c>
      <c r="N16" s="42" t="e">
        <f t="shared" si="1"/>
        <v>#VALUE!</v>
      </c>
      <c r="O16" s="43" t="e">
        <f t="shared" si="2"/>
        <v>#VALUE!</v>
      </c>
      <c r="P16" s="42" t="e">
        <f>IF(OR(Flag="Ignore",Flag="Det",Flag="Hole"),"",VertexCalc!Xnorm*Interfaces!Xsag+VertexCalc!Ynorm*Interfaces!Ysag+VertexCalc!Znorm*Interfaces!Zsag)</f>
        <v>#VALUE!</v>
      </c>
      <c r="Q16" s="42" t="e">
        <f>IF(OR(Flag="Ignore",Flag="Det",Flag="Hole"),"",VertexCalc!Xsag*Interfaces!Xsag+VertexCalc!Ysag*Interfaces!Ysag+VertexCalc!Zsag*Interfaces!Zsag)</f>
        <v>#VALUE!</v>
      </c>
      <c r="R16" s="42" t="e">
        <f>IF(OR(Flag="Ignore",Flag="Det",Flag="Hole"),"",VertexCalc!Xtang*Interfaces!Xsag+VertexCalc!Ytang*Interfaces!Ysag+VertexCalc!Ztang*Interfaces!Zsag)</f>
        <v>#VALUE!</v>
      </c>
      <c r="S16" s="41" t="e">
        <f t="shared" si="3"/>
        <v>#VALUE!</v>
      </c>
      <c r="T16" s="42" t="e">
        <f t="shared" si="4"/>
        <v>#VALUE!</v>
      </c>
      <c r="U16" s="43" t="e">
        <f t="shared" si="5"/>
        <v>#VALUE!</v>
      </c>
      <c r="V16" s="20" t="e">
        <f t="shared" si="6"/>
        <v>#VALUE!</v>
      </c>
    </row>
    <row r="17" spans="3:22" ht="12.75">
      <c r="C17" s="18"/>
      <c r="D17" s="19" t="s">
        <v>453</v>
      </c>
      <c r="E17" s="19" t="s">
        <v>470</v>
      </c>
      <c r="F17" s="19"/>
      <c r="G17" s="41" t="e">
        <f>IF(OR(Flag="Ignore",Flag="Det",Flag="Hole"),"",VertexCalc!Xnorm*(Interfaces!Xmirr-VertexCalc!Xmirr)+VertexCalc!Ynorm*(Interfaces!Ymirr-VertexCalc!Ymirr)+VertexCalc!Znorm*(Interfaces!Zmirr-VertexCalc!Zmirr))</f>
        <v>#VALUE!</v>
      </c>
      <c r="H17" s="42" t="e">
        <f>IF(OR(Flag="Ignore",Flag="Det",Flag="Hole"),"",VertexCalc!Xsag*(Interfaces!Xmirr-VertexCalc!Xmirr)+VertexCalc!Ysag*(Interfaces!Ymirr-VertexCalc!Ymirr)+VertexCalc!Zsag*(Interfaces!Zmirr-VertexCalc!Zmirr))</f>
        <v>#VALUE!</v>
      </c>
      <c r="I17" s="43" t="e">
        <f>IF(OR(Flag="Ignore",Flag="Det",Flag="Hole"),"",VertexCalc!Xtang*(Interfaces!Xmirr-VertexCalc!Xmirr)+VertexCalc!Ytang*(Interfaces!Ymirr-VertexCalc!Ymirr)+VertexCalc!Ztang*(Interfaces!Zmirr-VertexCalc!Zmirr))</f>
        <v>#VALUE!</v>
      </c>
      <c r="J17" s="42" t="e">
        <f>IF(OR(Flag="Ignore",Flag="Det",Flag="Hole"),"",VertexCalc!Xnorm*Interfaces!Xnorm+VertexCalc!Ynorm*Interfaces!Ynorm+VertexCalc!Znorm*Interfaces!Znorm)</f>
        <v>#VALUE!</v>
      </c>
      <c r="K17" s="42" t="e">
        <f>IF(OR(Flag="Ignore",Flag="Det",Flag="Hole"),"",VertexCalc!Xsag*Interfaces!Xnorm+VertexCalc!Ysag*Interfaces!Ynorm+VertexCalc!Zsag*Interfaces!Znorm)</f>
        <v>#VALUE!</v>
      </c>
      <c r="L17" s="42" t="e">
        <f>IF(OR(Flag="Ignore",Flag="Det",Flag="Hole"),"",VertexCalc!Xtang*Interfaces!Xnorm+VertexCalc!Ytang*Interfaces!Ynorm+VertexCalc!Ztang*Interfaces!Znorm)</f>
        <v>#VALUE!</v>
      </c>
      <c r="M17" s="41" t="e">
        <f t="shared" si="0"/>
        <v>#VALUE!</v>
      </c>
      <c r="N17" s="42" t="e">
        <f t="shared" si="1"/>
        <v>#VALUE!</v>
      </c>
      <c r="O17" s="43" t="e">
        <f t="shared" si="2"/>
        <v>#VALUE!</v>
      </c>
      <c r="P17" s="42" t="e">
        <f>IF(OR(Flag="Ignore",Flag="Det",Flag="Hole"),"",VertexCalc!Xnorm*Interfaces!Xsag+VertexCalc!Ynorm*Interfaces!Ysag+VertexCalc!Znorm*Interfaces!Zsag)</f>
        <v>#VALUE!</v>
      </c>
      <c r="Q17" s="42" t="e">
        <f>IF(OR(Flag="Ignore",Flag="Det",Flag="Hole"),"",VertexCalc!Xsag*Interfaces!Xsag+VertexCalc!Ysag*Interfaces!Ysag+VertexCalc!Zsag*Interfaces!Zsag)</f>
        <v>#VALUE!</v>
      </c>
      <c r="R17" s="42" t="e">
        <f>IF(OR(Flag="Ignore",Flag="Det",Flag="Hole"),"",VertexCalc!Xtang*Interfaces!Xsag+VertexCalc!Ytang*Interfaces!Ysag+VertexCalc!Ztang*Interfaces!Zsag)</f>
        <v>#VALUE!</v>
      </c>
      <c r="S17" s="41" t="e">
        <f t="shared" si="3"/>
        <v>#VALUE!</v>
      </c>
      <c r="T17" s="42" t="e">
        <f t="shared" si="4"/>
        <v>#VALUE!</v>
      </c>
      <c r="U17" s="43" t="e">
        <f t="shared" si="5"/>
        <v>#VALUE!</v>
      </c>
      <c r="V17" s="20" t="e">
        <f t="shared" si="6"/>
        <v>#VALUE!</v>
      </c>
    </row>
    <row r="18" spans="3:22" ht="12.75">
      <c r="C18" s="18"/>
      <c r="D18" s="19" t="s">
        <v>455</v>
      </c>
      <c r="E18" s="19" t="s">
        <v>470</v>
      </c>
      <c r="F18" s="19"/>
      <c r="G18" s="41">
        <f>IF(OR(Flag="Ignore",Flag="Det",Flag="Hole"),"",VertexCalc!Xnorm*(Interfaces!Xmirr-VertexCalc!Xmirr)+VertexCalc!Ynorm*(Interfaces!Ymirr-VertexCalc!Ymirr)+VertexCalc!Znorm*(Interfaces!Zmirr-VertexCalc!Zmirr))</f>
        <v>0</v>
      </c>
      <c r="H18" s="42">
        <f>IF(OR(Flag="Ignore",Flag="Det",Flag="Hole"),"",VertexCalc!Xsag*(Interfaces!Xmirr-VertexCalc!Xmirr)+VertexCalc!Ysag*(Interfaces!Ymirr-VertexCalc!Ymirr)+VertexCalc!Zsag*(Interfaces!Zmirr-VertexCalc!Zmirr))</f>
        <v>0</v>
      </c>
      <c r="I18" s="43">
        <f>IF(OR(Flag="Ignore",Flag="Det",Flag="Hole"),"",VertexCalc!Xtang*(Interfaces!Xmirr-VertexCalc!Xmirr)+VertexCalc!Ytang*(Interfaces!Ymirr-VertexCalc!Ymirr)+VertexCalc!Ztang*(Interfaces!Zmirr-VertexCalc!Zmirr))</f>
        <v>0</v>
      </c>
      <c r="J18" s="42">
        <f>IF(OR(Flag="Ignore",Flag="Det",Flag="Hole"),"",VertexCalc!Xnorm*Interfaces!Xnorm+VertexCalc!Ynorm*Interfaces!Ynorm+VertexCalc!Znorm*Interfaces!Znorm)</f>
        <v>-0.9999999996345592</v>
      </c>
      <c r="K18" s="42">
        <f>IF(OR(Flag="Ignore",Flag="Det",Flag="Hole"),"",VertexCalc!Xsag*Interfaces!Xnorm+VertexCalc!Ysag*Interfaces!Ynorm+VertexCalc!Zsag*Interfaces!Znorm)</f>
        <v>0</v>
      </c>
      <c r="L18" s="42">
        <f>IF(OR(Flag="Ignore",Flag="Det",Flag="Hole"),"",VertexCalc!Xtang*Interfaces!Xnorm+VertexCalc!Ytang*Interfaces!Ynorm+VertexCalc!Ztang*Interfaces!Znorm)</f>
        <v>2.7755575615628914E-17</v>
      </c>
      <c r="M18" s="41">
        <f t="shared" si="0"/>
        <v>-0.9999999996345592</v>
      </c>
      <c r="N18" s="42">
        <f t="shared" si="1"/>
        <v>0</v>
      </c>
      <c r="O18" s="43">
        <f t="shared" si="2"/>
        <v>2.7755575615628914E-17</v>
      </c>
      <c r="P18" s="42">
        <f>IF(OR(Flag="Ignore",Flag="Det",Flag="Hole"),"",VertexCalc!Xnorm*Interfaces!Xsag+VertexCalc!Ynorm*Interfaces!Ysag+VertexCalc!Znorm*Interfaces!Zsag)</f>
        <v>0</v>
      </c>
      <c r="Q18" s="42">
        <f>IF(OR(Flag="Ignore",Flag="Det",Flag="Hole"),"",VertexCalc!Xsag*Interfaces!Xsag+VertexCalc!Ysag*Interfaces!Ysag+VertexCalc!Zsag*Interfaces!Zsag)</f>
        <v>1</v>
      </c>
      <c r="R18" s="42">
        <f>IF(OR(Flag="Ignore",Flag="Det",Flag="Hole"),"",VertexCalc!Xtang*Interfaces!Xsag+VertexCalc!Ytang*Interfaces!Ysag+VertexCalc!Ztang*Interfaces!Zsag)</f>
        <v>0</v>
      </c>
      <c r="S18" s="41">
        <f t="shared" si="3"/>
        <v>0</v>
      </c>
      <c r="T18" s="42">
        <f t="shared" si="4"/>
        <v>1</v>
      </c>
      <c r="U18" s="43">
        <f t="shared" si="5"/>
        <v>0</v>
      </c>
      <c r="V18" s="20">
        <f t="shared" si="6"/>
        <v>90</v>
      </c>
    </row>
    <row r="19" spans="3:22" ht="12.75">
      <c r="C19" s="18"/>
      <c r="D19" s="19" t="s">
        <v>454</v>
      </c>
      <c r="E19" s="19" t="s">
        <v>470</v>
      </c>
      <c r="F19" s="19"/>
      <c r="G19" s="41" t="e">
        <f>IF(OR(Flag="Ignore",Flag="Det",Flag="Hole"),"",VertexCalc!Xnorm*(Interfaces!Xmirr-VertexCalc!Xmirr)+VertexCalc!Ynorm*(Interfaces!Ymirr-VertexCalc!Ymirr)+VertexCalc!Znorm*(Interfaces!Zmirr-VertexCalc!Zmirr))</f>
        <v>#VALUE!</v>
      </c>
      <c r="H19" s="42" t="e">
        <f>IF(OR(Flag="Ignore",Flag="Det",Flag="Hole"),"",VertexCalc!Xsag*(Interfaces!Xmirr-VertexCalc!Xmirr)+VertexCalc!Ysag*(Interfaces!Ymirr-VertexCalc!Ymirr)+VertexCalc!Zsag*(Interfaces!Zmirr-VertexCalc!Zmirr))</f>
        <v>#VALUE!</v>
      </c>
      <c r="I19" s="43" t="e">
        <f>IF(OR(Flag="Ignore",Flag="Det",Flag="Hole"),"",VertexCalc!Xtang*(Interfaces!Xmirr-VertexCalc!Xmirr)+VertexCalc!Ytang*(Interfaces!Ymirr-VertexCalc!Ymirr)+VertexCalc!Ztang*(Interfaces!Zmirr-VertexCalc!Zmirr))</f>
        <v>#VALUE!</v>
      </c>
      <c r="J19" s="42" t="e">
        <f>IF(OR(Flag="Ignore",Flag="Det",Flag="Hole"),"",VertexCalc!Xnorm*Interfaces!Xnorm+VertexCalc!Ynorm*Interfaces!Ynorm+VertexCalc!Znorm*Interfaces!Znorm)</f>
        <v>#VALUE!</v>
      </c>
      <c r="K19" s="42" t="e">
        <f>IF(OR(Flag="Ignore",Flag="Det",Flag="Hole"),"",VertexCalc!Xsag*Interfaces!Xnorm+VertexCalc!Ysag*Interfaces!Ynorm+VertexCalc!Zsag*Interfaces!Znorm)</f>
        <v>#VALUE!</v>
      </c>
      <c r="L19" s="42" t="e">
        <f>IF(OR(Flag="Ignore",Flag="Det",Flag="Hole"),"",VertexCalc!Xtang*Interfaces!Xnorm+VertexCalc!Ytang*Interfaces!Ynorm+VertexCalc!Ztang*Interfaces!Znorm)</f>
        <v>#VALUE!</v>
      </c>
      <c r="M19" s="41" t="e">
        <f t="shared" si="0"/>
        <v>#VALUE!</v>
      </c>
      <c r="N19" s="42" t="e">
        <f t="shared" si="1"/>
        <v>#VALUE!</v>
      </c>
      <c r="O19" s="43" t="e">
        <f t="shared" si="2"/>
        <v>#VALUE!</v>
      </c>
      <c r="P19" s="42" t="e">
        <f>IF(OR(Flag="Ignore",Flag="Det",Flag="Hole"),"",VertexCalc!Xnorm*Interfaces!Xsag+VertexCalc!Ynorm*Interfaces!Ysag+VertexCalc!Znorm*Interfaces!Zsag)</f>
        <v>#VALUE!</v>
      </c>
      <c r="Q19" s="42" t="e">
        <f>IF(OR(Flag="Ignore",Flag="Det",Flag="Hole"),"",VertexCalc!Xsag*Interfaces!Xsag+VertexCalc!Ysag*Interfaces!Ysag+VertexCalc!Zsag*Interfaces!Zsag)</f>
        <v>#VALUE!</v>
      </c>
      <c r="R19" s="42" t="e">
        <f>IF(OR(Flag="Ignore",Flag="Det",Flag="Hole"),"",VertexCalc!Xtang*Interfaces!Xsag+VertexCalc!Ytang*Interfaces!Ysag+VertexCalc!Ztang*Interfaces!Zsag)</f>
        <v>#VALUE!</v>
      </c>
      <c r="S19" s="41" t="e">
        <f t="shared" si="3"/>
        <v>#VALUE!</v>
      </c>
      <c r="T19" s="42" t="e">
        <f t="shared" si="4"/>
        <v>#VALUE!</v>
      </c>
      <c r="U19" s="43" t="e">
        <f t="shared" si="5"/>
        <v>#VALUE!</v>
      </c>
      <c r="V19" s="20" t="e">
        <f t="shared" si="6"/>
        <v>#VALUE!</v>
      </c>
    </row>
    <row r="20" spans="3:22" ht="12.75">
      <c r="C20" s="18"/>
      <c r="D20" s="19" t="s">
        <v>456</v>
      </c>
      <c r="E20" s="19" t="s">
        <v>470</v>
      </c>
      <c r="F20" s="19"/>
      <c r="G20" s="41">
        <f>IF(OR(Flag="Ignore",Flag="Det",Flag="Hole"),"",VertexCalc!Xnorm*(Interfaces!Xmirr-VertexCalc!Xmirr)+VertexCalc!Ynorm*(Interfaces!Ymirr-VertexCalc!Ymirr)+VertexCalc!Znorm*(Interfaces!Zmirr-VertexCalc!Zmirr))</f>
        <v>0</v>
      </c>
      <c r="H20" s="42">
        <f>IF(OR(Flag="Ignore",Flag="Det",Flag="Hole"),"",VertexCalc!Xsag*(Interfaces!Xmirr-VertexCalc!Xmirr)+VertexCalc!Ysag*(Interfaces!Ymirr-VertexCalc!Ymirr)+VertexCalc!Zsag*(Interfaces!Zmirr-VertexCalc!Zmirr))</f>
        <v>0</v>
      </c>
      <c r="I20" s="43">
        <f>IF(OR(Flag="Ignore",Flag="Det",Flag="Hole"),"",VertexCalc!Xtang*(Interfaces!Xmirr-VertexCalc!Xmirr)+VertexCalc!Ytang*(Interfaces!Ymirr-VertexCalc!Ymirr)+VertexCalc!Ztang*(Interfaces!Zmirr-VertexCalc!Zmirr))</f>
        <v>0</v>
      </c>
      <c r="J20" s="42">
        <f>IF(OR(Flag="Ignore",Flag="Det",Flag="Hole"),"",VertexCalc!Xnorm*Interfaces!Xnorm+VertexCalc!Ynorm*Interfaces!Ynorm+VertexCalc!Znorm*Interfaces!Znorm)</f>
        <v>-0.9999999998109235</v>
      </c>
      <c r="K20" s="42">
        <f>IF(OR(Flag="Ignore",Flag="Det",Flag="Hole"),"",VertexCalc!Xsag*Interfaces!Xnorm+VertexCalc!Ysag*Interfaces!Ynorm+VertexCalc!Zsag*Interfaces!Znorm)</f>
        <v>8.673617379884035E-19</v>
      </c>
      <c r="L20" s="42">
        <f>IF(OR(Flag="Ignore",Flag="Det",Flag="Hole"),"",VertexCalc!Xtang*Interfaces!Xnorm+VertexCalc!Ytang*Interfaces!Ynorm+VertexCalc!Ztang*Interfaces!Znorm)</f>
        <v>0</v>
      </c>
      <c r="M20" s="41">
        <f t="shared" si="0"/>
        <v>-0.9999999998109235</v>
      </c>
      <c r="N20" s="42">
        <f t="shared" si="1"/>
        <v>8.673617379884035E-19</v>
      </c>
      <c r="O20" s="43">
        <f t="shared" si="2"/>
        <v>0</v>
      </c>
      <c r="P20" s="42">
        <f>IF(OR(Flag="Ignore",Flag="Det",Flag="Hole"),"",VertexCalc!Xnorm*Interfaces!Xsag+VertexCalc!Ynorm*Interfaces!Ysag+VertexCalc!Znorm*Interfaces!Zsag)</f>
        <v>0</v>
      </c>
      <c r="Q20" s="42">
        <f>IF(OR(Flag="Ignore",Flag="Det",Flag="Hole"),"",VertexCalc!Xsag*Interfaces!Xsag+VertexCalc!Ysag*Interfaces!Ysag+VertexCalc!Zsag*Interfaces!Zsag)</f>
        <v>0.9999999999999999</v>
      </c>
      <c r="R20" s="42">
        <f>IF(OR(Flag="Ignore",Flag="Det",Flag="Hole"),"",VertexCalc!Xtang*Interfaces!Xsag+VertexCalc!Ytang*Interfaces!Ysag+VertexCalc!Ztang*Interfaces!Zsag)</f>
        <v>-3.469446951953614E-18</v>
      </c>
      <c r="S20" s="41">
        <f t="shared" si="3"/>
        <v>0</v>
      </c>
      <c r="T20" s="42">
        <f t="shared" si="4"/>
        <v>0.9999999999999999</v>
      </c>
      <c r="U20" s="43">
        <f t="shared" si="5"/>
        <v>-3.469446951953614E-18</v>
      </c>
      <c r="V20" s="20">
        <f t="shared" si="6"/>
        <v>90</v>
      </c>
    </row>
    <row r="21" spans="3:22" ht="12.75">
      <c r="C21" s="18"/>
      <c r="D21" s="19" t="s">
        <v>457</v>
      </c>
      <c r="E21" s="19" t="s">
        <v>470</v>
      </c>
      <c r="F21" s="19"/>
      <c r="G21" s="41">
        <f>IF(OR(Flag="Ignore",Flag="Det",Flag="Hole"),"",VertexCalc!Xnorm*(Interfaces!Xmirr-VertexCalc!Xmirr)+VertexCalc!Ynorm*(Interfaces!Ymirr-VertexCalc!Ymirr)+VertexCalc!Znorm*(Interfaces!Zmirr-VertexCalc!Zmirr))</f>
        <v>0</v>
      </c>
      <c r="H21" s="42">
        <f>IF(OR(Flag="Ignore",Flag="Det",Flag="Hole"),"",VertexCalc!Xsag*(Interfaces!Xmirr-VertexCalc!Xmirr)+VertexCalc!Ysag*(Interfaces!Ymirr-VertexCalc!Ymirr)+VertexCalc!Zsag*(Interfaces!Zmirr-VertexCalc!Zmirr))</f>
        <v>0</v>
      </c>
      <c r="I21" s="43">
        <f>IF(OR(Flag="Ignore",Flag="Det",Flag="Hole"),"",VertexCalc!Xtang*(Interfaces!Xmirr-VertexCalc!Xmirr)+VertexCalc!Ytang*(Interfaces!Ymirr-VertexCalc!Ymirr)+VertexCalc!Ztang*(Interfaces!Zmirr-VertexCalc!Zmirr))</f>
        <v>0</v>
      </c>
      <c r="J21" s="42">
        <f>IF(OR(Flag="Ignore",Flag="Det",Flag="Hole"),"",VertexCalc!Xnorm*Interfaces!Xnorm+VertexCalc!Ynorm*Interfaces!Ynorm+VertexCalc!Znorm*Interfaces!Znorm)</f>
        <v>0.9999999999999999</v>
      </c>
      <c r="K21" s="42">
        <f>IF(OR(Flag="Ignore",Flag="Det",Flag="Hole"),"",VertexCalc!Xsag*Interfaces!Xnorm+VertexCalc!Ysag*Interfaces!Ynorm+VertexCalc!Zsag*Interfaces!Znorm)</f>
        <v>5.724587470723463E-17</v>
      </c>
      <c r="L21" s="42">
        <f>IF(OR(Flag="Ignore",Flag="Det",Flag="Hole"),"",VertexCalc!Xtang*Interfaces!Xnorm+VertexCalc!Ytang*Interfaces!Ynorm+VertexCalc!Ztang*Interfaces!Znorm)</f>
        <v>0</v>
      </c>
      <c r="M21" s="41">
        <f t="shared" si="0"/>
        <v>0.9999999999999999</v>
      </c>
      <c r="N21" s="42">
        <f t="shared" si="1"/>
        <v>5.724587470723463E-17</v>
      </c>
      <c r="O21" s="43">
        <f t="shared" si="2"/>
        <v>0</v>
      </c>
      <c r="P21" s="42">
        <f>IF(OR(Flag="Ignore",Flag="Det",Flag="Hole"),"",VertexCalc!Xnorm*Interfaces!Xsag+VertexCalc!Ynorm*Interfaces!Ysag+VertexCalc!Znorm*Interfaces!Zsag)</f>
        <v>5.724587470723463E-17</v>
      </c>
      <c r="Q21" s="42">
        <f>IF(OR(Flag="Ignore",Flag="Det",Flag="Hole"),"",VertexCalc!Xsag*Interfaces!Xsag+VertexCalc!Ysag*Interfaces!Ysag+VertexCalc!Zsag*Interfaces!Zsag)</f>
        <v>1</v>
      </c>
      <c r="R21" s="42">
        <f>IF(OR(Flag="Ignore",Flag="Det",Flag="Hole"),"",VertexCalc!Xtang*Interfaces!Xsag+VertexCalc!Ytang*Interfaces!Ysag+VertexCalc!Ztang*Interfaces!Zsag)</f>
        <v>-1.3877787807814457E-17</v>
      </c>
      <c r="S21" s="41">
        <f t="shared" si="3"/>
        <v>5.724587470723463E-17</v>
      </c>
      <c r="T21" s="42">
        <f t="shared" si="4"/>
        <v>1</v>
      </c>
      <c r="U21" s="43">
        <f t="shared" si="5"/>
        <v>-1.3877787807814457E-17</v>
      </c>
      <c r="V21" s="20">
        <f t="shared" si="6"/>
        <v>89.99999999999999</v>
      </c>
    </row>
    <row r="22" spans="3:22" ht="13.5" thickBot="1">
      <c r="C22" s="14"/>
      <c r="D22" s="15" t="s">
        <v>458</v>
      </c>
      <c r="E22" s="15" t="s">
        <v>470</v>
      </c>
      <c r="F22" s="15" t="s">
        <v>145</v>
      </c>
      <c r="G22" s="47">
        <f>IF(OR(Flag="Ignore",Flag="Det",Flag="Hole"),"",VertexCalc!Xnorm*(Interfaces!Xmirr-VertexCalc!Xmirr)+VertexCalc!Ynorm*(Interfaces!Ymirr-VertexCalc!Ymirr)+VertexCalc!Znorm*(Interfaces!Zmirr-VertexCalc!Zmirr))</f>
      </c>
      <c r="H22" s="48">
        <f>IF(OR(Flag="Ignore",Flag="Det",Flag="Hole"),"",VertexCalc!Xsag*(Interfaces!Xmirr-VertexCalc!Xmirr)+VertexCalc!Ysag*(Interfaces!Ymirr-VertexCalc!Ymirr)+VertexCalc!Zsag*(Interfaces!Zmirr-VertexCalc!Zmirr))</f>
      </c>
      <c r="I22" s="49">
        <f>IF(OR(Flag="Ignore",Flag="Det",Flag="Hole"),"",VertexCalc!Xtang*(Interfaces!Xmirr-VertexCalc!Xmirr)+VertexCalc!Ytang*(Interfaces!Ymirr-VertexCalc!Ymirr)+VertexCalc!Ztang*(Interfaces!Zmirr-VertexCalc!Zmirr))</f>
      </c>
      <c r="J22" s="48">
        <f>IF(OR(Flag="Ignore",Flag="Det",Flag="Hole"),"",VertexCalc!Xnorm*Interfaces!Xnorm+VertexCalc!Ynorm*Interfaces!Ynorm+VertexCalc!Znorm*Interfaces!Znorm)</f>
      </c>
      <c r="K22" s="48">
        <f>IF(OR(Flag="Ignore",Flag="Det",Flag="Hole"),"",VertexCalc!Xsag*Interfaces!Xnorm+VertexCalc!Ysag*Interfaces!Ynorm+VertexCalc!Zsag*Interfaces!Znorm)</f>
      </c>
      <c r="L22" s="48">
        <f>IF(OR(Flag="Ignore",Flag="Det",Flag="Hole"),"",VertexCalc!Xtang*Interfaces!Xnorm+VertexCalc!Ytang*Interfaces!Ynorm+VertexCalc!Ztang*Interfaces!Znorm)</f>
      </c>
      <c r="M22" s="47">
        <f t="shared" si="0"/>
      </c>
      <c r="N22" s="48">
        <f t="shared" si="1"/>
      </c>
      <c r="O22" s="49">
        <f t="shared" si="2"/>
      </c>
      <c r="P22" s="48">
        <f>IF(OR(Flag="Ignore",Flag="Det",Flag="Hole"),"",VertexCalc!Xnorm*Interfaces!Xsag+VertexCalc!Ynorm*Interfaces!Ysag+VertexCalc!Znorm*Interfaces!Zsag)</f>
      </c>
      <c r="Q22" s="48">
        <f>IF(OR(Flag="Ignore",Flag="Det",Flag="Hole"),"",VertexCalc!Xsag*Interfaces!Xsag+VertexCalc!Ysag*Interfaces!Ysag+VertexCalc!Zsag*Interfaces!Zsag)</f>
      </c>
      <c r="R22" s="48">
        <f>IF(OR(Flag="Ignore",Flag="Det",Flag="Hole"),"",VertexCalc!Xtang*Interfaces!Xsag+VertexCalc!Ytang*Interfaces!Ysag+VertexCalc!Ztang*Interfaces!Zsag)</f>
      </c>
      <c r="S22" s="47">
        <f t="shared" si="3"/>
      </c>
      <c r="T22" s="48">
        <f t="shared" si="4"/>
      </c>
      <c r="U22" s="49">
        <f t="shared" si="5"/>
      </c>
      <c r="V22" s="20">
        <f t="shared" si="6"/>
      </c>
    </row>
    <row r="23" spans="1:22" ht="13.5" thickBot="1">
      <c r="A23" s="24"/>
      <c r="C23" s="19"/>
      <c r="D23" s="19" t="s">
        <v>447</v>
      </c>
      <c r="E23" s="19" t="s">
        <v>471</v>
      </c>
      <c r="F23" s="19" t="s">
        <v>110</v>
      </c>
      <c r="G23" s="41">
        <f>IF(OR(Flag="Ignore",Flag="Det",Flag="Hole"),"",VertexCalc!Xnorm*(Interfaces!Xmirr-VertexCalc!Xmirr)+VertexCalc!Ynorm*(Interfaces!Ymirr-VertexCalc!Ymirr)+VertexCalc!Znorm*(Interfaces!Zmirr-VertexCalc!Zmirr))</f>
      </c>
      <c r="H23" s="42">
        <f>IF(OR(Flag="Ignore",Flag="Det",Flag="Hole"),"",VertexCalc!Xsag*(Interfaces!Xmirr-VertexCalc!Xmirr)+VertexCalc!Ysag*(Interfaces!Ymirr-VertexCalc!Ymirr)+VertexCalc!Zsag*(Interfaces!Zmirr-VertexCalc!Zmirr))</f>
      </c>
      <c r="I23" s="43">
        <f>IF(OR(Flag="Ignore",Flag="Det",Flag="Hole"),"",VertexCalc!Xtang*(Interfaces!Xmirr-VertexCalc!Xmirr)+VertexCalc!Ytang*(Interfaces!Ymirr-VertexCalc!Ymirr)+VertexCalc!Ztang*(Interfaces!Zmirr-VertexCalc!Zmirr))</f>
      </c>
      <c r="J23" s="42">
        <f>IF(OR(Flag="Ignore",Flag="Det",Flag="Hole"),"",VertexCalc!Xnorm*Interfaces!Xnorm+VertexCalc!Ynorm*Interfaces!Ynorm+VertexCalc!Znorm*Interfaces!Znorm)</f>
      </c>
      <c r="K23" s="42">
        <f>IF(OR(Flag="Ignore",Flag="Det",Flag="Hole"),"",VertexCalc!Xsag*Interfaces!Xnorm+VertexCalc!Ysag*Interfaces!Ynorm+VertexCalc!Zsag*Interfaces!Znorm)</f>
      </c>
      <c r="L23" s="42">
        <f>IF(OR(Flag="Ignore",Flag="Det",Flag="Hole"),"",VertexCalc!Xtang*Interfaces!Xnorm+VertexCalc!Ytang*Interfaces!Ynorm+VertexCalc!Ztang*Interfaces!Znorm)</f>
      </c>
      <c r="M23" s="41">
        <f t="shared" si="0"/>
      </c>
      <c r="N23" s="42">
        <f t="shared" si="1"/>
      </c>
      <c r="O23" s="43">
        <f t="shared" si="2"/>
      </c>
      <c r="P23" s="42">
        <f>IF(OR(Flag="Ignore",Flag="Det",Flag="Hole"),"",VertexCalc!Xnorm*Interfaces!Xsag+VertexCalc!Ynorm*Interfaces!Ysag+VertexCalc!Znorm*Interfaces!Zsag)</f>
      </c>
      <c r="Q23" s="42">
        <f>IF(OR(Flag="Ignore",Flag="Det",Flag="Hole"),"",VertexCalc!Xsag*Interfaces!Xsag+VertexCalc!Ysag*Interfaces!Ysag+VertexCalc!Zsag*Interfaces!Zsag)</f>
      </c>
      <c r="R23" s="42">
        <f>IF(OR(Flag="Ignore",Flag="Det",Flag="Hole"),"",VertexCalc!Xtang*Interfaces!Xsag+VertexCalc!Ytang*Interfaces!Ysag+VertexCalc!Ztang*Interfaces!Zsag)</f>
      </c>
      <c r="S23" s="41">
        <f t="shared" si="3"/>
      </c>
      <c r="T23" s="42">
        <f t="shared" si="4"/>
      </c>
      <c r="U23" s="43">
        <f t="shared" si="5"/>
      </c>
      <c r="V23" s="20">
        <f t="shared" si="6"/>
      </c>
    </row>
    <row r="24" spans="3:22" ht="12.75">
      <c r="C24" s="10" t="s">
        <v>459</v>
      </c>
      <c r="D24" s="11" t="s">
        <v>448</v>
      </c>
      <c r="E24" s="11" t="s">
        <v>471</v>
      </c>
      <c r="F24" s="11" t="s">
        <v>144</v>
      </c>
      <c r="G24" s="44">
        <f>IF(OR(Flag="Ignore",Flag="Det",Flag="Hole"),"",VertexCalc!Xnorm*(Interfaces!Xmirr-VertexCalc!Xmirr)+VertexCalc!Ynorm*(Interfaces!Ymirr-VertexCalc!Ymirr)+VertexCalc!Znorm*(Interfaces!Zmirr-VertexCalc!Zmirr))</f>
      </c>
      <c r="H24" s="45">
        <f>IF(OR(Flag="Ignore",Flag="Det",Flag="Hole"),"",VertexCalc!Xsag*(Interfaces!Xmirr-VertexCalc!Xmirr)+VertexCalc!Ysag*(Interfaces!Ymirr-VertexCalc!Ymirr)+VertexCalc!Zsag*(Interfaces!Zmirr-VertexCalc!Zmirr))</f>
      </c>
      <c r="I24" s="46">
        <f>IF(OR(Flag="Ignore",Flag="Det",Flag="Hole"),"",VertexCalc!Xtang*(Interfaces!Xmirr-VertexCalc!Xmirr)+VertexCalc!Ytang*(Interfaces!Ymirr-VertexCalc!Ymirr)+VertexCalc!Ztang*(Interfaces!Zmirr-VertexCalc!Zmirr))</f>
      </c>
      <c r="J24" s="45">
        <f>IF(OR(Flag="Ignore",Flag="Det",Flag="Hole"),"",VertexCalc!Xnorm*Interfaces!Xnorm+VertexCalc!Ynorm*Interfaces!Ynorm+VertexCalc!Znorm*Interfaces!Znorm)</f>
      </c>
      <c r="K24" s="45">
        <f>IF(OR(Flag="Ignore",Flag="Det",Flag="Hole"),"",VertexCalc!Xsag*Interfaces!Xnorm+VertexCalc!Ysag*Interfaces!Ynorm+VertexCalc!Zsag*Interfaces!Znorm)</f>
      </c>
      <c r="L24" s="45">
        <f>IF(OR(Flag="Ignore",Flag="Det",Flag="Hole"),"",VertexCalc!Xtang*Interfaces!Xnorm+VertexCalc!Ytang*Interfaces!Ynorm+VertexCalc!Ztang*Interfaces!Znorm)</f>
      </c>
      <c r="M24" s="44">
        <f t="shared" si="0"/>
      </c>
      <c r="N24" s="45">
        <f t="shared" si="1"/>
      </c>
      <c r="O24" s="46">
        <f t="shared" si="2"/>
      </c>
      <c r="P24" s="45">
        <f>IF(OR(Flag="Ignore",Flag="Det",Flag="Hole"),"",VertexCalc!Xnorm*Interfaces!Xsag+VertexCalc!Ynorm*Interfaces!Ysag+VertexCalc!Znorm*Interfaces!Zsag)</f>
      </c>
      <c r="Q24" s="45">
        <f>IF(OR(Flag="Ignore",Flag="Det",Flag="Hole"),"",VertexCalc!Xsag*Interfaces!Xsag+VertexCalc!Ysag*Interfaces!Ysag+VertexCalc!Zsag*Interfaces!Zsag)</f>
      </c>
      <c r="R24" s="45">
        <f>IF(OR(Flag="Ignore",Flag="Det",Flag="Hole"),"",VertexCalc!Xtang*Interfaces!Xsag+VertexCalc!Ytang*Interfaces!Ysag+VertexCalc!Ztang*Interfaces!Zsag)</f>
      </c>
      <c r="S24" s="44">
        <f t="shared" si="3"/>
      </c>
      <c r="T24" s="45">
        <f t="shared" si="4"/>
      </c>
      <c r="U24" s="46">
        <f t="shared" si="5"/>
      </c>
      <c r="V24" s="20">
        <f t="shared" si="6"/>
      </c>
    </row>
    <row r="25" spans="3:22" ht="12.75">
      <c r="C25" s="18"/>
      <c r="D25" s="19" t="s">
        <v>460</v>
      </c>
      <c r="E25" s="19" t="s">
        <v>471</v>
      </c>
      <c r="F25" s="19"/>
      <c r="G25" s="41">
        <f>IF(OR(Flag="Ignore",Flag="Det",Flag="Hole"),"",VertexCalc!Xnorm*(Interfaces!Xmirr-VertexCalc!Xmirr)+VertexCalc!Ynorm*(Interfaces!Ymirr-VertexCalc!Ymirr)+VertexCalc!Znorm*(Interfaces!Zmirr-VertexCalc!Zmirr))</f>
        <v>0</v>
      </c>
      <c r="H25" s="42">
        <f>IF(OR(Flag="Ignore",Flag="Det",Flag="Hole"),"",VertexCalc!Xsag*(Interfaces!Xmirr-VertexCalc!Xmirr)+VertexCalc!Ysag*(Interfaces!Ymirr-VertexCalc!Ymirr)+VertexCalc!Zsag*(Interfaces!Zmirr-VertexCalc!Zmirr))</f>
        <v>0</v>
      </c>
      <c r="I25" s="43">
        <f>IF(OR(Flag="Ignore",Flag="Det",Flag="Hole"),"",VertexCalc!Xtang*(Interfaces!Xmirr-VertexCalc!Xmirr)+VertexCalc!Ytang*(Interfaces!Ymirr-VertexCalc!Ymirr)+VertexCalc!Ztang*(Interfaces!Zmirr-VertexCalc!Zmirr))</f>
        <v>0</v>
      </c>
      <c r="J25" s="42">
        <f>IF(OR(Flag="Ignore",Flag="Det",Flag="Hole"),"",VertexCalc!Xnorm*Interfaces!Xnorm+VertexCalc!Ynorm*Interfaces!Ynorm+VertexCalc!Znorm*Interfaces!Znorm)</f>
        <v>-0.9999999999510611</v>
      </c>
      <c r="K25" s="42">
        <f>IF(OR(Flag="Ignore",Flag="Det",Flag="Hole"),"",VertexCalc!Xsag*Interfaces!Xnorm+VertexCalc!Ysag*Interfaces!Ynorm+VertexCalc!Zsag*Interfaces!Znorm)</f>
        <v>0</v>
      </c>
      <c r="L25" s="42">
        <f>IF(OR(Flag="Ignore",Flag="Det",Flag="Hole"),"",VertexCalc!Xtang*Interfaces!Xnorm+VertexCalc!Ytang*Interfaces!Ynorm+VertexCalc!Ztang*Interfaces!Znorm)</f>
        <v>2.7755575615628914E-17</v>
      </c>
      <c r="M25" s="41">
        <f t="shared" si="0"/>
        <v>-0.9999999999510611</v>
      </c>
      <c r="N25" s="42">
        <f t="shared" si="1"/>
        <v>0</v>
      </c>
      <c r="O25" s="43">
        <f t="shared" si="2"/>
        <v>2.7755575615628914E-17</v>
      </c>
      <c r="P25" s="42">
        <f>IF(OR(Flag="Ignore",Flag="Det",Flag="Hole"),"",VertexCalc!Xnorm*Interfaces!Xsag+VertexCalc!Ynorm*Interfaces!Ysag+VertexCalc!Znorm*Interfaces!Zsag)</f>
        <v>0</v>
      </c>
      <c r="Q25" s="42">
        <f>IF(OR(Flag="Ignore",Flag="Det",Flag="Hole"),"",VertexCalc!Xsag*Interfaces!Xsag+VertexCalc!Ysag*Interfaces!Ysag+VertexCalc!Zsag*Interfaces!Zsag)</f>
        <v>1</v>
      </c>
      <c r="R25" s="42">
        <f>IF(OR(Flag="Ignore",Flag="Det",Flag="Hole"),"",VertexCalc!Xtang*Interfaces!Xsag+VertexCalc!Ytang*Interfaces!Ysag+VertexCalc!Ztang*Interfaces!Zsag)</f>
        <v>0</v>
      </c>
      <c r="S25" s="41">
        <f t="shared" si="3"/>
        <v>0</v>
      </c>
      <c r="T25" s="42">
        <f t="shared" si="4"/>
        <v>1</v>
      </c>
      <c r="U25" s="43">
        <f t="shared" si="5"/>
        <v>0</v>
      </c>
      <c r="V25" s="20">
        <f t="shared" si="6"/>
        <v>90</v>
      </c>
    </row>
    <row r="26" spans="3:22" ht="12.75">
      <c r="C26" s="18"/>
      <c r="D26" s="19" t="s">
        <v>461</v>
      </c>
      <c r="E26" s="19" t="s">
        <v>471</v>
      </c>
      <c r="F26" s="19"/>
      <c r="G26" s="41" t="e">
        <f>IF(OR(Flag="Ignore",Flag="Det",Flag="Hole"),"",VertexCalc!Xnorm*(Interfaces!Xmirr-VertexCalc!Xmirr)+VertexCalc!Ynorm*(Interfaces!Ymirr-VertexCalc!Ymirr)+VertexCalc!Znorm*(Interfaces!Zmirr-VertexCalc!Zmirr))</f>
        <v>#VALUE!</v>
      </c>
      <c r="H26" s="42" t="e">
        <f>IF(OR(Flag="Ignore",Flag="Det",Flag="Hole"),"",VertexCalc!Xsag*(Interfaces!Xmirr-VertexCalc!Xmirr)+VertexCalc!Ysag*(Interfaces!Ymirr-VertexCalc!Ymirr)+VertexCalc!Zsag*(Interfaces!Zmirr-VertexCalc!Zmirr))</f>
        <v>#VALUE!</v>
      </c>
      <c r="I26" s="43" t="e">
        <f>IF(OR(Flag="Ignore",Flag="Det",Flag="Hole"),"",VertexCalc!Xtang*(Interfaces!Xmirr-VertexCalc!Xmirr)+VertexCalc!Ytang*(Interfaces!Ymirr-VertexCalc!Ymirr)+VertexCalc!Ztang*(Interfaces!Zmirr-VertexCalc!Zmirr))</f>
        <v>#VALUE!</v>
      </c>
      <c r="J26" s="42" t="e">
        <f>IF(OR(Flag="Ignore",Flag="Det",Flag="Hole"),"",VertexCalc!Xnorm*Interfaces!Xnorm+VertexCalc!Ynorm*Interfaces!Ynorm+VertexCalc!Znorm*Interfaces!Znorm)</f>
        <v>#VALUE!</v>
      </c>
      <c r="K26" s="42" t="e">
        <f>IF(OR(Flag="Ignore",Flag="Det",Flag="Hole"),"",VertexCalc!Xsag*Interfaces!Xnorm+VertexCalc!Ysag*Interfaces!Ynorm+VertexCalc!Zsag*Interfaces!Znorm)</f>
        <v>#VALUE!</v>
      </c>
      <c r="L26" s="42" t="e">
        <f>IF(OR(Flag="Ignore",Flag="Det",Flag="Hole"),"",VertexCalc!Xtang*Interfaces!Xnorm+VertexCalc!Ytang*Interfaces!Ynorm+VertexCalc!Ztang*Interfaces!Znorm)</f>
        <v>#VALUE!</v>
      </c>
      <c r="M26" s="41" t="e">
        <f t="shared" si="0"/>
        <v>#VALUE!</v>
      </c>
      <c r="N26" s="42" t="e">
        <f t="shared" si="1"/>
        <v>#VALUE!</v>
      </c>
      <c r="O26" s="43" t="e">
        <f t="shared" si="2"/>
        <v>#VALUE!</v>
      </c>
      <c r="P26" s="42" t="e">
        <f>IF(OR(Flag="Ignore",Flag="Det",Flag="Hole"),"",VertexCalc!Xnorm*Interfaces!Xsag+VertexCalc!Ynorm*Interfaces!Ysag+VertexCalc!Znorm*Interfaces!Zsag)</f>
        <v>#VALUE!</v>
      </c>
      <c r="Q26" s="42" t="e">
        <f>IF(OR(Flag="Ignore",Flag="Det",Flag="Hole"),"",VertexCalc!Xsag*Interfaces!Xsag+VertexCalc!Ysag*Interfaces!Ysag+VertexCalc!Zsag*Interfaces!Zsag)</f>
        <v>#VALUE!</v>
      </c>
      <c r="R26" s="42" t="e">
        <f>IF(OR(Flag="Ignore",Flag="Det",Flag="Hole"),"",VertexCalc!Xtang*Interfaces!Xsag+VertexCalc!Ytang*Interfaces!Ysag+VertexCalc!Ztang*Interfaces!Zsag)</f>
        <v>#VALUE!</v>
      </c>
      <c r="S26" s="41" t="e">
        <f t="shared" si="3"/>
        <v>#VALUE!</v>
      </c>
      <c r="T26" s="42" t="e">
        <f t="shared" si="4"/>
        <v>#VALUE!</v>
      </c>
      <c r="U26" s="43" t="e">
        <f t="shared" si="5"/>
        <v>#VALUE!</v>
      </c>
      <c r="V26" s="20" t="e">
        <f t="shared" si="6"/>
        <v>#VALUE!</v>
      </c>
    </row>
    <row r="27" spans="3:22" ht="12.75">
      <c r="C27" s="18"/>
      <c r="D27" s="19" t="s">
        <v>462</v>
      </c>
      <c r="E27" s="19" t="s">
        <v>471</v>
      </c>
      <c r="F27" s="19"/>
      <c r="G27" s="41" t="e">
        <f>IF(OR(Flag="Ignore",Flag="Det",Flag="Hole"),"",VertexCalc!Xnorm*(Interfaces!Xmirr-VertexCalc!Xmirr)+VertexCalc!Ynorm*(Interfaces!Ymirr-VertexCalc!Ymirr)+VertexCalc!Znorm*(Interfaces!Zmirr-VertexCalc!Zmirr))</f>
        <v>#VALUE!</v>
      </c>
      <c r="H27" s="42" t="e">
        <f>IF(OR(Flag="Ignore",Flag="Det",Flag="Hole"),"",VertexCalc!Xsag*(Interfaces!Xmirr-VertexCalc!Xmirr)+VertexCalc!Ysag*(Interfaces!Ymirr-VertexCalc!Ymirr)+VertexCalc!Zsag*(Interfaces!Zmirr-VertexCalc!Zmirr))</f>
        <v>#VALUE!</v>
      </c>
      <c r="I27" s="43" t="e">
        <f>IF(OR(Flag="Ignore",Flag="Det",Flag="Hole"),"",VertexCalc!Xtang*(Interfaces!Xmirr-VertexCalc!Xmirr)+VertexCalc!Ytang*(Interfaces!Ymirr-VertexCalc!Ymirr)+VertexCalc!Ztang*(Interfaces!Zmirr-VertexCalc!Zmirr))</f>
        <v>#VALUE!</v>
      </c>
      <c r="J27" s="42" t="e">
        <f>IF(OR(Flag="Ignore",Flag="Det",Flag="Hole"),"",VertexCalc!Xnorm*Interfaces!Xnorm+VertexCalc!Ynorm*Interfaces!Ynorm+VertexCalc!Znorm*Interfaces!Znorm)</f>
        <v>#VALUE!</v>
      </c>
      <c r="K27" s="42" t="e">
        <f>IF(OR(Flag="Ignore",Flag="Det",Flag="Hole"),"",VertexCalc!Xsag*Interfaces!Xnorm+VertexCalc!Ysag*Interfaces!Ynorm+VertexCalc!Zsag*Interfaces!Znorm)</f>
        <v>#VALUE!</v>
      </c>
      <c r="L27" s="42" t="e">
        <f>IF(OR(Flag="Ignore",Flag="Det",Flag="Hole"),"",VertexCalc!Xtang*Interfaces!Xnorm+VertexCalc!Ytang*Interfaces!Ynorm+VertexCalc!Ztang*Interfaces!Znorm)</f>
        <v>#VALUE!</v>
      </c>
      <c r="M27" s="41" t="e">
        <f t="shared" si="0"/>
        <v>#VALUE!</v>
      </c>
      <c r="N27" s="42" t="e">
        <f t="shared" si="1"/>
        <v>#VALUE!</v>
      </c>
      <c r="O27" s="43" t="e">
        <f t="shared" si="2"/>
        <v>#VALUE!</v>
      </c>
      <c r="P27" s="42" t="e">
        <f>IF(OR(Flag="Ignore",Flag="Det",Flag="Hole"),"",VertexCalc!Xnorm*Interfaces!Xsag+VertexCalc!Ynorm*Interfaces!Ysag+VertexCalc!Znorm*Interfaces!Zsag)</f>
        <v>#VALUE!</v>
      </c>
      <c r="Q27" s="42" t="e">
        <f>IF(OR(Flag="Ignore",Flag="Det",Flag="Hole"),"",VertexCalc!Xsag*Interfaces!Xsag+VertexCalc!Ysag*Interfaces!Ysag+VertexCalc!Zsag*Interfaces!Zsag)</f>
        <v>#VALUE!</v>
      </c>
      <c r="R27" s="42" t="e">
        <f>IF(OR(Flag="Ignore",Flag="Det",Flag="Hole"),"",VertexCalc!Xtang*Interfaces!Xsag+VertexCalc!Ytang*Interfaces!Ysag+VertexCalc!Ztang*Interfaces!Zsag)</f>
        <v>#VALUE!</v>
      </c>
      <c r="S27" s="41" t="e">
        <f t="shared" si="3"/>
        <v>#VALUE!</v>
      </c>
      <c r="T27" s="42" t="e">
        <f t="shared" si="4"/>
        <v>#VALUE!</v>
      </c>
      <c r="U27" s="43" t="e">
        <f t="shared" si="5"/>
        <v>#VALUE!</v>
      </c>
      <c r="V27" s="20" t="e">
        <f t="shared" si="6"/>
        <v>#VALUE!</v>
      </c>
    </row>
    <row r="28" spans="3:22" ht="12.75">
      <c r="C28" s="18"/>
      <c r="D28" s="19" t="s">
        <v>463</v>
      </c>
      <c r="E28" s="19" t="s">
        <v>471</v>
      </c>
      <c r="F28" s="19"/>
      <c r="G28" s="41" t="e">
        <f>IF(OR(Flag="Ignore",Flag="Det",Flag="Hole"),"",VertexCalc!Xnorm*(Interfaces!Xmirr-VertexCalc!Xmirr)+VertexCalc!Ynorm*(Interfaces!Ymirr-VertexCalc!Ymirr)+VertexCalc!Znorm*(Interfaces!Zmirr-VertexCalc!Zmirr))</f>
        <v>#VALUE!</v>
      </c>
      <c r="H28" s="42" t="e">
        <f>IF(OR(Flag="Ignore",Flag="Det",Flag="Hole"),"",VertexCalc!Xsag*(Interfaces!Xmirr-VertexCalc!Xmirr)+VertexCalc!Ysag*(Interfaces!Ymirr-VertexCalc!Ymirr)+VertexCalc!Zsag*(Interfaces!Zmirr-VertexCalc!Zmirr))</f>
        <v>#VALUE!</v>
      </c>
      <c r="I28" s="43" t="e">
        <f>IF(OR(Flag="Ignore",Flag="Det",Flag="Hole"),"",VertexCalc!Xtang*(Interfaces!Xmirr-VertexCalc!Xmirr)+VertexCalc!Ytang*(Interfaces!Ymirr-VertexCalc!Ymirr)+VertexCalc!Ztang*(Interfaces!Zmirr-VertexCalc!Zmirr))</f>
        <v>#VALUE!</v>
      </c>
      <c r="J28" s="42" t="e">
        <f>IF(OR(Flag="Ignore",Flag="Det",Flag="Hole"),"",VertexCalc!Xnorm*Interfaces!Xnorm+VertexCalc!Ynorm*Interfaces!Ynorm+VertexCalc!Znorm*Interfaces!Znorm)</f>
        <v>#VALUE!</v>
      </c>
      <c r="K28" s="42" t="e">
        <f>IF(OR(Flag="Ignore",Flag="Det",Flag="Hole"),"",VertexCalc!Xsag*Interfaces!Xnorm+VertexCalc!Ysag*Interfaces!Ynorm+VertexCalc!Zsag*Interfaces!Znorm)</f>
        <v>#VALUE!</v>
      </c>
      <c r="L28" s="42" t="e">
        <f>IF(OR(Flag="Ignore",Flag="Det",Flag="Hole"),"",VertexCalc!Xtang*Interfaces!Xnorm+VertexCalc!Ytang*Interfaces!Ynorm+VertexCalc!Ztang*Interfaces!Znorm)</f>
        <v>#VALUE!</v>
      </c>
      <c r="M28" s="41" t="e">
        <f t="shared" si="0"/>
        <v>#VALUE!</v>
      </c>
      <c r="N28" s="42" t="e">
        <f t="shared" si="1"/>
        <v>#VALUE!</v>
      </c>
      <c r="O28" s="43" t="e">
        <f t="shared" si="2"/>
        <v>#VALUE!</v>
      </c>
      <c r="P28" s="42" t="e">
        <f>IF(OR(Flag="Ignore",Flag="Det",Flag="Hole"),"",VertexCalc!Xnorm*Interfaces!Xsag+VertexCalc!Ynorm*Interfaces!Ysag+VertexCalc!Znorm*Interfaces!Zsag)</f>
        <v>#VALUE!</v>
      </c>
      <c r="Q28" s="42" t="e">
        <f>IF(OR(Flag="Ignore",Flag="Det",Flag="Hole"),"",VertexCalc!Xsag*Interfaces!Xsag+VertexCalc!Ysag*Interfaces!Ysag+VertexCalc!Zsag*Interfaces!Zsag)</f>
        <v>#VALUE!</v>
      </c>
      <c r="R28" s="42" t="e">
        <f>IF(OR(Flag="Ignore",Flag="Det",Flag="Hole"),"",VertexCalc!Xtang*Interfaces!Xsag+VertexCalc!Ytang*Interfaces!Ysag+VertexCalc!Ztang*Interfaces!Zsag)</f>
        <v>#VALUE!</v>
      </c>
      <c r="S28" s="41" t="e">
        <f t="shared" si="3"/>
        <v>#VALUE!</v>
      </c>
      <c r="T28" s="42" t="e">
        <f t="shared" si="4"/>
        <v>#VALUE!</v>
      </c>
      <c r="U28" s="43" t="e">
        <f t="shared" si="5"/>
        <v>#VALUE!</v>
      </c>
      <c r="V28" s="20" t="e">
        <f t="shared" si="6"/>
        <v>#VALUE!</v>
      </c>
    </row>
    <row r="29" spans="3:22" ht="12.75">
      <c r="C29" s="18"/>
      <c r="D29" s="19" t="s">
        <v>464</v>
      </c>
      <c r="E29" s="19" t="s">
        <v>471</v>
      </c>
      <c r="F29" s="19"/>
      <c r="G29" s="41">
        <f>IF(OR(Flag="Ignore",Flag="Det",Flag="Hole"),"",VertexCalc!Xnorm*(Interfaces!Xmirr-VertexCalc!Xmirr)+VertexCalc!Ynorm*(Interfaces!Ymirr-VertexCalc!Ymirr)+VertexCalc!Znorm*(Interfaces!Zmirr-VertexCalc!Zmirr))</f>
        <v>0</v>
      </c>
      <c r="H29" s="42">
        <f>IF(OR(Flag="Ignore",Flag="Det",Flag="Hole"),"",VertexCalc!Xsag*(Interfaces!Xmirr-VertexCalc!Xmirr)+VertexCalc!Ysag*(Interfaces!Ymirr-VertexCalc!Ymirr)+VertexCalc!Zsag*(Interfaces!Zmirr-VertexCalc!Zmirr))</f>
        <v>0</v>
      </c>
      <c r="I29" s="43">
        <f>IF(OR(Flag="Ignore",Flag="Det",Flag="Hole"),"",VertexCalc!Xtang*(Interfaces!Xmirr-VertexCalc!Xmirr)+VertexCalc!Ytang*(Interfaces!Ymirr-VertexCalc!Ymirr)+VertexCalc!Ztang*(Interfaces!Zmirr-VertexCalc!Zmirr))</f>
        <v>0</v>
      </c>
      <c r="J29" s="42">
        <f>IF(OR(Flag="Ignore",Flag="Det",Flag="Hole"),"",VertexCalc!Xnorm*Interfaces!Xnorm+VertexCalc!Ynorm*Interfaces!Ynorm+VertexCalc!Znorm*Interfaces!Znorm)</f>
        <v>0.9999999996345432</v>
      </c>
      <c r="K29" s="42">
        <f>IF(OR(Flag="Ignore",Flag="Det",Flag="Hole"),"",VertexCalc!Xsag*Interfaces!Xnorm+VertexCalc!Ysag*Interfaces!Ynorm+VertexCalc!Zsag*Interfaces!Znorm)</f>
        <v>0</v>
      </c>
      <c r="L29" s="42">
        <f>IF(OR(Flag="Ignore",Flag="Det",Flag="Hole"),"",VertexCalc!Xtang*Interfaces!Xnorm+VertexCalc!Ytang*Interfaces!Ynorm+VertexCalc!Ztang*Interfaces!Znorm)</f>
        <v>-2.7755575615628914E-17</v>
      </c>
      <c r="M29" s="41">
        <f t="shared" si="0"/>
        <v>0.9999999996345432</v>
      </c>
      <c r="N29" s="42">
        <f t="shared" si="1"/>
        <v>0</v>
      </c>
      <c r="O29" s="43">
        <f t="shared" si="2"/>
        <v>-2.7755575615628914E-17</v>
      </c>
      <c r="P29" s="42">
        <f>IF(OR(Flag="Ignore",Flag="Det",Flag="Hole"),"",VertexCalc!Xnorm*Interfaces!Xsag+VertexCalc!Ynorm*Interfaces!Ysag+VertexCalc!Znorm*Interfaces!Zsag)</f>
        <v>0</v>
      </c>
      <c r="Q29" s="42">
        <f>IF(OR(Flag="Ignore",Flag="Det",Flag="Hole"),"",VertexCalc!Xsag*Interfaces!Xsag+VertexCalc!Ysag*Interfaces!Ysag+VertexCalc!Zsag*Interfaces!Zsag)</f>
        <v>1</v>
      </c>
      <c r="R29" s="42">
        <f>IF(OR(Flag="Ignore",Flag="Det",Flag="Hole"),"",VertexCalc!Xtang*Interfaces!Xsag+VertexCalc!Ytang*Interfaces!Ysag+VertexCalc!Ztang*Interfaces!Zsag)</f>
        <v>0</v>
      </c>
      <c r="S29" s="41">
        <f t="shared" si="3"/>
        <v>0</v>
      </c>
      <c r="T29" s="42">
        <f t="shared" si="4"/>
        <v>1</v>
      </c>
      <c r="U29" s="43">
        <f t="shared" si="5"/>
        <v>0</v>
      </c>
      <c r="V29" s="20">
        <f t="shared" si="6"/>
        <v>90</v>
      </c>
    </row>
    <row r="30" spans="3:22" ht="12.75">
      <c r="C30" s="18"/>
      <c r="D30" s="19" t="s">
        <v>454</v>
      </c>
      <c r="E30" s="19" t="s">
        <v>471</v>
      </c>
      <c r="F30" s="19"/>
      <c r="G30" s="41" t="e">
        <f>IF(OR(Flag="Ignore",Flag="Det",Flag="Hole"),"",VertexCalc!Xnorm*(Interfaces!Xmirr-VertexCalc!Xmirr)+VertexCalc!Ynorm*(Interfaces!Ymirr-VertexCalc!Ymirr)+VertexCalc!Znorm*(Interfaces!Zmirr-VertexCalc!Zmirr))</f>
        <v>#VALUE!</v>
      </c>
      <c r="H30" s="42" t="e">
        <f>IF(OR(Flag="Ignore",Flag="Det",Flag="Hole"),"",VertexCalc!Xsag*(Interfaces!Xmirr-VertexCalc!Xmirr)+VertexCalc!Ysag*(Interfaces!Ymirr-VertexCalc!Ymirr)+VertexCalc!Zsag*(Interfaces!Zmirr-VertexCalc!Zmirr))</f>
        <v>#VALUE!</v>
      </c>
      <c r="I30" s="43" t="e">
        <f>IF(OR(Flag="Ignore",Flag="Det",Flag="Hole"),"",VertexCalc!Xtang*(Interfaces!Xmirr-VertexCalc!Xmirr)+VertexCalc!Ytang*(Interfaces!Ymirr-VertexCalc!Ymirr)+VertexCalc!Ztang*(Interfaces!Zmirr-VertexCalc!Zmirr))</f>
        <v>#VALUE!</v>
      </c>
      <c r="J30" s="42" t="e">
        <f>IF(OR(Flag="Ignore",Flag="Det",Flag="Hole"),"",VertexCalc!Xnorm*Interfaces!Xnorm+VertexCalc!Ynorm*Interfaces!Ynorm+VertexCalc!Znorm*Interfaces!Znorm)</f>
        <v>#VALUE!</v>
      </c>
      <c r="K30" s="42" t="e">
        <f>IF(OR(Flag="Ignore",Flag="Det",Flag="Hole"),"",VertexCalc!Xsag*Interfaces!Xnorm+VertexCalc!Ysag*Interfaces!Ynorm+VertexCalc!Zsag*Interfaces!Znorm)</f>
        <v>#VALUE!</v>
      </c>
      <c r="L30" s="42" t="e">
        <f>IF(OR(Flag="Ignore",Flag="Det",Flag="Hole"),"",VertexCalc!Xtang*Interfaces!Xnorm+VertexCalc!Ytang*Interfaces!Ynorm+VertexCalc!Ztang*Interfaces!Znorm)</f>
        <v>#VALUE!</v>
      </c>
      <c r="M30" s="41" t="e">
        <f t="shared" si="0"/>
        <v>#VALUE!</v>
      </c>
      <c r="N30" s="42" t="e">
        <f t="shared" si="1"/>
        <v>#VALUE!</v>
      </c>
      <c r="O30" s="43" t="e">
        <f t="shared" si="2"/>
        <v>#VALUE!</v>
      </c>
      <c r="P30" s="42" t="e">
        <f>IF(OR(Flag="Ignore",Flag="Det",Flag="Hole"),"",VertexCalc!Xnorm*Interfaces!Xsag+VertexCalc!Ynorm*Interfaces!Ysag+VertexCalc!Znorm*Interfaces!Zsag)</f>
        <v>#VALUE!</v>
      </c>
      <c r="Q30" s="42" t="e">
        <f>IF(OR(Flag="Ignore",Flag="Det",Flag="Hole"),"",VertexCalc!Xsag*Interfaces!Xsag+VertexCalc!Ysag*Interfaces!Ysag+VertexCalc!Zsag*Interfaces!Zsag)</f>
        <v>#VALUE!</v>
      </c>
      <c r="R30" s="42" t="e">
        <f>IF(OR(Flag="Ignore",Flag="Det",Flag="Hole"),"",VertexCalc!Xtang*Interfaces!Xsag+VertexCalc!Ytang*Interfaces!Ysag+VertexCalc!Ztang*Interfaces!Zsag)</f>
        <v>#VALUE!</v>
      </c>
      <c r="S30" s="41" t="e">
        <f t="shared" si="3"/>
        <v>#VALUE!</v>
      </c>
      <c r="T30" s="42" t="e">
        <f t="shared" si="4"/>
        <v>#VALUE!</v>
      </c>
      <c r="U30" s="43" t="e">
        <f t="shared" si="5"/>
        <v>#VALUE!</v>
      </c>
      <c r="V30" s="20" t="e">
        <f t="shared" si="6"/>
        <v>#VALUE!</v>
      </c>
    </row>
    <row r="31" spans="3:22" ht="12.75">
      <c r="C31" s="18"/>
      <c r="D31" s="19" t="s">
        <v>465</v>
      </c>
      <c r="E31" s="19" t="s">
        <v>471</v>
      </c>
      <c r="F31" s="19"/>
      <c r="G31" s="41">
        <f>IF(OR(Flag="Ignore",Flag="Det",Flag="Hole"),"",VertexCalc!Xnorm*(Interfaces!Xmirr-VertexCalc!Xmirr)+VertexCalc!Ynorm*(Interfaces!Ymirr-VertexCalc!Ymirr)+VertexCalc!Znorm*(Interfaces!Zmirr-VertexCalc!Zmirr))</f>
        <v>0</v>
      </c>
      <c r="H31" s="42">
        <f>IF(OR(Flag="Ignore",Flag="Det",Flag="Hole"),"",VertexCalc!Xsag*(Interfaces!Xmirr-VertexCalc!Xmirr)+VertexCalc!Ysag*(Interfaces!Ymirr-VertexCalc!Ymirr)+VertexCalc!Zsag*(Interfaces!Zmirr-VertexCalc!Zmirr))</f>
        <v>0</v>
      </c>
      <c r="I31" s="43">
        <f>IF(OR(Flag="Ignore",Flag="Det",Flag="Hole"),"",VertexCalc!Xtang*(Interfaces!Xmirr-VertexCalc!Xmirr)+VertexCalc!Ytang*(Interfaces!Ymirr-VertexCalc!Ymirr)+VertexCalc!Ztang*(Interfaces!Zmirr-VertexCalc!Zmirr))</f>
        <v>0</v>
      </c>
      <c r="J31" s="42">
        <f>IF(OR(Flag="Ignore",Flag="Det",Flag="Hole"),"",VertexCalc!Xnorm*Interfaces!Xnorm+VertexCalc!Ynorm*Interfaces!Ynorm+VertexCalc!Znorm*Interfaces!Znorm)</f>
        <v>0.9999999998109235</v>
      </c>
      <c r="K31" s="42">
        <f>IF(OR(Flag="Ignore",Flag="Det",Flag="Hole"),"",VertexCalc!Xsag*Interfaces!Xnorm+VertexCalc!Ysag*Interfaces!Ynorm+VertexCalc!Zsag*Interfaces!Znorm)</f>
        <v>8.673617379884035E-19</v>
      </c>
      <c r="L31" s="42">
        <f>IF(OR(Flag="Ignore",Flag="Det",Flag="Hole"),"",VertexCalc!Xtang*Interfaces!Xnorm+VertexCalc!Ytang*Interfaces!Ynorm+VertexCalc!Ztang*Interfaces!Znorm)</f>
        <v>0</v>
      </c>
      <c r="M31" s="41">
        <f t="shared" si="0"/>
        <v>0.9999999998109235</v>
      </c>
      <c r="N31" s="42">
        <f t="shared" si="1"/>
        <v>8.673617379884035E-19</v>
      </c>
      <c r="O31" s="43">
        <f t="shared" si="2"/>
        <v>0</v>
      </c>
      <c r="P31" s="42">
        <f>IF(OR(Flag="Ignore",Flag="Det",Flag="Hole"),"",VertexCalc!Xnorm*Interfaces!Xsag+VertexCalc!Ynorm*Interfaces!Ysag+VertexCalc!Znorm*Interfaces!Zsag)</f>
        <v>0</v>
      </c>
      <c r="Q31" s="42">
        <f>IF(OR(Flag="Ignore",Flag="Det",Flag="Hole"),"",VertexCalc!Xsag*Interfaces!Xsag+VertexCalc!Ysag*Interfaces!Ysag+VertexCalc!Zsag*Interfaces!Zsag)</f>
        <v>0.9999999999999999</v>
      </c>
      <c r="R31" s="42">
        <f>IF(OR(Flag="Ignore",Flag="Det",Flag="Hole"),"",VertexCalc!Xtang*Interfaces!Xsag+VertexCalc!Ytang*Interfaces!Ysag+VertexCalc!Ztang*Interfaces!Zsag)</f>
        <v>3.469446951953614E-18</v>
      </c>
      <c r="S31" s="41">
        <f t="shared" si="3"/>
        <v>0</v>
      </c>
      <c r="T31" s="42">
        <f t="shared" si="4"/>
        <v>0.9999999999999999</v>
      </c>
      <c r="U31" s="43">
        <f t="shared" si="5"/>
        <v>3.469446951953614E-18</v>
      </c>
      <c r="V31" s="20">
        <f t="shared" si="6"/>
        <v>90</v>
      </c>
    </row>
    <row r="32" spans="3:22" ht="12.75">
      <c r="C32" s="18"/>
      <c r="D32" s="19" t="s">
        <v>466</v>
      </c>
      <c r="E32" s="19" t="s">
        <v>471</v>
      </c>
      <c r="F32" s="19"/>
      <c r="G32" s="41">
        <f>IF(OR(Flag="Ignore",Flag="Det",Flag="Hole"),"",VertexCalc!Xnorm*(Interfaces!Xmirr-VertexCalc!Xmirr)+VertexCalc!Ynorm*(Interfaces!Ymirr-VertexCalc!Ymirr)+VertexCalc!Znorm*(Interfaces!Zmirr-VertexCalc!Zmirr))</f>
        <v>0</v>
      </c>
      <c r="H32" s="42">
        <f>IF(OR(Flag="Ignore",Flag="Det",Flag="Hole"),"",VertexCalc!Xsag*(Interfaces!Xmirr-VertexCalc!Xmirr)+VertexCalc!Ysag*(Interfaces!Ymirr-VertexCalc!Ymirr)+VertexCalc!Zsag*(Interfaces!Zmirr-VertexCalc!Zmirr))</f>
        <v>0</v>
      </c>
      <c r="I32" s="43">
        <f>IF(OR(Flag="Ignore",Flag="Det",Flag="Hole"),"",VertexCalc!Xtang*(Interfaces!Xmirr-VertexCalc!Xmirr)+VertexCalc!Ytang*(Interfaces!Ymirr-VertexCalc!Ymirr)+VertexCalc!Ztang*(Interfaces!Zmirr-VertexCalc!Zmirr))</f>
        <v>0</v>
      </c>
      <c r="J32" s="42">
        <f>IF(OR(Flag="Ignore",Flag="Det",Flag="Hole"),"",VertexCalc!Xnorm*Interfaces!Xnorm+VertexCalc!Ynorm*Interfaces!Ynorm+VertexCalc!Znorm*Interfaces!Znorm)</f>
        <v>-0.9999999999999998</v>
      </c>
      <c r="K32" s="42">
        <f>IF(OR(Flag="Ignore",Flag="Det",Flag="Hole"),"",VertexCalc!Xsag*Interfaces!Xnorm+VertexCalc!Ysag*Interfaces!Ynorm+VertexCalc!Zsag*Interfaces!Znorm)</f>
        <v>3.469446951953614E-18</v>
      </c>
      <c r="L32" s="42">
        <f>IF(OR(Flag="Ignore",Flag="Det",Flag="Hole"),"",VertexCalc!Xtang*Interfaces!Xnorm+VertexCalc!Ytang*Interfaces!Ynorm+VertexCalc!Ztang*Interfaces!Znorm)</f>
        <v>0</v>
      </c>
      <c r="M32" s="41">
        <f t="shared" si="0"/>
        <v>-0.9999999999999998</v>
      </c>
      <c r="N32" s="42">
        <f t="shared" si="1"/>
        <v>3.469446951953614E-18</v>
      </c>
      <c r="O32" s="43">
        <f t="shared" si="2"/>
        <v>0</v>
      </c>
      <c r="P32" s="42">
        <f>IF(OR(Flag="Ignore",Flag="Det",Flag="Hole"),"",VertexCalc!Xnorm*Interfaces!Xsag+VertexCalc!Ynorm*Interfaces!Ysag+VertexCalc!Znorm*Interfaces!Zsag)</f>
        <v>-5.724587470723463E-17</v>
      </c>
      <c r="Q32" s="42">
        <f>IF(OR(Flag="Ignore",Flag="Det",Flag="Hole"),"",VertexCalc!Xsag*Interfaces!Xsag+VertexCalc!Ysag*Interfaces!Ysag+VertexCalc!Zsag*Interfaces!Zsag)</f>
        <v>1</v>
      </c>
      <c r="R32" s="42">
        <f>IF(OR(Flag="Ignore",Flag="Det",Flag="Hole"),"",VertexCalc!Xtang*Interfaces!Xsag+VertexCalc!Ytang*Interfaces!Ysag+VertexCalc!Ztang*Interfaces!Zsag)</f>
        <v>1.3877787807814457E-17</v>
      </c>
      <c r="S32" s="41">
        <f t="shared" si="3"/>
        <v>-5.724587470723463E-17</v>
      </c>
      <c r="T32" s="42">
        <f t="shared" si="4"/>
        <v>1</v>
      </c>
      <c r="U32" s="43">
        <f t="shared" si="5"/>
        <v>1.3877787807814457E-17</v>
      </c>
      <c r="V32" s="20">
        <f t="shared" si="6"/>
        <v>90</v>
      </c>
    </row>
    <row r="33" spans="3:22" ht="13.5" thickBot="1">
      <c r="C33" s="14"/>
      <c r="D33" s="15" t="s">
        <v>467</v>
      </c>
      <c r="E33" s="15" t="s">
        <v>471</v>
      </c>
      <c r="F33" s="15" t="s">
        <v>145</v>
      </c>
      <c r="G33" s="47">
        <f>IF(OR(Flag="Ignore",Flag="Det",Flag="Hole"),"",VertexCalc!Xnorm*(Interfaces!Xmirr-VertexCalc!Xmirr)+VertexCalc!Ynorm*(Interfaces!Ymirr-VertexCalc!Ymirr)+VertexCalc!Znorm*(Interfaces!Zmirr-VertexCalc!Zmirr))</f>
      </c>
      <c r="H33" s="48">
        <f>IF(OR(Flag="Ignore",Flag="Det",Flag="Hole"),"",VertexCalc!Xsag*(Interfaces!Xmirr-VertexCalc!Xmirr)+VertexCalc!Ysag*(Interfaces!Ymirr-VertexCalc!Ymirr)+VertexCalc!Zsag*(Interfaces!Zmirr-VertexCalc!Zmirr))</f>
      </c>
      <c r="I33" s="49">
        <f>IF(OR(Flag="Ignore",Flag="Det",Flag="Hole"),"",VertexCalc!Xtang*(Interfaces!Xmirr-VertexCalc!Xmirr)+VertexCalc!Ytang*(Interfaces!Ymirr-VertexCalc!Ymirr)+VertexCalc!Ztang*(Interfaces!Zmirr-VertexCalc!Zmirr))</f>
      </c>
      <c r="J33" s="48">
        <f>IF(OR(Flag="Ignore",Flag="Det",Flag="Hole"),"",VertexCalc!Xnorm*Interfaces!Xnorm+VertexCalc!Ynorm*Interfaces!Ynorm+VertexCalc!Znorm*Interfaces!Znorm)</f>
      </c>
      <c r="K33" s="48">
        <f>IF(OR(Flag="Ignore",Flag="Det",Flag="Hole"),"",VertexCalc!Xsag*Interfaces!Xnorm+VertexCalc!Ysag*Interfaces!Ynorm+VertexCalc!Zsag*Interfaces!Znorm)</f>
      </c>
      <c r="L33" s="48">
        <f>IF(OR(Flag="Ignore",Flag="Det",Flag="Hole"),"",VertexCalc!Xtang*Interfaces!Xnorm+VertexCalc!Ytang*Interfaces!Ynorm+VertexCalc!Ztang*Interfaces!Znorm)</f>
      </c>
      <c r="M33" s="47">
        <f t="shared" si="0"/>
      </c>
      <c r="N33" s="48">
        <f t="shared" si="1"/>
      </c>
      <c r="O33" s="49">
        <f t="shared" si="2"/>
      </c>
      <c r="P33" s="48">
        <f>IF(OR(Flag="Ignore",Flag="Det",Flag="Hole"),"",VertexCalc!Xnorm*Interfaces!Xsag+VertexCalc!Ynorm*Interfaces!Ysag+VertexCalc!Znorm*Interfaces!Zsag)</f>
      </c>
      <c r="Q33" s="48">
        <f>IF(OR(Flag="Ignore",Flag="Det",Flag="Hole"),"",VertexCalc!Xsag*Interfaces!Xsag+VertexCalc!Ysag*Interfaces!Ysag+VertexCalc!Zsag*Interfaces!Zsag)</f>
      </c>
      <c r="R33" s="48">
        <f>IF(OR(Flag="Ignore",Flag="Det",Flag="Hole"),"",VertexCalc!Xtang*Interfaces!Xsag+VertexCalc!Ytang*Interfaces!Ysag+VertexCalc!Ztang*Interfaces!Zsag)</f>
      </c>
      <c r="S33" s="47">
        <f t="shared" si="3"/>
      </c>
      <c r="T33" s="48">
        <f t="shared" si="4"/>
      </c>
      <c r="U33" s="49">
        <f t="shared" si="5"/>
      </c>
      <c r="V33" s="20">
        <f t="shared" si="6"/>
      </c>
    </row>
    <row r="34" spans="3:6" ht="12.75">
      <c r="C34" s="19"/>
      <c r="D34" s="19"/>
      <c r="E34" s="19"/>
      <c r="F34" s="19"/>
    </row>
    <row r="35" spans="3:6" ht="12.75">
      <c r="C35" s="19"/>
      <c r="D35" s="19"/>
      <c r="E35" s="19"/>
      <c r="F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6" ht="12.75">
      <c r="C40" s="19"/>
      <c r="D40" s="19"/>
      <c r="E40" s="19"/>
      <c r="F40" s="19"/>
    </row>
    <row r="41" spans="3:6" ht="12.75">
      <c r="C41" s="31" t="s">
        <v>46</v>
      </c>
      <c r="D41" s="31" t="s">
        <v>375</v>
      </c>
      <c r="E41" s="31" t="s">
        <v>268</v>
      </c>
      <c r="F41" s="31" t="s">
        <v>376</v>
      </c>
    </row>
    <row r="42" spans="3:6" ht="12.75">
      <c r="C42" s="19" t="s">
        <v>17</v>
      </c>
      <c r="D42" s="19" t="str">
        <f>"-Zsyno"</f>
        <v>-Zsyno</v>
      </c>
      <c r="E42" s="19" t="s">
        <v>372</v>
      </c>
      <c r="F42" s="19" t="s">
        <v>112</v>
      </c>
    </row>
    <row r="43" spans="3:6" ht="12.75">
      <c r="C43" s="19" t="s">
        <v>80</v>
      </c>
      <c r="D43" s="19" t="s">
        <v>118</v>
      </c>
      <c r="E43" s="19" t="s">
        <v>373</v>
      </c>
      <c r="F43" s="19" t="s">
        <v>113</v>
      </c>
    </row>
    <row r="44" spans="3:6" ht="12.75">
      <c r="C44" s="19" t="s">
        <v>81</v>
      </c>
      <c r="D44" s="19" t="s">
        <v>119</v>
      </c>
      <c r="E44" s="19" t="s">
        <v>374</v>
      </c>
      <c r="F44" s="19" t="s">
        <v>114</v>
      </c>
    </row>
    <row r="45" spans="3:6" ht="12.75">
      <c r="C45" s="19"/>
      <c r="D45" s="19"/>
      <c r="E45" s="19"/>
      <c r="F45" s="19"/>
    </row>
    <row r="46" spans="3:6" ht="12.75">
      <c r="C46" s="19" t="s">
        <v>366</v>
      </c>
      <c r="D46" s="19">
        <v>-1</v>
      </c>
      <c r="E46" s="19"/>
      <c r="F46" s="19"/>
    </row>
    <row r="47" spans="3:6" ht="12.75">
      <c r="C47" s="19" t="s">
        <v>367</v>
      </c>
      <c r="D47" s="19">
        <v>-1</v>
      </c>
      <c r="E47" s="19"/>
      <c r="F47" s="19"/>
    </row>
    <row r="48" spans="3:6" ht="12.75">
      <c r="C48" s="19"/>
      <c r="D48" s="19"/>
      <c r="E48" s="19"/>
      <c r="F48" s="19"/>
    </row>
  </sheetData>
  <printOptions/>
  <pageMargins left="0.31" right="0.33" top="0.984251968503937" bottom="0.984251968503937" header="0.5118110236220472" footer="0.5118110236220472"/>
  <pageSetup horizontalDpi="600" verticalDpi="600" orientation="landscape" paperSize="9" scale="65" r:id="rId1"/>
  <headerFooter alignWithMargins="0">
    <oddHeader>&amp;L&amp;F, &amp;A&amp;R&amp;T, &amp;D</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X48"/>
  <sheetViews>
    <sheetView zoomScale="80" zoomScaleNormal="80" workbookViewId="0" topLeftCell="A1">
      <pane xSplit="13200" topLeftCell="S1" activePane="topRight" state="split"/>
      <selection pane="topLeft" activeCell="G1" sqref="G1"/>
      <selection pane="topRight" activeCell="Y1" sqref="Y1:Y16384"/>
    </sheetView>
  </sheetViews>
  <sheetFormatPr defaultColWidth="12" defaultRowHeight="12.75"/>
  <cols>
    <col min="1" max="1" width="12" style="52" customWidth="1"/>
    <col min="2" max="2" width="15" style="52" customWidth="1"/>
    <col min="3" max="3" width="20.16015625" style="1" customWidth="1"/>
    <col min="4" max="6" width="12" style="1" customWidth="1"/>
    <col min="7" max="9" width="10.83203125" style="42" customWidth="1"/>
    <col min="10" max="10" width="12.33203125" style="42" customWidth="1"/>
    <col min="11" max="11" width="9.5" style="42" customWidth="1"/>
    <col min="12" max="12" width="11" style="42" customWidth="1"/>
    <col min="13" max="13" width="12.16015625" style="42" customWidth="1"/>
    <col min="14" max="16" width="8.83203125" style="42" customWidth="1"/>
    <col min="17" max="17" width="12" style="42" customWidth="1"/>
    <col min="18" max="23" width="9.33203125" style="42" customWidth="1"/>
    <col min="24" max="24" width="12" style="42" customWidth="1"/>
    <col min="25" max="16384" width="12" style="52" customWidth="1"/>
  </cols>
  <sheetData>
    <row r="1" spans="3:24" s="50" customFormat="1" ht="12.75">
      <c r="C1" s="5" t="s">
        <v>111</v>
      </c>
      <c r="D1" s="5" t="s">
        <v>2</v>
      </c>
      <c r="E1" s="5" t="s">
        <v>469</v>
      </c>
      <c r="F1" s="5" t="s">
        <v>143</v>
      </c>
      <c r="G1" s="38" t="str">
        <f>"X"&amp;Ray</f>
        <v>Xgut</v>
      </c>
      <c r="H1" s="39" t="str">
        <f>"Y"&amp;Ray</f>
        <v>Ygut</v>
      </c>
      <c r="I1" s="40" t="str">
        <f>"Z"&amp;Ray</f>
        <v>Zgut</v>
      </c>
      <c r="J1" s="51" t="s">
        <v>123</v>
      </c>
      <c r="K1" s="51" t="s">
        <v>124</v>
      </c>
      <c r="L1" s="51" t="s">
        <v>125</v>
      </c>
      <c r="M1" s="71" t="s">
        <v>126</v>
      </c>
      <c r="N1" s="51" t="s">
        <v>127</v>
      </c>
      <c r="O1" s="51" t="s">
        <v>128</v>
      </c>
      <c r="P1" s="51" t="s">
        <v>129</v>
      </c>
      <c r="Q1" s="38" t="s">
        <v>130</v>
      </c>
      <c r="R1" s="39" t="s">
        <v>131</v>
      </c>
      <c r="S1" s="40" t="s">
        <v>132</v>
      </c>
      <c r="T1" s="51" t="s">
        <v>133</v>
      </c>
      <c r="U1" s="38" t="s">
        <v>14</v>
      </c>
      <c r="V1" s="39" t="s">
        <v>15</v>
      </c>
      <c r="W1" s="40" t="s">
        <v>16</v>
      </c>
      <c r="X1" s="51" t="s">
        <v>364</v>
      </c>
    </row>
    <row r="2" spans="1:24" ht="13.5" thickBot="1">
      <c r="A2" s="52" t="s">
        <v>483</v>
      </c>
      <c r="B2" s="52" t="str">
        <f>GutRayUp!J4</f>
        <v>(BOLSP501E)</v>
      </c>
      <c r="D2" s="1" t="s">
        <v>91</v>
      </c>
      <c r="E2" s="1" t="s">
        <v>470</v>
      </c>
      <c r="F2" s="1" t="s">
        <v>110</v>
      </c>
      <c r="G2" s="41">
        <f ca="1">INDIRECT("RayImpacts!"&amp;G$1)</f>
        <v>3252.162</v>
      </c>
      <c r="H2" s="42">
        <f ca="1" t="shared" si="0" ref="H2:I17">INDIRECT("RayImpacts!"&amp;H$1)</f>
        <v>41.140746</v>
      </c>
      <c r="I2" s="43">
        <f ca="1" t="shared" si="0"/>
        <v>61.187248</v>
      </c>
      <c r="J2" s="42">
        <f>IF(Flag="Ignore","",G2-G1)</f>
      </c>
      <c r="K2" s="42">
        <f>IF(Flag="Ignore","",H2-H1)</f>
      </c>
      <c r="L2" s="42">
        <f>IF(Flag="Ignore","",I2-I1)</f>
      </c>
      <c r="M2" s="72">
        <f aca="true" t="shared" si="1" ref="M2:M33">IF(Flag="ignore","",SQRT(Xdiff^2+Ydiff^2+Zdiff^2))</f>
      </c>
      <c r="N2" s="42">
        <f aca="true" t="shared" si="2" ref="N2:N33">IF(Flag="ignore","",Xdiff/DiffMod)</f>
      </c>
      <c r="O2" s="42">
        <f aca="true" t="shared" si="3" ref="O2:O33">IF(Flag="ignore","",Ydiff/DiffMod)</f>
      </c>
      <c r="P2" s="42">
        <f aca="true" t="shared" si="4" ref="P2:P33">IF(Flag="ignore","",Zdiff/DiffMod)</f>
      </c>
      <c r="Q2" s="41">
        <f>IF(OR(Flag="Ignore",Flag="Det",Flag="Hole"),"",N3-Xray)</f>
      </c>
      <c r="R2" s="42">
        <f>IF(OR(Flag="Ignore",Flag="Det",Flag="Hole"),"",O3-Yray)</f>
      </c>
      <c r="S2" s="43">
        <f>IF(OR(Flag="Ignore",Flag="Det",Flag="Hole"),"",P3-Zray)</f>
      </c>
      <c r="T2" s="42">
        <f>IF(OR(Flag="Ignore",Flag="Det",Flag="Hole"),"",SQRT(dXray^2+dYray^2+dZray^2))</f>
      </c>
      <c r="U2" s="41">
        <f>IF(OR(Flag="Ignore",Flag="Det",Flag="Hole"),"",dXray/drayMod)</f>
      </c>
      <c r="V2" s="42">
        <f>IF(OR(Flag="Ignore",Flag="Det",Flag="Hole"),"",dYray/drayMod)</f>
      </c>
      <c r="W2" s="43">
        <f>IF(OR(Flag="Ignore",Flag="Det",Flag="Hole"),"",dZray/drayMod)</f>
      </c>
      <c r="X2" s="42">
        <f>IF(OR(Flag="Ignore",Flag="Det",Flag="Hole"),"",SIGN(Xnorm))</f>
      </c>
    </row>
    <row r="3" spans="1:24" ht="12.75">
      <c r="A3" s="52" t="s">
        <v>482</v>
      </c>
      <c r="B3" s="52" t="str">
        <f>GutRayLo!J4</f>
        <v>(BOLSP501F_LO)</v>
      </c>
      <c r="C3" s="10" t="s">
        <v>108</v>
      </c>
      <c r="D3" s="11" t="s">
        <v>92</v>
      </c>
      <c r="E3" s="11" t="s">
        <v>470</v>
      </c>
      <c r="F3" s="11"/>
      <c r="G3" s="44">
        <f ca="1" t="shared" si="5" ref="G3:I23">INDIRECT("RayImpacts!"&amp;G$1)</f>
        <v>1252.785036</v>
      </c>
      <c r="H3" s="45">
        <f ca="1" t="shared" si="0"/>
        <v>36.848567</v>
      </c>
      <c r="I3" s="46">
        <f ca="1" t="shared" si="0"/>
        <v>54.803634</v>
      </c>
      <c r="J3" s="45">
        <f aca="true" t="shared" si="6" ref="J3:J22">IF(Flag="Ignore","",G3-G2)</f>
        <v>-1999.3769639999998</v>
      </c>
      <c r="K3" s="45">
        <f aca="true" t="shared" si="7" ref="K3:K22">IF(Flag="Ignore","",H3-H2)</f>
        <v>-4.292178999999997</v>
      </c>
      <c r="L3" s="45">
        <f aca="true" t="shared" si="8" ref="L3:L22">IF(Flag="Ignore","",I3-I2)</f>
        <v>-6.383613999999994</v>
      </c>
      <c r="M3" s="74">
        <f t="shared" si="1"/>
        <v>1999.3917618871308</v>
      </c>
      <c r="N3" s="45">
        <f t="shared" si="2"/>
        <v>-0.9999925988055902</v>
      </c>
      <c r="O3" s="45">
        <f t="shared" si="3"/>
        <v>-0.0021467423652625304</v>
      </c>
      <c r="P3" s="45">
        <f t="shared" si="4"/>
        <v>-0.0031927779846280873</v>
      </c>
      <c r="Q3" s="44">
        <f aca="true" t="shared" si="9" ref="Q3:Q22">IF(OR(Flag="Ignore",Flag="Det",Flag="Hole"),"",N4-Xray)</f>
        <v>1.9991282779733466</v>
      </c>
      <c r="R3" s="45">
        <f aca="true" t="shared" si="10" ref="R3:R22">IF(OR(Flag="Ignore",Flag="Det",Flag="Hole"),"",O4-Yray)</f>
        <v>-0.021047141545921938</v>
      </c>
      <c r="S3" s="46">
        <f aca="true" t="shared" si="11" ref="S3:S22">IF(OR(Flag="Ignore",Flag="Det",Flag="Hole"),"",P4-Zray)</f>
        <v>-0.03130270524290322</v>
      </c>
      <c r="T3" s="45">
        <f aca="true" t="shared" si="12" ref="T3:T33">IF(OR(Flag="Ignore",Flag="Det",Flag="Hole"),"",SQRT(dXray^2+dYray^2+dZray^2))</f>
        <v>1.9994841117937039</v>
      </c>
      <c r="U3" s="44">
        <f aca="true" t="shared" si="13" ref="U3:U33">IF(OR(Flag="Ignore",Flag="Det",Flag="Hole"),"",dXray/drayMod)</f>
        <v>0.9998220371853628</v>
      </c>
      <c r="V3" s="45">
        <f aca="true" t="shared" si="14" ref="V3:V33">IF(OR(Flag="Ignore",Flag="Det",Flag="Hole"),"",dYray/drayMod)</f>
        <v>-0.01052628596635404</v>
      </c>
      <c r="W3" s="46">
        <f aca="true" t="shared" si="15" ref="W3:W33">IF(OR(Flag="Ignore",Flag="Det",Flag="Hole"),"",dZray/drayMod)</f>
        <v>-0.015655390837200543</v>
      </c>
      <c r="X3" s="46">
        <f aca="true" t="shared" si="16" ref="X3:X33">IF(OR(Flag="Ignore",Flag="Det",Flag="Hole"),"",SIGN(Xnorm))</f>
        <v>1</v>
      </c>
    </row>
    <row r="4" spans="3:24" ht="13.5" thickBot="1">
      <c r="C4" s="14"/>
      <c r="D4" s="15" t="s">
        <v>93</v>
      </c>
      <c r="E4" s="15" t="s">
        <v>470</v>
      </c>
      <c r="F4" s="15"/>
      <c r="G4" s="47">
        <f ca="1" t="shared" si="5"/>
        <v>2840.131</v>
      </c>
      <c r="H4" s="48">
        <f ca="1" t="shared" si="0"/>
        <v>3.77E-13</v>
      </c>
      <c r="I4" s="49">
        <f ca="1" t="shared" si="0"/>
        <v>-3.62E-13</v>
      </c>
      <c r="J4" s="48">
        <f t="shared" si="6"/>
        <v>1587.3459639999999</v>
      </c>
      <c r="K4" s="48">
        <f t="shared" si="7"/>
        <v>-36.848566999999626</v>
      </c>
      <c r="L4" s="48">
        <f t="shared" si="8"/>
        <v>-54.803634000000365</v>
      </c>
      <c r="M4" s="73">
        <f t="shared" si="1"/>
        <v>1588.719127038083</v>
      </c>
      <c r="N4" s="48">
        <f t="shared" si="2"/>
        <v>0.9991356791677564</v>
      </c>
      <c r="O4" s="48">
        <f t="shared" si="3"/>
        <v>-0.02319388391118447</v>
      </c>
      <c r="P4" s="48">
        <f t="shared" si="4"/>
        <v>-0.03449548322753131</v>
      </c>
      <c r="Q4" s="47">
        <f t="shared" si="9"/>
        <v>-1.9982713583256142</v>
      </c>
      <c r="R4" s="48">
        <f t="shared" si="10"/>
        <v>-1.782764526281344E-10</v>
      </c>
      <c r="S4" s="49">
        <f t="shared" si="11"/>
        <v>-1.6683213144297326E-10</v>
      </c>
      <c r="T4" s="48">
        <f t="shared" si="12"/>
        <v>1.9982713583256142</v>
      </c>
      <c r="U4" s="47">
        <f t="shared" si="13"/>
        <v>-1</v>
      </c>
      <c r="V4" s="48">
        <f t="shared" si="14"/>
        <v>-8.921533698882383E-11</v>
      </c>
      <c r="W4" s="49">
        <f t="shared" si="15"/>
        <v>-8.34882263351684E-11</v>
      </c>
      <c r="X4" s="49">
        <f t="shared" si="16"/>
        <v>-1</v>
      </c>
    </row>
    <row r="5" spans="1:24" ht="13.5" thickBot="1">
      <c r="A5" s="52" t="s">
        <v>3</v>
      </c>
      <c r="B5" s="53" t="s">
        <v>134</v>
      </c>
      <c r="C5" s="18" t="s">
        <v>109</v>
      </c>
      <c r="D5" s="19" t="s">
        <v>94</v>
      </c>
      <c r="E5" s="19" t="s">
        <v>470</v>
      </c>
      <c r="F5" s="19" t="s">
        <v>144</v>
      </c>
      <c r="G5" s="41">
        <f ca="1" t="shared" si="5"/>
        <v>241.659771</v>
      </c>
      <c r="H5" s="42">
        <f ca="1" t="shared" si="0"/>
        <v>-60.320777</v>
      </c>
      <c r="I5" s="43">
        <f ca="1" t="shared" si="0"/>
        <v>-89.713062</v>
      </c>
      <c r="J5" s="42">
        <f t="shared" si="6"/>
        <v>-2598.4712289999998</v>
      </c>
      <c r="K5" s="42">
        <f t="shared" si="7"/>
        <v>-60.320777000000376</v>
      </c>
      <c r="L5" s="42">
        <f t="shared" si="8"/>
        <v>-89.71306199999964</v>
      </c>
      <c r="M5" s="72">
        <f t="shared" si="1"/>
        <v>2600.719084709471</v>
      </c>
      <c r="N5" s="42">
        <f t="shared" si="2"/>
        <v>-0.9991356791578578</v>
      </c>
      <c r="O5" s="42">
        <f t="shared" si="3"/>
        <v>-0.023193884089460923</v>
      </c>
      <c r="P5" s="42">
        <f t="shared" si="4"/>
        <v>-0.03449548339436344</v>
      </c>
      <c r="Q5" s="41">
        <f t="shared" si="9"/>
      </c>
      <c r="R5" s="42">
        <f t="shared" si="10"/>
      </c>
      <c r="S5" s="43">
        <f t="shared" si="11"/>
      </c>
      <c r="T5" s="42">
        <f t="shared" si="12"/>
      </c>
      <c r="U5" s="41">
        <f t="shared" si="13"/>
      </c>
      <c r="V5" s="42">
        <f t="shared" si="14"/>
      </c>
      <c r="W5" s="43">
        <f t="shared" si="15"/>
      </c>
      <c r="X5" s="42">
        <f t="shared" si="16"/>
      </c>
    </row>
    <row r="6" spans="3:24" ht="12.75">
      <c r="C6" s="18"/>
      <c r="D6" s="19" t="s">
        <v>95</v>
      </c>
      <c r="E6" s="19" t="s">
        <v>470</v>
      </c>
      <c r="F6" s="19"/>
      <c r="G6" s="41">
        <f ca="1" t="shared" si="5"/>
        <v>136.530948</v>
      </c>
      <c r="H6" s="42">
        <f ca="1" t="shared" si="0"/>
        <v>-62.761232</v>
      </c>
      <c r="I6" s="43">
        <f ca="1" t="shared" si="0"/>
        <v>-93.342669</v>
      </c>
      <c r="J6" s="42">
        <f t="shared" si="6"/>
        <v>-105.12882300000001</v>
      </c>
      <c r="K6" s="42">
        <f t="shared" si="7"/>
        <v>-2.440455</v>
      </c>
      <c r="L6" s="42">
        <f t="shared" si="8"/>
        <v>-3.629607000000007</v>
      </c>
      <c r="M6" s="72">
        <f t="shared" si="1"/>
        <v>105.21976664556335</v>
      </c>
      <c r="N6" s="42">
        <f t="shared" si="2"/>
        <v>-0.9991356790794862</v>
      </c>
      <c r="O6" s="42">
        <f t="shared" si="3"/>
        <v>-0.02319388340995625</v>
      </c>
      <c r="P6" s="42">
        <f t="shared" si="4"/>
        <v>-0.03449548612121971</v>
      </c>
      <c r="Q6" s="41">
        <f t="shared" si="9"/>
        <v>1.821523986397946</v>
      </c>
      <c r="R6" s="42">
        <f t="shared" si="10"/>
        <v>0.31178140231657364</v>
      </c>
      <c r="S6" s="43">
        <f t="shared" si="11"/>
        <v>-0.4558051521785902</v>
      </c>
      <c r="T6" s="42">
        <f t="shared" si="12"/>
        <v>1.9033958108092237</v>
      </c>
      <c r="U6" s="41">
        <f t="shared" si="13"/>
        <v>0.9569864428899473</v>
      </c>
      <c r="V6" s="42">
        <f t="shared" si="14"/>
        <v>0.16380271541315444</v>
      </c>
      <c r="W6" s="43">
        <f t="shared" si="15"/>
        <v>-0.23946945222329025</v>
      </c>
      <c r="X6" s="42">
        <f t="shared" si="16"/>
        <v>1</v>
      </c>
    </row>
    <row r="7" spans="3:24" ht="12.75">
      <c r="C7" s="18"/>
      <c r="D7" s="19" t="s">
        <v>97</v>
      </c>
      <c r="E7" s="19" t="s">
        <v>470</v>
      </c>
      <c r="F7" s="19"/>
      <c r="G7" s="41">
        <f ca="1" t="shared" si="5"/>
        <v>316.03790200000003</v>
      </c>
      <c r="H7" s="42">
        <f ca="1" t="shared" si="0"/>
        <v>0.23026</v>
      </c>
      <c r="I7" s="43">
        <f ca="1" t="shared" si="0"/>
        <v>-200.363128</v>
      </c>
      <c r="J7" s="42">
        <f t="shared" si="6"/>
        <v>179.50695400000004</v>
      </c>
      <c r="K7" s="42">
        <f t="shared" si="7"/>
        <v>62.991492</v>
      </c>
      <c r="L7" s="42">
        <f t="shared" si="8"/>
        <v>-107.02045899999999</v>
      </c>
      <c r="M7" s="72">
        <f t="shared" si="1"/>
        <v>218.27517779929735</v>
      </c>
      <c r="N7" s="42">
        <f t="shared" si="2"/>
        <v>0.8223883073184599</v>
      </c>
      <c r="O7" s="42">
        <f t="shared" si="3"/>
        <v>0.2885875189066174</v>
      </c>
      <c r="P7" s="42">
        <f t="shared" si="4"/>
        <v>-0.4903006382998099</v>
      </c>
      <c r="Q7" s="41">
        <f t="shared" si="9"/>
        <v>-1.7760753941938705</v>
      </c>
      <c r="R7" s="42">
        <f t="shared" si="10"/>
        <v>-2.5808906678470578E-09</v>
      </c>
      <c r="S7" s="43">
        <f t="shared" si="11"/>
        <v>0.5751427607864686</v>
      </c>
      <c r="T7" s="42">
        <f t="shared" si="12"/>
        <v>1.866877875262866</v>
      </c>
      <c r="U7" s="41">
        <f t="shared" si="13"/>
        <v>-0.9513613170565803</v>
      </c>
      <c r="V7" s="42">
        <f t="shared" si="14"/>
        <v>-1.3824635783868053E-09</v>
      </c>
      <c r="W7" s="43">
        <f t="shared" si="15"/>
        <v>0.30807733510982105</v>
      </c>
      <c r="X7" s="42">
        <f t="shared" si="16"/>
        <v>-1</v>
      </c>
    </row>
    <row r="8" spans="3:24" ht="13.5" thickBot="1">
      <c r="C8" s="18"/>
      <c r="D8" s="19" t="s">
        <v>98</v>
      </c>
      <c r="E8" s="19" t="s">
        <v>470</v>
      </c>
      <c r="F8" s="19"/>
      <c r="G8" s="41">
        <f ca="1" t="shared" si="5"/>
        <v>125.120751</v>
      </c>
      <c r="H8" s="42">
        <f ca="1" t="shared" si="0"/>
        <v>58.002151</v>
      </c>
      <c r="I8" s="43">
        <f ca="1" t="shared" si="0"/>
        <v>-183.378714</v>
      </c>
      <c r="J8" s="42">
        <f t="shared" si="6"/>
        <v>-190.91715100000005</v>
      </c>
      <c r="K8" s="42">
        <f t="shared" si="7"/>
        <v>57.771891</v>
      </c>
      <c r="L8" s="42">
        <f t="shared" si="8"/>
        <v>16.984413999999987</v>
      </c>
      <c r="M8" s="72">
        <f t="shared" si="1"/>
        <v>200.1884618418257</v>
      </c>
      <c r="N8" s="42">
        <f t="shared" si="2"/>
        <v>-0.9536870868754106</v>
      </c>
      <c r="O8" s="42">
        <f t="shared" si="3"/>
        <v>0.2885875163257267</v>
      </c>
      <c r="P8" s="42">
        <f t="shared" si="4"/>
        <v>0.08484212248665875</v>
      </c>
      <c r="Q8" s="41">
        <f t="shared" si="9"/>
        <v>1.8605027882111802</v>
      </c>
      <c r="R8" s="42">
        <f t="shared" si="10"/>
        <v>-0.40972676982156614</v>
      </c>
      <c r="S8" s="43">
        <f t="shared" si="11"/>
        <v>-0.4885877912849595</v>
      </c>
      <c r="T8" s="42">
        <f t="shared" si="12"/>
        <v>1.966739606720398</v>
      </c>
      <c r="U8" s="41">
        <f t="shared" si="13"/>
        <v>0.94598328210496</v>
      </c>
      <c r="V8" s="42">
        <f t="shared" si="14"/>
        <v>-0.20832791917217694</v>
      </c>
      <c r="W8" s="43">
        <f t="shared" si="15"/>
        <v>-0.24842525650850927</v>
      </c>
      <c r="X8" s="42">
        <f t="shared" si="16"/>
        <v>1</v>
      </c>
    </row>
    <row r="9" spans="3:24" ht="12.75">
      <c r="C9" s="10" t="s">
        <v>443</v>
      </c>
      <c r="D9" s="11" t="s">
        <v>444</v>
      </c>
      <c r="E9" s="11" t="s">
        <v>470</v>
      </c>
      <c r="F9" s="11"/>
      <c r="G9" s="44">
        <f ca="1" t="shared" si="5"/>
        <v>306.147395</v>
      </c>
      <c r="H9" s="45">
        <f ca="1" t="shared" si="0"/>
        <v>33.819252</v>
      </c>
      <c r="I9" s="46">
        <f ca="1" t="shared" si="0"/>
        <v>-263.978028</v>
      </c>
      <c r="J9" s="45">
        <f t="shared" si="6"/>
        <v>181.02664400000003</v>
      </c>
      <c r="K9" s="45">
        <f t="shared" si="7"/>
        <v>-24.182899</v>
      </c>
      <c r="L9" s="45">
        <f t="shared" si="8"/>
        <v>-80.59931399999999</v>
      </c>
      <c r="M9" s="74">
        <f t="shared" si="1"/>
        <v>199.6289254071602</v>
      </c>
      <c r="N9" s="45">
        <f t="shared" si="2"/>
        <v>0.9068157013357696</v>
      </c>
      <c r="O9" s="45">
        <f t="shared" si="3"/>
        <v>-0.12113925349583941</v>
      </c>
      <c r="P9" s="45">
        <f t="shared" si="4"/>
        <v>-0.40374566879830076</v>
      </c>
      <c r="Q9" s="44">
        <f t="shared" si="9"/>
        <v>-0.8283211212788415</v>
      </c>
      <c r="R9" s="45">
        <f t="shared" si="10"/>
        <v>1.0794331520026588</v>
      </c>
      <c r="S9" s="46">
        <f t="shared" si="11"/>
        <v>0.6785390547927396</v>
      </c>
      <c r="T9" s="45">
        <f t="shared" si="12"/>
        <v>1.5204298926547244</v>
      </c>
      <c r="U9" s="44">
        <f t="shared" si="13"/>
        <v>-0.5447940252164889</v>
      </c>
      <c r="V9" s="45">
        <f t="shared" si="14"/>
        <v>0.7099525977603152</v>
      </c>
      <c r="W9" s="46">
        <f t="shared" si="15"/>
        <v>0.44628105384588723</v>
      </c>
      <c r="X9" s="46">
        <f t="shared" si="16"/>
        <v>-1</v>
      </c>
    </row>
    <row r="10" spans="3:24" ht="12.75">
      <c r="C10" s="18"/>
      <c r="D10" s="19" t="s">
        <v>445</v>
      </c>
      <c r="E10" s="19" t="s">
        <v>470</v>
      </c>
      <c r="F10" s="19" t="s">
        <v>144</v>
      </c>
      <c r="G10" s="41">
        <f ca="1" t="shared" si="5"/>
        <v>314.98366599999997</v>
      </c>
      <c r="H10" s="42">
        <f ca="1" t="shared" si="0"/>
        <v>141.696058</v>
      </c>
      <c r="I10" s="43">
        <f ca="1" t="shared" si="0"/>
        <v>-233.04406</v>
      </c>
      <c r="J10" s="42">
        <f t="shared" si="6"/>
        <v>8.836270999999954</v>
      </c>
      <c r="K10" s="42">
        <f t="shared" si="7"/>
        <v>107.87680599999999</v>
      </c>
      <c r="L10" s="42">
        <f t="shared" si="8"/>
        <v>30.933967999999993</v>
      </c>
      <c r="M10" s="72">
        <f t="shared" si="1"/>
        <v>112.57173417058162</v>
      </c>
      <c r="N10" s="42">
        <f t="shared" si="2"/>
        <v>0.07849458005692815</v>
      </c>
      <c r="O10" s="42">
        <f t="shared" si="3"/>
        <v>0.9582938985068193</v>
      </c>
      <c r="P10" s="42">
        <f t="shared" si="4"/>
        <v>0.2747933859944388</v>
      </c>
      <c r="Q10" s="41">
        <f t="shared" si="9"/>
      </c>
      <c r="R10" s="42">
        <f t="shared" si="10"/>
      </c>
      <c r="S10" s="43">
        <f t="shared" si="11"/>
      </c>
      <c r="T10" s="42">
        <f t="shared" si="12"/>
      </c>
      <c r="U10" s="41">
        <f t="shared" si="13"/>
      </c>
      <c r="V10" s="42">
        <f t="shared" si="14"/>
      </c>
      <c r="W10" s="43">
        <f t="shared" si="15"/>
      </c>
      <c r="X10" s="43">
        <f t="shared" si="16"/>
      </c>
    </row>
    <row r="11" spans="3:24" ht="12.75">
      <c r="C11" s="18"/>
      <c r="D11" s="19" t="s">
        <v>446</v>
      </c>
      <c r="E11" s="19" t="s">
        <v>470</v>
      </c>
      <c r="F11" s="19"/>
      <c r="G11" s="41">
        <f ca="1" t="shared" si="5"/>
        <v>317.372432</v>
      </c>
      <c r="H11" s="42">
        <f ca="1" t="shared" si="0"/>
        <v>170.859094</v>
      </c>
      <c r="I11" s="43">
        <f ca="1" t="shared" si="0"/>
        <v>-224.68148</v>
      </c>
      <c r="J11" s="42">
        <f t="shared" si="6"/>
        <v>2.3887660000000324</v>
      </c>
      <c r="K11" s="42">
        <f t="shared" si="7"/>
        <v>29.163036000000005</v>
      </c>
      <c r="L11" s="42">
        <f t="shared" si="8"/>
        <v>8.362580000000008</v>
      </c>
      <c r="M11" s="72">
        <f t="shared" si="1"/>
        <v>30.43224631860837</v>
      </c>
      <c r="N11" s="42">
        <f t="shared" si="2"/>
        <v>0.07849456707832232</v>
      </c>
      <c r="O11" s="42">
        <f t="shared" si="3"/>
        <v>0.9582938996576049</v>
      </c>
      <c r="P11" s="42">
        <f t="shared" si="4"/>
        <v>0.27479338568860595</v>
      </c>
      <c r="Q11" s="41">
        <f t="shared" si="9"/>
        <v>0.9063132736127879</v>
      </c>
      <c r="R11" s="42">
        <f t="shared" si="10"/>
        <v>-0.9582800570520121</v>
      </c>
      <c r="S11" s="43">
        <f t="shared" si="11"/>
        <v>-0.44844106555129504</v>
      </c>
      <c r="T11" s="42">
        <f t="shared" si="12"/>
        <v>1.393127347712016</v>
      </c>
      <c r="U11" s="41">
        <f t="shared" si="13"/>
        <v>0.6505602485668373</v>
      </c>
      <c r="V11" s="42">
        <f t="shared" si="14"/>
        <v>-0.6878624977291778</v>
      </c>
      <c r="W11" s="43">
        <f t="shared" si="15"/>
        <v>-0.3218952425905544</v>
      </c>
      <c r="X11" s="43">
        <f t="shared" si="16"/>
        <v>1</v>
      </c>
    </row>
    <row r="12" spans="3:24" ht="13.5" thickBot="1">
      <c r="C12" s="14"/>
      <c r="D12" s="15" t="s">
        <v>447</v>
      </c>
      <c r="E12" s="15" t="s">
        <v>470</v>
      </c>
      <c r="F12" s="15"/>
      <c r="G12" s="47">
        <f ca="1" t="shared" si="5"/>
        <v>373.50445</v>
      </c>
      <c r="H12" s="48">
        <f ca="1" t="shared" si="0"/>
        <v>170.859883</v>
      </c>
      <c r="I12" s="49">
        <f ca="1" t="shared" si="0"/>
        <v>-234.57904</v>
      </c>
      <c r="J12" s="48">
        <f t="shared" si="6"/>
        <v>56.132018000000016</v>
      </c>
      <c r="K12" s="48">
        <f t="shared" si="7"/>
        <v>0.0007889999999974862</v>
      </c>
      <c r="L12" s="48">
        <f t="shared" si="8"/>
        <v>-9.897559999999999</v>
      </c>
      <c r="M12" s="73">
        <f t="shared" si="1"/>
        <v>56.99793978143813</v>
      </c>
      <c r="N12" s="48">
        <f t="shared" si="2"/>
        <v>0.9848078406911103</v>
      </c>
      <c r="O12" s="48">
        <f t="shared" si="3"/>
        <v>1.384260559281532E-05</v>
      </c>
      <c r="P12" s="48">
        <f t="shared" si="4"/>
        <v>-0.17364767986268909</v>
      </c>
      <c r="Q12" s="47">
        <f t="shared" si="9"/>
        <v>-1.8508355194464443</v>
      </c>
      <c r="R12" s="48">
        <f t="shared" si="10"/>
        <v>-2.9720315871217918E-05</v>
      </c>
      <c r="S12" s="49">
        <f t="shared" si="11"/>
        <v>-0.3263483794993287</v>
      </c>
      <c r="T12" s="48">
        <f t="shared" si="12"/>
        <v>1.8793869707246893</v>
      </c>
      <c r="U12" s="47">
        <f t="shared" si="13"/>
        <v>-0.9848081040663831</v>
      </c>
      <c r="V12" s="48">
        <f t="shared" si="14"/>
        <v>-1.5813835220831505E-05</v>
      </c>
      <c r="W12" s="49">
        <f t="shared" si="15"/>
        <v>-0.17364618600792425</v>
      </c>
      <c r="X12" s="49">
        <f t="shared" si="16"/>
        <v>-1</v>
      </c>
    </row>
    <row r="13" spans="3:24" ht="12.75">
      <c r="C13" s="10" t="s">
        <v>449</v>
      </c>
      <c r="D13" s="11" t="s">
        <v>448</v>
      </c>
      <c r="E13" s="11" t="s">
        <v>470</v>
      </c>
      <c r="F13" s="11"/>
      <c r="G13" s="44">
        <f ca="1" t="shared" si="5"/>
        <v>223.12771</v>
      </c>
      <c r="H13" s="45">
        <f ca="1" t="shared" si="0"/>
        <v>170.857126</v>
      </c>
      <c r="I13" s="46">
        <f ca="1" t="shared" si="0"/>
        <v>-321.398179</v>
      </c>
      <c r="J13" s="45">
        <f t="shared" si="6"/>
        <v>-150.37674</v>
      </c>
      <c r="K13" s="45">
        <f t="shared" si="7"/>
        <v>-0.002757000000002563</v>
      </c>
      <c r="L13" s="45">
        <f t="shared" si="8"/>
        <v>-86.81913900000004</v>
      </c>
      <c r="M13" s="74">
        <f t="shared" si="1"/>
        <v>173.63964650197252</v>
      </c>
      <c r="N13" s="45">
        <f t="shared" si="2"/>
        <v>-0.866027678755334</v>
      </c>
      <c r="O13" s="45">
        <f t="shared" si="3"/>
        <v>-1.58777102784026E-05</v>
      </c>
      <c r="P13" s="45">
        <f t="shared" si="4"/>
        <v>-0.4999960593620178</v>
      </c>
      <c r="Q13" s="44">
        <f t="shared" si="9"/>
        <v>1.7320553604922084</v>
      </c>
      <c r="R13" s="45">
        <f t="shared" si="10"/>
        <v>1.0138434230734733E-10</v>
      </c>
      <c r="S13" s="46">
        <f t="shared" si="11"/>
        <v>5.164230876264497E-09</v>
      </c>
      <c r="T13" s="45">
        <f t="shared" si="12"/>
        <v>1.7320553604922084</v>
      </c>
      <c r="U13" s="44">
        <f t="shared" si="13"/>
        <v>1</v>
      </c>
      <c r="V13" s="45">
        <f t="shared" si="14"/>
        <v>5.853412345811877E-11</v>
      </c>
      <c r="W13" s="46">
        <f t="shared" si="15"/>
        <v>2.981562249140205E-09</v>
      </c>
      <c r="X13" s="46">
        <f t="shared" si="16"/>
        <v>1</v>
      </c>
    </row>
    <row r="14" spans="3:24" ht="12.75">
      <c r="C14" s="18"/>
      <c r="D14" s="19" t="s">
        <v>450</v>
      </c>
      <c r="E14" s="19" t="s">
        <v>470</v>
      </c>
      <c r="F14" s="19"/>
      <c r="G14" s="41">
        <f ca="1" t="shared" si="5"/>
        <v>373.123603</v>
      </c>
      <c r="H14" s="42">
        <f ca="1" t="shared" si="0"/>
        <v>170.854376</v>
      </c>
      <c r="I14" s="43">
        <f ca="1" t="shared" si="0"/>
        <v>-407.997437</v>
      </c>
      <c r="J14" s="42">
        <f t="shared" si="6"/>
        <v>149.995893</v>
      </c>
      <c r="K14" s="42">
        <f t="shared" si="7"/>
        <v>-0.0027499999999918145</v>
      </c>
      <c r="L14" s="42">
        <f t="shared" si="8"/>
        <v>-86.59925799999996</v>
      </c>
      <c r="M14" s="72">
        <f t="shared" si="1"/>
        <v>173.19988282496183</v>
      </c>
      <c r="N14" s="42">
        <f t="shared" si="2"/>
        <v>0.8660276817368745</v>
      </c>
      <c r="O14" s="42">
        <f t="shared" si="3"/>
        <v>-1.587760889406029E-05</v>
      </c>
      <c r="P14" s="42">
        <f t="shared" si="4"/>
        <v>-0.4999960541977869</v>
      </c>
      <c r="Q14" s="41">
        <f t="shared" si="9"/>
        <v>-1.8660276817272892</v>
      </c>
      <c r="R14" s="42">
        <f t="shared" si="10"/>
        <v>1.714161171529441E-05</v>
      </c>
      <c r="S14" s="43">
        <f t="shared" si="11"/>
        <v>0.4999918621884305</v>
      </c>
      <c r="T14" s="42">
        <f t="shared" si="12"/>
        <v>1.9318517467758778</v>
      </c>
      <c r="U14" s="41">
        <f t="shared" si="13"/>
        <v>-0.9659269583401292</v>
      </c>
      <c r="V14" s="42">
        <f t="shared" si="14"/>
        <v>8.873150718683529E-06</v>
      </c>
      <c r="W14" s="43">
        <f t="shared" si="15"/>
        <v>0.2588148200413832</v>
      </c>
      <c r="X14" s="43">
        <f t="shared" si="16"/>
        <v>-1</v>
      </c>
    </row>
    <row r="15" spans="3:24" ht="12.75">
      <c r="C15" s="18"/>
      <c r="D15" s="19" t="s">
        <v>451</v>
      </c>
      <c r="E15" s="19" t="s">
        <v>470</v>
      </c>
      <c r="F15" s="19"/>
      <c r="G15" s="41">
        <f ca="1" t="shared" si="5"/>
        <v>248.123882</v>
      </c>
      <c r="H15" s="42">
        <f ca="1" t="shared" si="0"/>
        <v>170.854534</v>
      </c>
      <c r="I15" s="43">
        <f ca="1" t="shared" si="0"/>
        <v>-407.997961</v>
      </c>
      <c r="J15" s="42">
        <f t="shared" si="6"/>
        <v>-124.999721</v>
      </c>
      <c r="K15" s="42">
        <f t="shared" si="7"/>
        <v>0.00015799999999899228</v>
      </c>
      <c r="L15" s="42">
        <f t="shared" si="8"/>
        <v>-0.0005239999999844258</v>
      </c>
      <c r="M15" s="72">
        <f t="shared" si="1"/>
        <v>124.99972100119815</v>
      </c>
      <c r="N15" s="42">
        <f t="shared" si="2"/>
        <v>-0.9999999999904147</v>
      </c>
      <c r="O15" s="42">
        <f t="shared" si="3"/>
        <v>1.2640028212341195E-06</v>
      </c>
      <c r="P15" s="42">
        <f t="shared" si="4"/>
        <v>-4.192009356400108E-06</v>
      </c>
      <c r="Q15" s="41">
        <f t="shared" si="9"/>
        <v>1.000054678967641</v>
      </c>
      <c r="R15" s="42">
        <f t="shared" si="10"/>
        <v>8.323441663015999E-05</v>
      </c>
      <c r="S15" s="43">
        <f t="shared" si="11"/>
        <v>-0.9999958029257567</v>
      </c>
      <c r="T15" s="42">
        <f t="shared" si="12"/>
        <v>1.4142492615243496</v>
      </c>
      <c r="U15" s="41">
        <f t="shared" si="13"/>
        <v>0.7071275949543232</v>
      </c>
      <c r="V15" s="42">
        <f t="shared" si="14"/>
        <v>5.885413476578076E-05</v>
      </c>
      <c r="W15" s="43">
        <f t="shared" si="15"/>
        <v>-0.7070859643567433</v>
      </c>
      <c r="X15" s="43">
        <f t="shared" si="16"/>
        <v>1</v>
      </c>
    </row>
    <row r="16" spans="3:24" ht="12.75">
      <c r="C16" s="18"/>
      <c r="D16" s="19" t="s">
        <v>452</v>
      </c>
      <c r="E16" s="19" t="s">
        <v>470</v>
      </c>
      <c r="F16" s="19"/>
      <c r="G16" s="41">
        <f ca="1" t="shared" si="5"/>
        <v>248.126616</v>
      </c>
      <c r="H16" s="42">
        <f ca="1" t="shared" si="0"/>
        <v>170.858759</v>
      </c>
      <c r="I16" s="43">
        <f ca="1" t="shared" si="0"/>
        <v>-457.998896</v>
      </c>
      <c r="J16" s="42">
        <f t="shared" si="6"/>
        <v>0.002734000000003789</v>
      </c>
      <c r="K16" s="42">
        <f t="shared" si="7"/>
        <v>0.0042249999999910415</v>
      </c>
      <c r="L16" s="42">
        <f t="shared" si="8"/>
        <v>-50.00093500000003</v>
      </c>
      <c r="M16" s="72">
        <f t="shared" si="1"/>
        <v>50.000935253249104</v>
      </c>
      <c r="N16" s="42">
        <f t="shared" si="2"/>
        <v>5.4678977226253606E-05</v>
      </c>
      <c r="O16" s="42">
        <f t="shared" si="3"/>
        <v>8.449841945139411E-05</v>
      </c>
      <c r="P16" s="42">
        <f t="shared" si="4"/>
        <v>-0.9999999949351132</v>
      </c>
      <c r="Q16" s="41">
        <f t="shared" si="9"/>
        <v>-0.5001414372429179</v>
      </c>
      <c r="R16" s="42">
        <f t="shared" si="10"/>
        <v>-0.707068563596753</v>
      </c>
      <c r="S16" s="43">
        <f t="shared" si="11"/>
        <v>1.5000867532008049</v>
      </c>
      <c r="T16" s="42">
        <f t="shared" si="12"/>
        <v>1.7321511706553558</v>
      </c>
      <c r="U16" s="41">
        <f t="shared" si="13"/>
        <v>-0.28874006248178125</v>
      </c>
      <c r="V16" s="42">
        <f t="shared" si="14"/>
        <v>-0.4082025723708832</v>
      </c>
      <c r="W16" s="43">
        <f t="shared" si="15"/>
        <v>0.866025309230516</v>
      </c>
      <c r="X16" s="43">
        <f t="shared" si="16"/>
        <v>-1</v>
      </c>
    </row>
    <row r="17" spans="3:24" ht="12.75">
      <c r="C17" s="18"/>
      <c r="D17" s="19" t="s">
        <v>453</v>
      </c>
      <c r="E17" s="19" t="s">
        <v>470</v>
      </c>
      <c r="F17" s="19"/>
      <c r="G17" s="41">
        <f ca="1" t="shared" si="5"/>
        <v>248.123672</v>
      </c>
      <c r="H17" s="42">
        <f ca="1" t="shared" si="0"/>
        <v>170.854597</v>
      </c>
      <c r="I17" s="43">
        <f ca="1" t="shared" si="0"/>
        <v>-457.995952</v>
      </c>
      <c r="J17" s="42">
        <f t="shared" si="6"/>
        <v>-0.0029440000000136024</v>
      </c>
      <c r="K17" s="42">
        <f t="shared" si="7"/>
        <v>-0.004161999999979571</v>
      </c>
      <c r="L17" s="42">
        <f t="shared" si="8"/>
        <v>0.0029440000000136024</v>
      </c>
      <c r="M17" s="72">
        <f t="shared" si="1"/>
        <v>0.005886978511935485</v>
      </c>
      <c r="N17" s="42">
        <f t="shared" si="2"/>
        <v>-0.5000867582656917</v>
      </c>
      <c r="O17" s="42">
        <f t="shared" si="3"/>
        <v>-0.7069840651773016</v>
      </c>
      <c r="P17" s="42">
        <f t="shared" si="4"/>
        <v>0.5000867582656917</v>
      </c>
      <c r="Q17" s="41">
        <f t="shared" si="9"/>
        <v>1.5000867575650014</v>
      </c>
      <c r="R17" s="42">
        <f t="shared" si="10"/>
        <v>0.7070161052813453</v>
      </c>
      <c r="S17" s="43">
        <f t="shared" si="11"/>
        <v>-0.5001061183285599</v>
      </c>
      <c r="T17" s="42">
        <f t="shared" si="12"/>
        <v>1.7321195636960924</v>
      </c>
      <c r="U17" s="41">
        <f t="shared" si="13"/>
        <v>0.8660411146006766</v>
      </c>
      <c r="V17" s="42">
        <f t="shared" si="14"/>
        <v>0.40817973545236985</v>
      </c>
      <c r="W17" s="43">
        <f t="shared" si="15"/>
        <v>-0.2887249407087152</v>
      </c>
      <c r="X17" s="43">
        <f t="shared" si="16"/>
        <v>1</v>
      </c>
    </row>
    <row r="18" spans="3:24" ht="12.75">
      <c r="C18" s="18"/>
      <c r="D18" s="19" t="s">
        <v>455</v>
      </c>
      <c r="E18" s="19" t="s">
        <v>470</v>
      </c>
      <c r="F18" s="19"/>
      <c r="G18" s="41">
        <f ca="1" t="shared" si="5"/>
        <v>373.123266</v>
      </c>
      <c r="H18" s="42">
        <f ca="1" t="shared" si="5"/>
        <v>170.858602</v>
      </c>
      <c r="I18" s="43">
        <f ca="1" t="shared" si="5"/>
        <v>-457.998372</v>
      </c>
      <c r="J18" s="42">
        <f t="shared" si="6"/>
        <v>124.999594</v>
      </c>
      <c r="K18" s="42">
        <f t="shared" si="7"/>
        <v>0.004004999999978054</v>
      </c>
      <c r="L18" s="42">
        <f t="shared" si="8"/>
        <v>-0.0024200000000291766</v>
      </c>
      <c r="M18" s="72">
        <f t="shared" si="1"/>
        <v>124.99959408758599</v>
      </c>
      <c r="N18" s="42">
        <f t="shared" si="2"/>
        <v>0.9999999992993098</v>
      </c>
      <c r="O18" s="42">
        <f t="shared" si="3"/>
        <v>3.204010404363225E-05</v>
      </c>
      <c r="P18" s="42">
        <f t="shared" si="4"/>
        <v>-1.9360062868152247E-05</v>
      </c>
      <c r="Q18" s="41">
        <f t="shared" si="9"/>
        <v>-1.8660268546053962</v>
      </c>
      <c r="R18" s="42">
        <f t="shared" si="10"/>
        <v>-4.759440718703259E-05</v>
      </c>
      <c r="S18" s="43">
        <f t="shared" si="11"/>
        <v>-0.4999781255775246</v>
      </c>
      <c r="T18" s="42">
        <f t="shared" si="12"/>
        <v>1.9318473931524072</v>
      </c>
      <c r="U18" s="41">
        <f t="shared" si="13"/>
        <v>-0.9659287070084742</v>
      </c>
      <c r="V18" s="42">
        <f t="shared" si="14"/>
        <v>-2.463673236081427E-05</v>
      </c>
      <c r="W18" s="43">
        <f t="shared" si="15"/>
        <v>-0.2588082926993811</v>
      </c>
      <c r="X18" s="43">
        <f t="shared" si="16"/>
        <v>-1</v>
      </c>
    </row>
    <row r="19" spans="3:24" ht="12.75">
      <c r="C19" s="18"/>
      <c r="D19" s="19" t="s">
        <v>454</v>
      </c>
      <c r="E19" s="19" t="s">
        <v>470</v>
      </c>
      <c r="F19" s="19"/>
      <c r="G19" s="41">
        <f ca="1" t="shared" si="5"/>
        <v>223.12771</v>
      </c>
      <c r="H19" s="42">
        <f ca="1" t="shared" si="5"/>
        <v>170.855908</v>
      </c>
      <c r="I19" s="43">
        <f ca="1" t="shared" si="5"/>
        <v>-544.597766</v>
      </c>
      <c r="J19" s="42">
        <f t="shared" si="6"/>
        <v>-149.995556</v>
      </c>
      <c r="K19" s="42">
        <f t="shared" si="7"/>
        <v>-0.0026939999999910924</v>
      </c>
      <c r="L19" s="42">
        <f t="shared" si="8"/>
        <v>-86.59939399999996</v>
      </c>
      <c r="M19" s="72">
        <f t="shared" si="1"/>
        <v>173.19965897245294</v>
      </c>
      <c r="N19" s="42">
        <f t="shared" si="2"/>
        <v>-0.8660268553060864</v>
      </c>
      <c r="O19" s="42">
        <f t="shared" si="3"/>
        <v>-1.5554303143400343E-05</v>
      </c>
      <c r="P19" s="42">
        <f t="shared" si="4"/>
        <v>-0.49999748564039276</v>
      </c>
      <c r="Q19" s="41">
        <f t="shared" si="9"/>
        <v>1.732053711635198</v>
      </c>
      <c r="R19" s="42">
        <f t="shared" si="10"/>
        <v>-3.770684649866368E-10</v>
      </c>
      <c r="S19" s="43">
        <f t="shared" si="11"/>
        <v>1.7719551381745191E-09</v>
      </c>
      <c r="T19" s="42">
        <f t="shared" si="12"/>
        <v>1.732053711635198</v>
      </c>
      <c r="U19" s="41">
        <f t="shared" si="13"/>
        <v>1</v>
      </c>
      <c r="V19" s="42">
        <f t="shared" si="14"/>
        <v>-2.1770021475295582E-10</v>
      </c>
      <c r="W19" s="43">
        <f t="shared" si="15"/>
        <v>1.023037060728129E-09</v>
      </c>
      <c r="X19" s="43">
        <f t="shared" si="16"/>
        <v>1</v>
      </c>
    </row>
    <row r="20" spans="3:24" ht="12.75">
      <c r="C20" s="18"/>
      <c r="D20" s="19" t="s">
        <v>456</v>
      </c>
      <c r="E20" s="19" t="s">
        <v>470</v>
      </c>
      <c r="F20" s="19"/>
      <c r="G20" s="41">
        <f ca="1" t="shared" si="5"/>
        <v>354.74645499999997</v>
      </c>
      <c r="H20" s="42">
        <f ca="1" t="shared" si="5"/>
        <v>170.853544</v>
      </c>
      <c r="I20" s="43">
        <f ca="1" t="shared" si="5"/>
        <v>-620.587374</v>
      </c>
      <c r="J20" s="42">
        <f t="shared" si="6"/>
        <v>131.61874499999996</v>
      </c>
      <c r="K20" s="42">
        <f t="shared" si="7"/>
        <v>-0.0023640000000000327</v>
      </c>
      <c r="L20" s="42">
        <f t="shared" si="8"/>
        <v>-75.98960799999998</v>
      </c>
      <c r="M20" s="72">
        <f t="shared" si="1"/>
        <v>151.97998080325306</v>
      </c>
      <c r="N20" s="42">
        <f t="shared" si="2"/>
        <v>0.8660268563291115</v>
      </c>
      <c r="O20" s="42">
        <f t="shared" si="3"/>
        <v>-1.555468021186533E-05</v>
      </c>
      <c r="P20" s="42">
        <f t="shared" si="4"/>
        <v>-0.4999974838684376</v>
      </c>
      <c r="Q20" s="41">
        <f t="shared" si="9"/>
        <v>-1.8508330105148847</v>
      </c>
      <c r="R20" s="42">
        <f t="shared" si="10"/>
        <v>3.472955690454802E-05</v>
      </c>
      <c r="S20" s="43">
        <f t="shared" si="11"/>
        <v>0.32634024010892404</v>
      </c>
      <c r="T20" s="42">
        <f t="shared" si="12"/>
        <v>1.8793830866356342</v>
      </c>
      <c r="U20" s="41">
        <f t="shared" si="13"/>
        <v>-0.9848088043764094</v>
      </c>
      <c r="V20" s="42">
        <f t="shared" si="14"/>
        <v>1.8479232441491704E-05</v>
      </c>
      <c r="W20" s="43">
        <f t="shared" si="15"/>
        <v>0.17364221399540206</v>
      </c>
      <c r="X20" s="43">
        <f t="shared" si="16"/>
        <v>-1</v>
      </c>
    </row>
    <row r="21" spans="3:24" ht="12.75">
      <c r="C21" s="18"/>
      <c r="D21" s="19" t="s">
        <v>457</v>
      </c>
      <c r="E21" s="19" t="s">
        <v>470</v>
      </c>
      <c r="F21" s="19"/>
      <c r="G21" s="41">
        <f ca="1" t="shared" si="5"/>
        <v>263.583891</v>
      </c>
      <c r="H21" s="42">
        <f ca="1" t="shared" si="5"/>
        <v>170.855319</v>
      </c>
      <c r="I21" s="43">
        <f ca="1" t="shared" si="5"/>
        <v>-636.662659</v>
      </c>
      <c r="J21" s="42">
        <f t="shared" si="6"/>
        <v>-91.16256399999997</v>
      </c>
      <c r="K21" s="42">
        <f t="shared" si="7"/>
        <v>0.001775000000009186</v>
      </c>
      <c r="L21" s="42">
        <f t="shared" si="8"/>
        <v>-16.075285000000008</v>
      </c>
      <c r="M21" s="72">
        <f t="shared" si="1"/>
        <v>92.56904377833845</v>
      </c>
      <c r="N21" s="42">
        <f t="shared" si="2"/>
        <v>-0.9848061541857732</v>
      </c>
      <c r="O21" s="42">
        <f t="shared" si="3"/>
        <v>1.9174876692682693E-05</v>
      </c>
      <c r="P21" s="42">
        <f t="shared" si="4"/>
        <v>-0.1736572437595136</v>
      </c>
      <c r="Q21" s="41">
        <f t="shared" si="9"/>
        <v>0.9847888669794439</v>
      </c>
      <c r="R21" s="42">
        <f t="shared" si="10"/>
        <v>0.9999808248970061</v>
      </c>
      <c r="S21" s="43">
        <f t="shared" si="11"/>
        <v>0.1736448439701579</v>
      </c>
      <c r="T21" s="42">
        <f t="shared" si="12"/>
        <v>1.4141864426325739</v>
      </c>
      <c r="U21" s="41">
        <f t="shared" si="13"/>
        <v>0.6963642397435331</v>
      </c>
      <c r="V21" s="42">
        <f t="shared" si="14"/>
        <v>0.7071067822114708</v>
      </c>
      <c r="W21" s="43">
        <f t="shared" si="15"/>
        <v>0.12278780133608828</v>
      </c>
      <c r="X21" s="43">
        <f t="shared" si="16"/>
        <v>1</v>
      </c>
    </row>
    <row r="22" spans="3:24" ht="13.5" thickBot="1">
      <c r="C22" s="14"/>
      <c r="D22" s="15" t="s">
        <v>458</v>
      </c>
      <c r="E22" s="15" t="s">
        <v>470</v>
      </c>
      <c r="F22" s="15" t="s">
        <v>145</v>
      </c>
      <c r="G22" s="47">
        <f ca="1" t="shared" si="5"/>
        <v>263.582508</v>
      </c>
      <c r="H22" s="48">
        <f ca="1" t="shared" si="5"/>
        <v>250.856678</v>
      </c>
      <c r="I22" s="49">
        <f ca="1" t="shared" si="5"/>
        <v>-636.663651</v>
      </c>
      <c r="J22" s="48">
        <f t="shared" si="6"/>
        <v>-0.0013829999999757092</v>
      </c>
      <c r="K22" s="48">
        <f t="shared" si="7"/>
        <v>80.00135899999998</v>
      </c>
      <c r="L22" s="48">
        <f t="shared" si="8"/>
        <v>-0.0009919999999965512</v>
      </c>
      <c r="M22" s="73">
        <f t="shared" si="1"/>
        <v>80.00135901810438</v>
      </c>
      <c r="N22" s="48">
        <f t="shared" si="2"/>
        <v>-1.7287206329366667E-05</v>
      </c>
      <c r="O22" s="48">
        <f t="shared" si="3"/>
        <v>0.9999999997736988</v>
      </c>
      <c r="P22" s="48">
        <f t="shared" si="4"/>
        <v>-1.2399789355729078E-05</v>
      </c>
      <c r="Q22" s="47">
        <f t="shared" si="9"/>
      </c>
      <c r="R22" s="48">
        <f t="shared" si="10"/>
      </c>
      <c r="S22" s="49">
        <f t="shared" si="11"/>
      </c>
      <c r="T22" s="48">
        <f t="shared" si="12"/>
      </c>
      <c r="U22" s="47">
        <f t="shared" si="13"/>
      </c>
      <c r="V22" s="48">
        <f t="shared" si="14"/>
      </c>
      <c r="W22" s="49">
        <f t="shared" si="15"/>
      </c>
      <c r="X22" s="49">
        <f t="shared" si="16"/>
      </c>
    </row>
    <row r="23" spans="1:24" ht="13.5" thickBot="1">
      <c r="A23" s="55" t="s">
        <v>122</v>
      </c>
      <c r="C23" s="19"/>
      <c r="D23" s="19" t="s">
        <v>447</v>
      </c>
      <c r="E23" s="19" t="s">
        <v>471</v>
      </c>
      <c r="F23" s="19" t="s">
        <v>110</v>
      </c>
      <c r="G23" s="41">
        <f ca="1" t="shared" si="5"/>
        <v>373.50445</v>
      </c>
      <c r="H23" s="42">
        <f ca="1" t="shared" si="5"/>
        <v>170.859883</v>
      </c>
      <c r="I23" s="43">
        <f ca="1" t="shared" si="5"/>
        <v>-234.57904</v>
      </c>
      <c r="J23" s="42">
        <f aca="true" t="shared" si="17" ref="J23:J33">IF(Flag="Ignore","",G23-G22)</f>
      </c>
      <c r="K23" s="42">
        <f aca="true" t="shared" si="18" ref="K23:K33">IF(Flag="Ignore","",H23-H22)</f>
      </c>
      <c r="L23" s="42">
        <f aca="true" t="shared" si="19" ref="L23:L33">IF(Flag="Ignore","",I23-I22)</f>
      </c>
      <c r="M23" s="72">
        <f t="shared" si="1"/>
      </c>
      <c r="N23" s="42">
        <f t="shared" si="2"/>
      </c>
      <c r="O23" s="42">
        <f t="shared" si="3"/>
      </c>
      <c r="P23" s="42">
        <f t="shared" si="4"/>
      </c>
      <c r="Q23" s="41">
        <f aca="true" t="shared" si="20" ref="Q23:Q33">IF(OR(Flag="Ignore",Flag="Det",Flag="Hole"),"",N24-Xray)</f>
      </c>
      <c r="R23" s="42">
        <f aca="true" t="shared" si="21" ref="R23:R33">IF(OR(Flag="Ignore",Flag="Det",Flag="Hole"),"",O24-Yray)</f>
      </c>
      <c r="S23" s="43">
        <f aca="true" t="shared" si="22" ref="S23:S33">IF(OR(Flag="Ignore",Flag="Det",Flag="Hole"),"",P24-Zray)</f>
      </c>
      <c r="T23" s="42">
        <f t="shared" si="12"/>
      </c>
      <c r="U23" s="41">
        <f t="shared" si="13"/>
      </c>
      <c r="V23" s="42">
        <f t="shared" si="14"/>
      </c>
      <c r="W23" s="43">
        <f t="shared" si="15"/>
      </c>
      <c r="X23" s="42">
        <f t="shared" si="16"/>
      </c>
    </row>
    <row r="24" spans="1:24" ht="12.75">
      <c r="A24" s="52" t="s">
        <v>17</v>
      </c>
      <c r="B24" s="52" t="str">
        <f>"-Zsyno"</f>
        <v>-Zsyno</v>
      </c>
      <c r="C24" s="10" t="s">
        <v>459</v>
      </c>
      <c r="D24" s="11" t="s">
        <v>448</v>
      </c>
      <c r="E24" s="11" t="s">
        <v>471</v>
      </c>
      <c r="F24" s="11" t="s">
        <v>144</v>
      </c>
      <c r="G24" s="44">
        <f ca="1" t="shared" si="23" ref="G24:I33">INDIRECT("RayImpacts!"&amp;G$1)</f>
        <v>223.12771</v>
      </c>
      <c r="H24" s="45">
        <f ca="1" t="shared" si="23"/>
        <v>170.857126</v>
      </c>
      <c r="I24" s="46">
        <f ca="1" t="shared" si="23"/>
        <v>-321.398179</v>
      </c>
      <c r="J24" s="45">
        <f t="shared" si="17"/>
        <v>-150.37674</v>
      </c>
      <c r="K24" s="45">
        <f t="shared" si="18"/>
        <v>-0.002757000000002563</v>
      </c>
      <c r="L24" s="45">
        <f t="shared" si="19"/>
        <v>-86.81913900000004</v>
      </c>
      <c r="M24" s="74">
        <f t="shared" si="1"/>
        <v>173.63964650197252</v>
      </c>
      <c r="N24" s="45">
        <f t="shared" si="2"/>
        <v>-0.866027678755334</v>
      </c>
      <c r="O24" s="45">
        <f t="shared" si="3"/>
        <v>-1.58777102784026E-05</v>
      </c>
      <c r="P24" s="45">
        <f t="shared" si="4"/>
        <v>-0.4999960593620178</v>
      </c>
      <c r="Q24" s="44">
        <f t="shared" si="20"/>
      </c>
      <c r="R24" s="45">
        <f t="shared" si="21"/>
      </c>
      <c r="S24" s="46">
        <f t="shared" si="22"/>
      </c>
      <c r="T24" s="45">
        <f t="shared" si="12"/>
      </c>
      <c r="U24" s="44">
        <f t="shared" si="13"/>
      </c>
      <c r="V24" s="45">
        <f t="shared" si="14"/>
      </c>
      <c r="W24" s="46">
        <f t="shared" si="15"/>
      </c>
      <c r="X24" s="46">
        <f t="shared" si="16"/>
      </c>
    </row>
    <row r="25" spans="1:24" ht="12.75">
      <c r="A25" s="52" t="s">
        <v>80</v>
      </c>
      <c r="B25" s="52" t="s">
        <v>118</v>
      </c>
      <c r="C25" s="18"/>
      <c r="D25" s="19" t="s">
        <v>460</v>
      </c>
      <c r="E25" s="19" t="s">
        <v>471</v>
      </c>
      <c r="F25" s="19"/>
      <c r="G25" s="41">
        <f ca="1" t="shared" si="23"/>
        <v>73.13181599999999</v>
      </c>
      <c r="H25" s="42">
        <f ca="1" t="shared" si="23"/>
        <v>170.854376</v>
      </c>
      <c r="I25" s="43">
        <f ca="1" t="shared" si="23"/>
        <v>-407.997437</v>
      </c>
      <c r="J25" s="42">
        <f t="shared" si="17"/>
        <v>-149.99589400000002</v>
      </c>
      <c r="K25" s="42">
        <f t="shared" si="18"/>
        <v>-0.0027499999999918145</v>
      </c>
      <c r="L25" s="42">
        <f t="shared" si="19"/>
        <v>-86.59925799999996</v>
      </c>
      <c r="M25" s="72">
        <f t="shared" si="1"/>
        <v>173.1998836909895</v>
      </c>
      <c r="N25" s="42">
        <f t="shared" si="2"/>
        <v>-0.8660276831802708</v>
      </c>
      <c r="O25" s="42">
        <f t="shared" si="3"/>
        <v>-1.587760881466966E-05</v>
      </c>
      <c r="P25" s="42">
        <f t="shared" si="4"/>
        <v>-0.4999960516977251</v>
      </c>
      <c r="Q25" s="41">
        <f t="shared" si="20"/>
        <v>1.8660276831706855</v>
      </c>
      <c r="R25" s="42">
        <f t="shared" si="21"/>
        <v>1.714161162579173E-05</v>
      </c>
      <c r="S25" s="43">
        <f t="shared" si="22"/>
        <v>0.4999918596884022</v>
      </c>
      <c r="T25" s="42">
        <f t="shared" si="12"/>
        <v>1.9318517475230488</v>
      </c>
      <c r="U25" s="41">
        <f t="shared" si="13"/>
        <v>0.9659269587137002</v>
      </c>
      <c r="V25" s="42">
        <f t="shared" si="14"/>
        <v>8.873150668921719E-06</v>
      </c>
      <c r="W25" s="43">
        <f t="shared" si="15"/>
        <v>0.25881481864717304</v>
      </c>
      <c r="X25" s="43">
        <f t="shared" si="16"/>
        <v>1</v>
      </c>
    </row>
    <row r="26" spans="1:24" ht="12.75">
      <c r="A26" s="52" t="s">
        <v>81</v>
      </c>
      <c r="B26" s="52" t="s">
        <v>119</v>
      </c>
      <c r="C26" s="18"/>
      <c r="D26" s="19" t="s">
        <v>461</v>
      </c>
      <c r="E26" s="19" t="s">
        <v>471</v>
      </c>
      <c r="F26" s="19"/>
      <c r="G26" s="41">
        <f ca="1" t="shared" si="23"/>
        <v>198.131538</v>
      </c>
      <c r="H26" s="42">
        <f ca="1" t="shared" si="23"/>
        <v>170.854534</v>
      </c>
      <c r="I26" s="43">
        <f ca="1" t="shared" si="23"/>
        <v>-407.997961</v>
      </c>
      <c r="J26" s="42">
        <f t="shared" si="17"/>
        <v>124.99972200000002</v>
      </c>
      <c r="K26" s="42">
        <f t="shared" si="18"/>
        <v>0.00015799999999899228</v>
      </c>
      <c r="L26" s="42">
        <f t="shared" si="19"/>
        <v>-0.0005239999999844258</v>
      </c>
      <c r="M26" s="72">
        <f t="shared" si="1"/>
        <v>124.99972200119818</v>
      </c>
      <c r="N26" s="42">
        <f t="shared" si="2"/>
        <v>0.9999999999904147</v>
      </c>
      <c r="O26" s="42">
        <f t="shared" si="3"/>
        <v>1.2640028111220742E-06</v>
      </c>
      <c r="P26" s="42">
        <f t="shared" si="4"/>
        <v>-4.192009322863958E-06</v>
      </c>
      <c r="Q26" s="41">
        <f t="shared" si="20"/>
        <v>-1.000054678967641</v>
      </c>
      <c r="R26" s="42">
        <f t="shared" si="21"/>
        <v>8.323441664027204E-05</v>
      </c>
      <c r="S26" s="43">
        <f t="shared" si="22"/>
        <v>-0.9999958029257903</v>
      </c>
      <c r="T26" s="42">
        <f t="shared" si="12"/>
        <v>1.4142492615243736</v>
      </c>
      <c r="U26" s="41">
        <f t="shared" si="13"/>
        <v>-0.7071275949543112</v>
      </c>
      <c r="V26" s="42">
        <f t="shared" si="14"/>
        <v>5.8854134772929886E-05</v>
      </c>
      <c r="W26" s="43">
        <f t="shared" si="15"/>
        <v>-0.707085964356755</v>
      </c>
      <c r="X26" s="43">
        <f t="shared" si="16"/>
        <v>-1</v>
      </c>
    </row>
    <row r="27" spans="3:24" ht="12.75">
      <c r="C27" s="18"/>
      <c r="D27" s="19" t="s">
        <v>462</v>
      </c>
      <c r="E27" s="19" t="s">
        <v>471</v>
      </c>
      <c r="F27" s="19"/>
      <c r="G27" s="41">
        <f ca="1" t="shared" si="23"/>
        <v>198.128804</v>
      </c>
      <c r="H27" s="42">
        <f ca="1" t="shared" si="23"/>
        <v>170.858759</v>
      </c>
      <c r="I27" s="43">
        <f ca="1" t="shared" si="23"/>
        <v>-457.998896</v>
      </c>
      <c r="J27" s="42">
        <f t="shared" si="17"/>
        <v>-0.002734000000003789</v>
      </c>
      <c r="K27" s="42">
        <f t="shared" si="18"/>
        <v>0.0042249999999910415</v>
      </c>
      <c r="L27" s="42">
        <f t="shared" si="19"/>
        <v>-50.00093500000003</v>
      </c>
      <c r="M27" s="72">
        <f t="shared" si="1"/>
        <v>50.000935253249104</v>
      </c>
      <c r="N27" s="42">
        <f t="shared" si="2"/>
        <v>-5.4678977226253606E-05</v>
      </c>
      <c r="O27" s="42">
        <f t="shared" si="3"/>
        <v>8.449841945139411E-05</v>
      </c>
      <c r="P27" s="42">
        <f t="shared" si="4"/>
        <v>-0.9999999949351132</v>
      </c>
      <c r="Q27" s="41">
        <f t="shared" si="20"/>
        <v>0.5000140359265707</v>
      </c>
      <c r="R27" s="42">
        <f t="shared" si="21"/>
        <v>-0.7071286178967365</v>
      </c>
      <c r="S27" s="43">
        <f t="shared" si="22"/>
        <v>1.50012923274409</v>
      </c>
      <c r="T27" s="42">
        <f t="shared" si="12"/>
        <v>1.7321756935442487</v>
      </c>
      <c r="U27" s="41">
        <f t="shared" si="13"/>
        <v>0.28866242482797994</v>
      </c>
      <c r="V27" s="42">
        <f t="shared" si="14"/>
        <v>-0.4082314632009774</v>
      </c>
      <c r="W27" s="43">
        <f t="shared" si="15"/>
        <v>0.8660375724789426</v>
      </c>
      <c r="X27" s="43">
        <f t="shared" si="16"/>
        <v>1</v>
      </c>
    </row>
    <row r="28" spans="3:24" ht="12.75">
      <c r="C28" s="18"/>
      <c r="D28" s="19" t="s">
        <v>463</v>
      </c>
      <c r="E28" s="19" t="s">
        <v>471</v>
      </c>
      <c r="F28" s="19"/>
      <c r="G28" s="41">
        <f ca="1" t="shared" si="23"/>
        <v>198.131747</v>
      </c>
      <c r="H28" s="42">
        <f ca="1" t="shared" si="23"/>
        <v>170.854597</v>
      </c>
      <c r="I28" s="43">
        <f ca="1" t="shared" si="23"/>
        <v>-457.995952</v>
      </c>
      <c r="J28" s="42">
        <f t="shared" si="17"/>
        <v>0.0029429999999877055</v>
      </c>
      <c r="K28" s="42">
        <f t="shared" si="18"/>
        <v>-0.004161999999979571</v>
      </c>
      <c r="L28" s="42">
        <f t="shared" si="19"/>
        <v>0.0029440000000136024</v>
      </c>
      <c r="M28" s="72">
        <f t="shared" si="1"/>
        <v>0.005886478488862223</v>
      </c>
      <c r="N28" s="42">
        <f t="shared" si="2"/>
        <v>0.4999593569493444</v>
      </c>
      <c r="O28" s="42">
        <f t="shared" si="3"/>
        <v>-0.7070441194772852</v>
      </c>
      <c r="P28" s="42">
        <f t="shared" si="4"/>
        <v>0.500129237808977</v>
      </c>
      <c r="Q28" s="41">
        <f t="shared" si="20"/>
        <v>-1.4999593562486542</v>
      </c>
      <c r="R28" s="42">
        <f t="shared" si="21"/>
        <v>0.7070761595813289</v>
      </c>
      <c r="S28" s="43">
        <f t="shared" si="22"/>
        <v>-0.5001485978718452</v>
      </c>
      <c r="T28" s="42">
        <f t="shared" si="12"/>
        <v>1.7320460114556226</v>
      </c>
      <c r="U28" s="41">
        <f t="shared" si="13"/>
        <v>-0.8660043361019484</v>
      </c>
      <c r="V28" s="42">
        <f t="shared" si="14"/>
        <v>0.40823174148075747</v>
      </c>
      <c r="W28" s="43">
        <f t="shared" si="15"/>
        <v>-0.288761727208111</v>
      </c>
      <c r="X28" s="43">
        <f t="shared" si="16"/>
        <v>-1</v>
      </c>
    </row>
    <row r="29" spans="3:24" ht="12.75">
      <c r="C29" s="18"/>
      <c r="D29" s="19" t="s">
        <v>464</v>
      </c>
      <c r="E29" s="19" t="s">
        <v>471</v>
      </c>
      <c r="F29" s="19"/>
      <c r="G29" s="41">
        <f ca="1" t="shared" si="23"/>
        <v>73.13215299999999</v>
      </c>
      <c r="H29" s="42">
        <f ca="1" t="shared" si="23"/>
        <v>170.858602</v>
      </c>
      <c r="I29" s="43">
        <f ca="1" t="shared" si="23"/>
        <v>-457.998372</v>
      </c>
      <c r="J29" s="42">
        <f t="shared" si="17"/>
        <v>-124.999594</v>
      </c>
      <c r="K29" s="42">
        <f t="shared" si="18"/>
        <v>0.004004999999978054</v>
      </c>
      <c r="L29" s="42">
        <f t="shared" si="19"/>
        <v>-0.0024200000000291766</v>
      </c>
      <c r="M29" s="72">
        <f t="shared" si="1"/>
        <v>124.99959408758599</v>
      </c>
      <c r="N29" s="42">
        <f t="shared" si="2"/>
        <v>-0.9999999992993098</v>
      </c>
      <c r="O29" s="42">
        <f t="shared" si="3"/>
        <v>3.204010404363225E-05</v>
      </c>
      <c r="P29" s="42">
        <f t="shared" si="4"/>
        <v>-1.9360062868152247E-05</v>
      </c>
      <c r="Q29" s="41">
        <f t="shared" si="20"/>
        <v>1.8660268560488025</v>
      </c>
      <c r="R29" s="42">
        <f t="shared" si="21"/>
        <v>-4.7594407109258514E-05</v>
      </c>
      <c r="S29" s="43">
        <f t="shared" si="22"/>
        <v>-0.49997812307745465</v>
      </c>
      <c r="T29" s="42">
        <f t="shared" si="12"/>
        <v>1.9318473938995957</v>
      </c>
      <c r="U29" s="41">
        <f t="shared" si="13"/>
        <v>0.9659287073820417</v>
      </c>
      <c r="V29" s="42">
        <f t="shared" si="14"/>
        <v>-2.4636732311026502E-05</v>
      </c>
      <c r="W29" s="43">
        <f t="shared" si="15"/>
        <v>-0.2588082913051465</v>
      </c>
      <c r="X29" s="43">
        <f t="shared" si="16"/>
        <v>1</v>
      </c>
    </row>
    <row r="30" spans="3:24" ht="12.75">
      <c r="C30" s="18"/>
      <c r="D30" s="19" t="s">
        <v>454</v>
      </c>
      <c r="E30" s="19" t="s">
        <v>471</v>
      </c>
      <c r="F30" s="19"/>
      <c r="G30" s="41">
        <f ca="1" t="shared" si="23"/>
        <v>223.12771</v>
      </c>
      <c r="H30" s="42">
        <f ca="1" t="shared" si="23"/>
        <v>170.855908</v>
      </c>
      <c r="I30" s="43">
        <f ca="1" t="shared" si="23"/>
        <v>-544.597766</v>
      </c>
      <c r="J30" s="42">
        <f t="shared" si="17"/>
        <v>149.99555700000002</v>
      </c>
      <c r="K30" s="42">
        <f t="shared" si="18"/>
        <v>-0.0026939999999910924</v>
      </c>
      <c r="L30" s="42">
        <f t="shared" si="19"/>
        <v>-86.59939399999996</v>
      </c>
      <c r="M30" s="72">
        <f t="shared" si="1"/>
        <v>173.19965983847982</v>
      </c>
      <c r="N30" s="42">
        <f t="shared" si="2"/>
        <v>0.8660268567494926</v>
      </c>
      <c r="O30" s="42">
        <f t="shared" si="3"/>
        <v>-1.5554303065626262E-05</v>
      </c>
      <c r="P30" s="42">
        <f t="shared" si="4"/>
        <v>-0.49999748314032283</v>
      </c>
      <c r="Q30" s="41">
        <f t="shared" si="20"/>
        <v>-1.7320537130786042</v>
      </c>
      <c r="R30" s="42">
        <f t="shared" si="21"/>
        <v>-3.771462390639627E-10</v>
      </c>
      <c r="S30" s="43">
        <f t="shared" si="22"/>
        <v>-7.281146796600524E-10</v>
      </c>
      <c r="T30" s="42">
        <f t="shared" si="12"/>
        <v>1.7320537130786042</v>
      </c>
      <c r="U30" s="41">
        <f t="shared" si="13"/>
        <v>-1</v>
      </c>
      <c r="V30" s="42">
        <f t="shared" si="14"/>
        <v>-2.177451173806912E-10</v>
      </c>
      <c r="W30" s="43">
        <f t="shared" si="15"/>
        <v>-4.203765011224043E-10</v>
      </c>
      <c r="X30" s="43">
        <f t="shared" si="16"/>
        <v>-1</v>
      </c>
    </row>
    <row r="31" spans="3:24" ht="12.75">
      <c r="C31" s="18"/>
      <c r="D31" s="19" t="s">
        <v>465</v>
      </c>
      <c r="E31" s="19" t="s">
        <v>471</v>
      </c>
      <c r="F31" s="19"/>
      <c r="G31" s="41">
        <f ca="1" t="shared" si="23"/>
        <v>91.508965</v>
      </c>
      <c r="H31" s="42">
        <f ca="1" t="shared" si="23"/>
        <v>170.853544</v>
      </c>
      <c r="I31" s="43">
        <f ca="1" t="shared" si="23"/>
        <v>-620.587374</v>
      </c>
      <c r="J31" s="42">
        <f t="shared" si="17"/>
        <v>-131.618745</v>
      </c>
      <c r="K31" s="42">
        <f t="shared" si="18"/>
        <v>-0.0023640000000000327</v>
      </c>
      <c r="L31" s="42">
        <f t="shared" si="19"/>
        <v>-75.98960799999998</v>
      </c>
      <c r="M31" s="72">
        <f t="shared" si="1"/>
        <v>151.97998080325308</v>
      </c>
      <c r="N31" s="42">
        <f t="shared" si="2"/>
        <v>-0.8660268563291116</v>
      </c>
      <c r="O31" s="42">
        <f t="shared" si="3"/>
        <v>-1.5554680211865326E-05</v>
      </c>
      <c r="P31" s="42">
        <f t="shared" si="4"/>
        <v>-0.4999974838684375</v>
      </c>
      <c r="Q31" s="41">
        <f t="shared" si="20"/>
        <v>1.8508330105148847</v>
      </c>
      <c r="R31" s="42">
        <f t="shared" si="21"/>
        <v>3.4729556904548016E-05</v>
      </c>
      <c r="S31" s="43">
        <f t="shared" si="22"/>
        <v>0.32634024010892393</v>
      </c>
      <c r="T31" s="42">
        <f t="shared" si="12"/>
        <v>1.8793830866356342</v>
      </c>
      <c r="U31" s="41">
        <f t="shared" si="13"/>
        <v>0.9848088043764094</v>
      </c>
      <c r="V31" s="42">
        <f t="shared" si="14"/>
        <v>1.8479232441491697E-05</v>
      </c>
      <c r="W31" s="43">
        <f t="shared" si="15"/>
        <v>0.173642213995402</v>
      </c>
      <c r="X31" s="43">
        <f t="shared" si="16"/>
        <v>1</v>
      </c>
    </row>
    <row r="32" spans="3:24" ht="12.75">
      <c r="C32" s="18"/>
      <c r="D32" s="19" t="s">
        <v>466</v>
      </c>
      <c r="E32" s="19" t="s">
        <v>471</v>
      </c>
      <c r="F32" s="19"/>
      <c r="G32" s="41">
        <f ca="1" t="shared" si="23"/>
        <v>182.671529</v>
      </c>
      <c r="H32" s="42">
        <f ca="1" t="shared" si="23"/>
        <v>170.855319</v>
      </c>
      <c r="I32" s="43">
        <f ca="1" t="shared" si="23"/>
        <v>-636.662659</v>
      </c>
      <c r="J32" s="42">
        <f t="shared" si="17"/>
        <v>91.16256399999999</v>
      </c>
      <c r="K32" s="42">
        <f t="shared" si="18"/>
        <v>0.001775000000009186</v>
      </c>
      <c r="L32" s="42">
        <f t="shared" si="19"/>
        <v>-16.075285000000008</v>
      </c>
      <c r="M32" s="72">
        <f t="shared" si="1"/>
        <v>92.56904377833847</v>
      </c>
      <c r="N32" s="42">
        <f t="shared" si="2"/>
        <v>0.9848061541857732</v>
      </c>
      <c r="O32" s="42">
        <f t="shared" si="3"/>
        <v>1.917487669268269E-05</v>
      </c>
      <c r="P32" s="42">
        <f t="shared" si="4"/>
        <v>-0.17365724375951358</v>
      </c>
      <c r="Q32" s="41">
        <f t="shared" si="20"/>
        <v>-0.9847888669794435</v>
      </c>
      <c r="R32" s="42">
        <f t="shared" si="21"/>
        <v>0.9999808248970061</v>
      </c>
      <c r="S32" s="43">
        <f t="shared" si="22"/>
        <v>0.17364484397015786</v>
      </c>
      <c r="T32" s="42">
        <f t="shared" si="12"/>
        <v>1.4141864426325736</v>
      </c>
      <c r="U32" s="41">
        <f t="shared" si="13"/>
        <v>-0.6963642397435329</v>
      </c>
      <c r="V32" s="42">
        <f t="shared" si="14"/>
        <v>0.7071067822114709</v>
      </c>
      <c r="W32" s="43">
        <f t="shared" si="15"/>
        <v>0.12278780133608828</v>
      </c>
      <c r="X32" s="43">
        <f t="shared" si="16"/>
        <v>-1</v>
      </c>
    </row>
    <row r="33" spans="3:24" ht="13.5" thickBot="1">
      <c r="C33" s="14"/>
      <c r="D33" s="15" t="s">
        <v>467</v>
      </c>
      <c r="E33" s="15" t="s">
        <v>471</v>
      </c>
      <c r="F33" s="15" t="s">
        <v>145</v>
      </c>
      <c r="G33" s="47">
        <f ca="1" t="shared" si="23"/>
        <v>182.672912</v>
      </c>
      <c r="H33" s="48">
        <f ca="1" t="shared" si="23"/>
        <v>250.856678</v>
      </c>
      <c r="I33" s="49">
        <f ca="1" t="shared" si="23"/>
        <v>-636.663651</v>
      </c>
      <c r="J33" s="48">
        <f t="shared" si="17"/>
        <v>0.001383000000004131</v>
      </c>
      <c r="K33" s="48">
        <f t="shared" si="18"/>
        <v>80.00135899999998</v>
      </c>
      <c r="L33" s="48">
        <f t="shared" si="19"/>
        <v>-0.0009919999999965512</v>
      </c>
      <c r="M33" s="73">
        <f t="shared" si="1"/>
        <v>80.00135901810438</v>
      </c>
      <c r="N33" s="48">
        <f t="shared" si="2"/>
        <v>1.7287206329721933E-05</v>
      </c>
      <c r="O33" s="48">
        <f t="shared" si="3"/>
        <v>0.9999999997736988</v>
      </c>
      <c r="P33" s="48">
        <f t="shared" si="4"/>
        <v>-1.2399789355729078E-05</v>
      </c>
      <c r="Q33" s="47">
        <f t="shared" si="20"/>
      </c>
      <c r="R33" s="48">
        <f t="shared" si="21"/>
      </c>
      <c r="S33" s="49">
        <f t="shared" si="22"/>
      </c>
      <c r="T33" s="48">
        <f t="shared" si="12"/>
      </c>
      <c r="U33" s="47">
        <f t="shared" si="13"/>
      </c>
      <c r="V33" s="48">
        <f t="shared" si="14"/>
      </c>
      <c r="W33" s="49">
        <f t="shared" si="15"/>
      </c>
      <c r="X33" s="49">
        <f t="shared" si="16"/>
      </c>
    </row>
    <row r="34" spans="3:6" ht="12.75">
      <c r="C34" s="19"/>
      <c r="D34" s="19"/>
      <c r="E34" s="19"/>
      <c r="F34" s="19"/>
    </row>
    <row r="35" spans="3:6" ht="12.75">
      <c r="C35" s="19"/>
      <c r="D35" s="19"/>
      <c r="E35" s="19"/>
      <c r="F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6" ht="12.75">
      <c r="C40" s="19"/>
      <c r="D40" s="19"/>
      <c r="E40" s="19"/>
      <c r="F40" s="19"/>
    </row>
    <row r="41" spans="3:6" ht="12.75">
      <c r="C41" s="31" t="s">
        <v>46</v>
      </c>
      <c r="D41" s="31" t="s">
        <v>375</v>
      </c>
      <c r="E41" s="31" t="s">
        <v>268</v>
      </c>
      <c r="F41" s="31" t="s">
        <v>376</v>
      </c>
    </row>
    <row r="42" spans="3:6" ht="12.75">
      <c r="C42" s="19" t="s">
        <v>17</v>
      </c>
      <c r="D42" s="19" t="str">
        <f>"-Zsyno"</f>
        <v>-Zsyno</v>
      </c>
      <c r="E42" s="19" t="s">
        <v>372</v>
      </c>
      <c r="F42" s="19" t="s">
        <v>112</v>
      </c>
    </row>
    <row r="43" spans="3:6" ht="12.75">
      <c r="C43" s="19" t="s">
        <v>80</v>
      </c>
      <c r="D43" s="19" t="s">
        <v>118</v>
      </c>
      <c r="E43" s="19" t="s">
        <v>373</v>
      </c>
      <c r="F43" s="19" t="s">
        <v>113</v>
      </c>
    </row>
    <row r="44" spans="3:6" ht="12.75">
      <c r="C44" s="19" t="s">
        <v>81</v>
      </c>
      <c r="D44" s="19" t="s">
        <v>119</v>
      </c>
      <c r="E44" s="19" t="s">
        <v>374</v>
      </c>
      <c r="F44" s="19" t="s">
        <v>114</v>
      </c>
    </row>
    <row r="45" spans="3:6" ht="12.75">
      <c r="C45" s="19"/>
      <c r="D45" s="19"/>
      <c r="E45" s="19"/>
      <c r="F45" s="19"/>
    </row>
    <row r="46" spans="3:6" ht="12.75">
      <c r="C46" s="19" t="s">
        <v>366</v>
      </c>
      <c r="D46" s="19">
        <v>-1</v>
      </c>
      <c r="E46" s="19"/>
      <c r="F46" s="19"/>
    </row>
    <row r="47" spans="3:6" ht="12.75">
      <c r="C47" s="19" t="s">
        <v>367</v>
      </c>
      <c r="D47" s="19">
        <v>-1</v>
      </c>
      <c r="E47" s="19"/>
      <c r="F47" s="19"/>
    </row>
    <row r="48" spans="3:6" ht="12.75">
      <c r="C48" s="19"/>
      <c r="D48" s="19"/>
      <c r="E48" s="19"/>
      <c r="F48" s="19"/>
    </row>
  </sheetData>
  <printOptions/>
  <pageMargins left="0.58"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AF48"/>
  <sheetViews>
    <sheetView zoomScale="60" zoomScaleNormal="60" workbookViewId="0" topLeftCell="A1">
      <selection activeCell="G22" sqref="G22"/>
    </sheetView>
  </sheetViews>
  <sheetFormatPr defaultColWidth="12" defaultRowHeight="12.75"/>
  <cols>
    <col min="1" max="2" width="12" style="1" customWidth="1"/>
    <col min="3" max="3" width="20.16015625" style="1" customWidth="1"/>
    <col min="4" max="6" width="12" style="1" customWidth="1"/>
    <col min="7" max="7" width="13.66015625" style="9" customWidth="1"/>
    <col min="8" max="8" width="13" style="9" customWidth="1"/>
    <col min="9" max="9" width="14.5" style="9" customWidth="1"/>
    <col min="10" max="10" width="15.33203125" style="8" customWidth="1"/>
    <col min="11" max="11" width="12" style="8" customWidth="1"/>
    <col min="12" max="12" width="14.33203125" style="8" customWidth="1"/>
    <col min="13" max="13" width="8.83203125" style="8" customWidth="1"/>
    <col min="14" max="16" width="10.83203125" style="8" customWidth="1"/>
    <col min="17" max="17" width="12" style="8" customWidth="1"/>
    <col min="18" max="23" width="9.33203125" style="8" customWidth="1"/>
    <col min="24" max="24" width="12" style="32" customWidth="1"/>
    <col min="25" max="25" width="11.33203125" style="37" customWidth="1"/>
    <col min="26" max="16384" width="12" style="1" customWidth="1"/>
  </cols>
  <sheetData>
    <row r="1" spans="3:29" s="5" customFormat="1" ht="12.75">
      <c r="C1" s="5" t="s">
        <v>111</v>
      </c>
      <c r="D1" s="5" t="s">
        <v>2</v>
      </c>
      <c r="E1" s="5" t="s">
        <v>469</v>
      </c>
      <c r="F1" s="5" t="s">
        <v>143</v>
      </c>
      <c r="G1" s="7" t="str">
        <f>"X"&amp;Ray</f>
        <v>XM3Cent</v>
      </c>
      <c r="H1" s="7" t="str">
        <f>"Y"&amp;Ray</f>
        <v>YM3Cent</v>
      </c>
      <c r="I1" s="7" t="str">
        <f>"Z"&amp;Ray</f>
        <v>ZM3Cent</v>
      </c>
      <c r="J1" s="6" t="s">
        <v>123</v>
      </c>
      <c r="K1" s="6" t="s">
        <v>124</v>
      </c>
      <c r="L1" s="6" t="s">
        <v>125</v>
      </c>
      <c r="M1" s="6" t="s">
        <v>126</v>
      </c>
      <c r="N1" s="6" t="s">
        <v>127</v>
      </c>
      <c r="O1" s="6" t="s">
        <v>128</v>
      </c>
      <c r="P1" s="6" t="s">
        <v>129</v>
      </c>
      <c r="Q1" s="6" t="s">
        <v>130</v>
      </c>
      <c r="R1" s="6" t="s">
        <v>131</v>
      </c>
      <c r="S1" s="6" t="s">
        <v>132</v>
      </c>
      <c r="T1" s="6" t="s">
        <v>133</v>
      </c>
      <c r="U1" s="6" t="s">
        <v>14</v>
      </c>
      <c r="V1" s="6" t="s">
        <v>15</v>
      </c>
      <c r="W1" s="6" t="s">
        <v>16</v>
      </c>
      <c r="X1" s="34" t="s">
        <v>360</v>
      </c>
      <c r="Y1" s="35" t="s">
        <v>362</v>
      </c>
      <c r="Z1" s="7" t="s">
        <v>21</v>
      </c>
      <c r="AA1" s="7" t="s">
        <v>22</v>
      </c>
      <c r="AB1" s="6" t="s">
        <v>23</v>
      </c>
      <c r="AC1" s="5" t="s">
        <v>363</v>
      </c>
    </row>
    <row r="2" spans="1:29" ht="13.5" thickBot="1">
      <c r="A2" s="1" t="s">
        <v>44</v>
      </c>
      <c r="B2" s="1" t="str">
        <f>'M3CentRay'!J4</f>
        <v>(BOLPHT154C)</v>
      </c>
      <c r="D2" s="1" t="s">
        <v>91</v>
      </c>
      <c r="E2" s="1" t="s">
        <v>470</v>
      </c>
      <c r="F2" s="1" t="s">
        <v>110</v>
      </c>
      <c r="G2" s="9">
        <f ca="1">INDIRECT("RayImpacts!"&amp;G$1)</f>
        <v>3252.162</v>
      </c>
      <c r="H2" s="9">
        <f ca="1" t="shared" si="0" ref="H2:I17">INDIRECT("RayImpacts!"&amp;H$1)</f>
        <v>12.75945</v>
      </c>
      <c r="I2" s="9">
        <f ca="1" t="shared" si="0"/>
        <v>62.305383</v>
      </c>
      <c r="J2" s="9">
        <f>IF(Flag="Ignore","",G2-G1)</f>
      </c>
      <c r="K2" s="9">
        <f>IF(Flag="Ignore","",H2-H1)</f>
      </c>
      <c r="L2" s="9">
        <f>IF(Flag="Ignore","",I2-I1)</f>
      </c>
      <c r="M2" s="8">
        <f aca="true" t="shared" si="1" ref="M2:M33">IF(Flag="ignore","",SQRT(Xdiff^2+Ydiff^2+Zdiff^2))</f>
      </c>
      <c r="N2" s="8">
        <f aca="true" t="shared" si="2" ref="N2:N33">IF(Flag="ignore","",Xdiff/DiffMod)</f>
      </c>
      <c r="O2" s="8">
        <f aca="true" t="shared" si="3" ref="O2:O33">IF(Flag="ignore","",Ydiff/DiffMod)</f>
      </c>
      <c r="P2" s="8">
        <f aca="true" t="shared" si="4" ref="P2:P33">IF(Flag="ignore","",Zdiff/DiffMod)</f>
      </c>
      <c r="Q2" s="8">
        <f>IF(OR(Flag="Ignore",Flag="Hole",Flag="Det"),"",N3-Xray)</f>
      </c>
      <c r="R2" s="8">
        <f>IF(OR(Flag="Ignore",Flag="Hole",Flag="Det"),"",O3-Yray)</f>
      </c>
      <c r="S2" s="8">
        <f>IF(OR(Flag="Ignore",Flag="Hole",Flag="Det"),"",P3-Zray)</f>
      </c>
      <c r="T2" s="8">
        <f>IF(OR(Flag="Ignore",Flag="Hole",Flag="Det"),"",SQRT(dXray^2+dYray^2+dZray^2))</f>
      </c>
      <c r="U2" s="8">
        <f>IF(OR(Flag="Ignore",Flag="Hole",Flag="Det"),"",dXray/drayMod)</f>
      </c>
      <c r="V2" s="8">
        <f>IF(OR(Flag="Ignore",Flag="Hole",Flag="Det"),"",dYray/drayMod)</f>
      </c>
      <c r="W2" s="8">
        <f>IF(OR(Flag="Ignore",Flag="Hole",Flag="Det"),"",dZray/drayMod)</f>
      </c>
      <c r="X2" s="32">
        <f>IF(OR(Flag="Ignore",Flag="Hole",Flag="Det"),"",ACOS((Xnorm*VertexCalc!Xnorm+Ynorm*VertexCalc!Ynorm)/(SQRT(Xnorm^2+Ynorm^2)*SQRT(VertexCalc!Xnorm^2+VertexCalc!Ynorm^2)))*180/PI()*SIGN(Xnorm*Ynorm))</f>
      </c>
      <c r="Y2" s="36">
        <f>IF(OR(Flag="Ignore",Flag="Hole",Flag="Det"),"",((Xnorm*GutCalc!Xnorm+Ynorm*GutCalc!Ynorm)/(SQRT(Xnorm^2+Ynorm^2)*SQRT(GutCalc!Xnorm^2+GutCalc!Ynorm^2)))*180/PI())</f>
      </c>
      <c r="Z2" s="32">
        <f>IF(OR(Flag="Ignore",Flag="Hole",Flag="Det"),"",VertexCalc!Xsag*COS(Theta*PI()/180)-VertexCalc!Ysag*SIN(Theta*PI()/180))</f>
      </c>
      <c r="AA2" s="32">
        <f>IF(OR(Flag="Ignore",Flag="Hole",Flag="Det"),"",VertexCalc!Xsag*SIN(Theta*PI()/180)+VertexCalc!Ysag*COS(Theta*PI()/180))</f>
      </c>
      <c r="AB2" s="32">
        <f>IF(OR(Flag="Ignore",Flag="Hole",Flag="Det"),"",VertexCalc!Zsag)</f>
      </c>
      <c r="AC2" s="32">
        <f>IF(OR(Flag="Ignore",Flag="Hole",Flag="Det"),"",ACOS(Xsag*Xnorm+Ysag*Ynorm+zSag*Znorm)*180/PI())</f>
      </c>
    </row>
    <row r="3" spans="3:29" ht="12.75">
      <c r="C3" s="10" t="s">
        <v>108</v>
      </c>
      <c r="D3" s="11" t="s">
        <v>92</v>
      </c>
      <c r="E3" s="11" t="s">
        <v>470</v>
      </c>
      <c r="F3" s="11"/>
      <c r="G3" s="13">
        <f ca="1" t="shared" si="5" ref="G3:I23">INDIRECT("RayImpacts!"&amp;G$1)</f>
        <v>1252.625517</v>
      </c>
      <c r="H3" s="13">
        <f ca="1" t="shared" si="0"/>
        <v>11.427923</v>
      </c>
      <c r="I3" s="13">
        <f ca="1" t="shared" si="0"/>
        <v>55.803431</v>
      </c>
      <c r="J3" s="13">
        <f aca="true" t="shared" si="6" ref="J3:J22">IF(Flag="Ignore","",G3-G2)</f>
        <v>-1999.5364829999999</v>
      </c>
      <c r="K3" s="13">
        <f aca="true" t="shared" si="7" ref="K3:K22">IF(Flag="Ignore","",H3-H2)</f>
        <v>-1.3315269999999995</v>
      </c>
      <c r="L3" s="13">
        <f aca="true" t="shared" si="8" ref="L3:L22">IF(Flag="Ignore","",I3-I2)</f>
        <v>-6.501951999999996</v>
      </c>
      <c r="M3" s="12">
        <f t="shared" si="1"/>
        <v>1999.5474976083892</v>
      </c>
      <c r="N3" s="12">
        <f t="shared" si="2"/>
        <v>-0.9999944914494892</v>
      </c>
      <c r="O3" s="12">
        <f t="shared" si="3"/>
        <v>-0.0006659141638758804</v>
      </c>
      <c r="P3" s="12">
        <f t="shared" si="4"/>
        <v>-0.0032517117036613657</v>
      </c>
      <c r="Q3" s="12">
        <f aca="true" t="shared" si="9" ref="Q3:Q22">IF(OR(Flag="Ignore",Flag="Hole",Flag="Det"),"",N4-Xray)</f>
        <v>1.9993513828495733</v>
      </c>
      <c r="R3" s="12">
        <f aca="true" t="shared" si="10" ref="R3:R22">IF(OR(Flag="Ignore",Flag="Hole",Flag="Det"),"",O4-Yray)</f>
        <v>-0.006528123101971799</v>
      </c>
      <c r="S3" s="12">
        <f aca="true" t="shared" si="11" ref="S3:S22">IF(OR(Flag="Ignore",Flag="Hole",Flag="Det"),"",P4-Zray)</f>
        <v>-0.031877328120649646</v>
      </c>
      <c r="T3" s="12">
        <f aca="true" t="shared" si="12" ref="T3:T33">IF(OR(Flag="Ignore",Flag="Hole",Flag="Det"),"",SQRT(dXray^2+dYray^2+dZray^2))</f>
        <v>1.9996161462995459</v>
      </c>
      <c r="U3" s="12">
        <f aca="true" t="shared" si="13" ref="U3:U33">IF(OR(Flag="Ignore",Flag="Hole",Flag="Det"),"",dXray/drayMod)</f>
        <v>0.9998675928625288</v>
      </c>
      <c r="V3" s="12">
        <f aca="true" t="shared" si="14" ref="V3:V33">IF(OR(Flag="Ignore",Flag="Hole",Flag="Det"),"",dYray/drayMod)</f>
        <v>-0.003264688132296105</v>
      </c>
      <c r="W3" s="12">
        <f aca="true" t="shared" si="15" ref="W3:W33">IF(OR(Flag="Ignore",Flag="Hole",Flag="Det"),"",dZray/drayMod)</f>
        <v>-0.01594172370514274</v>
      </c>
      <c r="X3" s="45">
        <f>IF(OR(Flag="Ignore",Flag="Hole",Flag="Det"),"",ACOS((Xnorm*VertexCalc!Xnorm+Ynorm*VertexCalc!Ynorm)/(SQRT(Xnorm^2+Ynorm^2)*SQRT(VertexCalc!Xnorm^2+VertexCalc!Ynorm^2)))*180/PI()*SIGN(Xnorm*Ynorm))</f>
        <v>-179.81292304298694</v>
      </c>
      <c r="Y3" s="56">
        <f>IF(OR(Flag="Ignore",Flag="Hole",Flag="Det"),"",(1-(Xnorm*GutCalc!Xnorm+Ynorm*GutCalc!Ynorm)/(SQRT(Xnorm^2+Ynorm^2)*SQRT(GutCalc!Xnorm^2+GutCalc!Ynorm^2))))</f>
        <v>2.637301207453202E-05</v>
      </c>
      <c r="Z3" s="45">
        <f>IF(OR(Flag="Ignore",Flag="Hole",Flag="Det"),"",VertexCalc!Xsag*COS(Theta*PI()/180)-VertexCalc!Ysag*SIN(Theta*PI()/180))</f>
        <v>0.0032651030529736026</v>
      </c>
      <c r="AA3" s="45">
        <f>IF(OR(Flag="Ignore",Flag="Hole",Flag="Det"),"",VertexCalc!Xsag*SIN(Theta*PI()/180)+VertexCalc!Ysag*COS(Theta*PI()/180))</f>
        <v>-0.9999946695368198</v>
      </c>
      <c r="AB3" s="45">
        <f>IF(OR(Flag="Ignore",Flag="Hole",Flag="Det"),"",VertexCalc!Zsag)</f>
        <v>0</v>
      </c>
      <c r="AC3" s="46">
        <f aca="true" t="shared" si="16" ref="AC3:AC33">IF(OR(Flag="Ignore",Flag="Hole",Flag="Det"),"",ACOS(Xsag*Xnorm+Ysag*Ynorm+zSag*Znorm)*180/PI())</f>
        <v>89.62589363313975</v>
      </c>
    </row>
    <row r="4" spans="3:29" ht="13.5" thickBot="1">
      <c r="C4" s="14"/>
      <c r="D4" s="15" t="s">
        <v>93</v>
      </c>
      <c r="E4" s="15" t="s">
        <v>470</v>
      </c>
      <c r="F4" s="15"/>
      <c r="G4" s="17">
        <f ca="1" t="shared" si="5"/>
        <v>2840.131</v>
      </c>
      <c r="H4" s="17">
        <f ca="1" t="shared" si="0"/>
        <v>3.55E-15</v>
      </c>
      <c r="I4" s="17">
        <f ca="1" t="shared" si="0"/>
        <v>1.42E-14</v>
      </c>
      <c r="J4" s="17">
        <f t="shared" si="6"/>
        <v>1587.505483</v>
      </c>
      <c r="K4" s="17">
        <f t="shared" si="7"/>
        <v>-11.427922999999996</v>
      </c>
      <c r="L4" s="17">
        <f t="shared" si="8"/>
        <v>-55.80343099999999</v>
      </c>
      <c r="M4" s="16">
        <f t="shared" si="1"/>
        <v>1588.5270784253344</v>
      </c>
      <c r="N4" s="16">
        <f t="shared" si="2"/>
        <v>0.9993568914000842</v>
      </c>
      <c r="O4" s="16">
        <f t="shared" si="3"/>
        <v>-0.00719403726584768</v>
      </c>
      <c r="P4" s="16">
        <f t="shared" si="4"/>
        <v>-0.03512903982431101</v>
      </c>
      <c r="Q4" s="16">
        <f t="shared" si="9"/>
        <v>-1.9987137828074946</v>
      </c>
      <c r="R4" s="16">
        <f t="shared" si="10"/>
        <v>2.1741908794170595E-10</v>
      </c>
      <c r="S4" s="16">
        <f t="shared" si="11"/>
        <v>1.6389338497457828E-10</v>
      </c>
      <c r="T4" s="16">
        <f t="shared" si="12"/>
        <v>1.9987137828074946</v>
      </c>
      <c r="U4" s="16">
        <f t="shared" si="13"/>
        <v>-1</v>
      </c>
      <c r="V4" s="16">
        <f t="shared" si="14"/>
        <v>1.0877950100304412E-10</v>
      </c>
      <c r="W4" s="16">
        <f t="shared" si="15"/>
        <v>8.199942702369588E-11</v>
      </c>
      <c r="X4" s="48">
        <f>IF(OR(Flag="Ignore",Flag="Hole",Flag="Det"),"",ACOS((Xnorm*VertexCalc!Xnorm+Ynorm*VertexCalc!Ynorm)/(SQRT(Xnorm^2+Ynorm^2)*SQRT(VertexCalc!Xnorm^2+VertexCalc!Ynorm^2)))*180/PI()*SIGN(Xnorm*Ynorm))</f>
        <v>0</v>
      </c>
      <c r="Y4" s="57">
        <f>IF(OR(Flag="Ignore",Flag="Hole",Flag="Det"),"",(1-(Xnorm*GutCalc!Xnorm+Ynorm*GutCalc!Ynorm)/(SQRT(Xnorm^2+Ynorm^2)*SQRT(GutCalc!Xnorm^2+GutCalc!Ynorm^2))))</f>
        <v>0</v>
      </c>
      <c r="Z4" s="48">
        <f>IF(OR(Flag="Ignore",Flag="Hole",Flag="Det"),"",VertexCalc!Xsag*COS(Theta*PI()/180)-VertexCalc!Ysag*SIN(Theta*PI()/180))</f>
        <v>0</v>
      </c>
      <c r="AA4" s="48">
        <f>IF(OR(Flag="Ignore",Flag="Hole",Flag="Det"),"",VertexCalc!Xsag*SIN(Theta*PI()/180)+VertexCalc!Ysag*COS(Theta*PI()/180))</f>
        <v>1</v>
      </c>
      <c r="AB4" s="48">
        <f>IF(OR(Flag="Ignore",Flag="Hole",Flag="Det"),"",VertexCalc!Zsag)</f>
        <v>0</v>
      </c>
      <c r="AC4" s="49">
        <f t="shared" si="16"/>
        <v>89.9999999937674</v>
      </c>
    </row>
    <row r="5" spans="1:29" ht="13.5" thickBot="1">
      <c r="A5" s="1" t="s">
        <v>3</v>
      </c>
      <c r="B5" s="25" t="s">
        <v>146</v>
      </c>
      <c r="C5" s="10" t="s">
        <v>109</v>
      </c>
      <c r="D5" s="11" t="s">
        <v>94</v>
      </c>
      <c r="E5" s="11" t="s">
        <v>470</v>
      </c>
      <c r="F5" s="11" t="s">
        <v>144</v>
      </c>
      <c r="G5" s="13">
        <f ca="1" t="shared" si="5"/>
        <v>230.68079</v>
      </c>
      <c r="H5" s="13">
        <f ca="1" t="shared" si="0"/>
        <v>-18.784562</v>
      </c>
      <c r="I5" s="13">
        <f ca="1" t="shared" si="0"/>
        <v>-91.72647</v>
      </c>
      <c r="J5" s="13">
        <f t="shared" si="6"/>
        <v>-2609.45021</v>
      </c>
      <c r="K5" s="13">
        <f t="shared" si="7"/>
        <v>-18.784562000000005</v>
      </c>
      <c r="L5" s="13">
        <f t="shared" si="8"/>
        <v>-91.72647000000002</v>
      </c>
      <c r="M5" s="12">
        <f t="shared" si="1"/>
        <v>2611.129449785521</v>
      </c>
      <c r="N5" s="12">
        <f t="shared" si="2"/>
        <v>-0.9993568914074104</v>
      </c>
      <c r="O5" s="12">
        <f t="shared" si="3"/>
        <v>-0.007194037048428592</v>
      </c>
      <c r="P5" s="12">
        <f t="shared" si="4"/>
        <v>-0.035129039660417624</v>
      </c>
      <c r="Q5" s="12">
        <f t="shared" si="9"/>
      </c>
      <c r="R5" s="12">
        <f t="shared" si="10"/>
      </c>
      <c r="S5" s="12">
        <f t="shared" si="11"/>
      </c>
      <c r="T5" s="12">
        <f t="shared" si="12"/>
      </c>
      <c r="U5" s="12">
        <f t="shared" si="13"/>
      </c>
      <c r="V5" s="12">
        <f t="shared" si="14"/>
      </c>
      <c r="W5" s="12">
        <f t="shared" si="15"/>
      </c>
      <c r="X5" s="45">
        <f>IF(OR(Flag="Ignore",Flag="Hole",Flag="Det"),"",ACOS((Xnorm*VertexCalc!Xnorm+Ynorm*VertexCalc!Ynorm)/(SQRT(Xnorm^2+Ynorm^2)*SQRT(VertexCalc!Xnorm^2+VertexCalc!Ynorm^2)))*180/PI()*SIGN(Xnorm*Ynorm))</f>
      </c>
      <c r="Y5" s="56">
        <f>IF(OR(Flag="Ignore",Flag="Hole",Flag="Det"),"",(1-(Xnorm*GutCalc!Xnorm+Ynorm*GutCalc!Ynorm)/(SQRT(Xnorm^2+Ynorm^2)*SQRT(GutCalc!Xnorm^2+GutCalc!Ynorm^2))))</f>
      </c>
      <c r="Z5" s="45">
        <f>IF(OR(Flag="Ignore",Flag="Hole",Flag="Det"),"",VertexCalc!Xsag*COS(Theta*PI()/180)-VertexCalc!Ysag*SIN(Theta*PI()/180))</f>
      </c>
      <c r="AA5" s="45">
        <f>IF(OR(Flag="Ignore",Flag="Hole",Flag="Det"),"",VertexCalc!Xsag*SIN(Theta*PI()/180)+VertexCalc!Ysag*COS(Theta*PI()/180))</f>
      </c>
      <c r="AB5" s="45">
        <f>IF(OR(Flag="Ignore",Flag="Hole",Flag="Det"),"",VertexCalc!Zsag)</f>
      </c>
      <c r="AC5" s="46">
        <f t="shared" si="16"/>
      </c>
    </row>
    <row r="6" spans="3:32" s="5" customFormat="1" ht="12.75">
      <c r="C6" s="18"/>
      <c r="D6" s="19" t="s">
        <v>95</v>
      </c>
      <c r="E6" s="19" t="s">
        <v>470</v>
      </c>
      <c r="F6" s="19"/>
      <c r="G6" s="29">
        <f ca="1" t="shared" si="5"/>
        <v>131.229806</v>
      </c>
      <c r="H6" s="29">
        <f ca="1" t="shared" si="0"/>
        <v>-19.500476</v>
      </c>
      <c r="I6" s="29">
        <f ca="1" t="shared" si="0"/>
        <v>-95.222336</v>
      </c>
      <c r="J6" s="29">
        <f t="shared" si="6"/>
        <v>-99.450984</v>
      </c>
      <c r="K6" s="29">
        <f t="shared" si="7"/>
        <v>-0.7159139999999979</v>
      </c>
      <c r="L6" s="29">
        <f t="shared" si="8"/>
        <v>-3.4958659999999924</v>
      </c>
      <c r="M6" s="28">
        <f t="shared" si="1"/>
        <v>99.51498294484911</v>
      </c>
      <c r="N6" s="28">
        <f t="shared" si="2"/>
        <v>-0.9993568913649458</v>
      </c>
      <c r="O6" s="28">
        <f t="shared" si="3"/>
        <v>-0.007194032283528152</v>
      </c>
      <c r="P6" s="28">
        <f t="shared" si="4"/>
        <v>-0.03512904184425566</v>
      </c>
      <c r="Q6" s="28">
        <f t="shared" si="9"/>
        <v>1.865488011099519</v>
      </c>
      <c r="R6" s="28">
        <f t="shared" si="10"/>
        <v>0.09853450119552655</v>
      </c>
      <c r="S6" s="28">
        <f t="shared" si="11"/>
        <v>-0.45627079755973815</v>
      </c>
      <c r="T6" s="28">
        <f t="shared" si="12"/>
        <v>1.9230022382170255</v>
      </c>
      <c r="U6" s="28">
        <f t="shared" si="13"/>
        <v>0.9700914403662718</v>
      </c>
      <c r="V6" s="28">
        <f t="shared" si="14"/>
        <v>0.05123993058213288</v>
      </c>
      <c r="W6" s="28">
        <f t="shared" si="15"/>
        <v>-0.23727002938009295</v>
      </c>
      <c r="X6" s="51">
        <f>IF(OR(Flag="Ignore",Flag="Hole",Flag="Det"),"",ACOS((Xnorm*VertexCalc!Xnorm+Ynorm*VertexCalc!Ynorm)/(SQRT(Xnorm^2+Ynorm^2)*SQRT(VertexCalc!Xnorm^2+VertexCalc!Ynorm^2)))*180/PI()*SIGN(Xnorm*Ynorm))</f>
        <v>176.97646432181804</v>
      </c>
      <c r="Y6" s="58">
        <f>IF(OR(Flag="Ignore",Flag="Hole",Flag="Det"),"",(1-(Xnorm*GutCalc!Xnorm+Ynorm*GutCalc!Ynorm)/(SQRT(Xnorm^2+Ynorm^2)*SQRT(GutCalc!Xnorm^2+GutCalc!Ynorm^2))))</f>
        <v>0.006807741008523771</v>
      </c>
      <c r="Z6" s="51">
        <f>IF(OR(Flag="Ignore",Flag="Hole",Flag="Det"),"",VertexCalc!Xsag*COS(Theta*PI()/180)-VertexCalc!Ysag*SIN(Theta*PI()/180))</f>
        <v>-0.052746163938923285</v>
      </c>
      <c r="AA6" s="51">
        <f>IF(OR(Flag="Ignore",Flag="Hole",Flag="Det"),"",VertexCalc!Xsag*SIN(Theta*PI()/180)+VertexCalc!Ysag*COS(Theta*PI()/180))</f>
        <v>-0.9986079521963203</v>
      </c>
      <c r="AB6" s="51">
        <f>IF(OR(Flag="Ignore",Flag="Hole",Flag="Det"),"",VertexCalc!Zsag)</f>
        <v>0</v>
      </c>
      <c r="AC6" s="69">
        <f t="shared" si="16"/>
        <v>95.87377305733033</v>
      </c>
      <c r="AE6" s="34"/>
      <c r="AF6" s="34"/>
    </row>
    <row r="7" spans="3:29" ht="12.75">
      <c r="C7" s="18"/>
      <c r="D7" s="19" t="s">
        <v>97</v>
      </c>
      <c r="E7" s="19" t="s">
        <v>470</v>
      </c>
      <c r="F7" s="19"/>
      <c r="G7" s="21">
        <f ca="1" t="shared" si="5"/>
        <v>316.117194</v>
      </c>
      <c r="H7" s="21">
        <f ca="1" t="shared" si="0"/>
        <v>-0.002619</v>
      </c>
      <c r="I7" s="21">
        <f ca="1" t="shared" si="0"/>
        <v>-200.11827</v>
      </c>
      <c r="J7" s="21">
        <f t="shared" si="6"/>
        <v>184.887388</v>
      </c>
      <c r="K7" s="21">
        <f t="shared" si="7"/>
        <v>19.497857</v>
      </c>
      <c r="L7" s="21">
        <f t="shared" si="8"/>
        <v>-104.895934</v>
      </c>
      <c r="M7" s="20">
        <f t="shared" si="1"/>
        <v>213.46350891613147</v>
      </c>
      <c r="N7" s="20">
        <f t="shared" si="2"/>
        <v>0.8661311197345731</v>
      </c>
      <c r="O7" s="20">
        <f t="shared" si="3"/>
        <v>0.0913404689119984</v>
      </c>
      <c r="P7" s="20">
        <f t="shared" si="4"/>
        <v>-0.4913998394039938</v>
      </c>
      <c r="Q7" s="20">
        <f t="shared" si="9"/>
        <v>-1.855901950093028</v>
      </c>
      <c r="R7" s="20">
        <f t="shared" si="10"/>
        <v>6.11796668881226E-10</v>
      </c>
      <c r="S7" s="20">
        <f t="shared" si="11"/>
        <v>0.6009928227501324</v>
      </c>
      <c r="T7" s="20">
        <f t="shared" si="12"/>
        <v>1.9507855908213687</v>
      </c>
      <c r="U7" s="20">
        <f t="shared" si="13"/>
        <v>-0.9513613176277408</v>
      </c>
      <c r="V7" s="20">
        <f t="shared" si="14"/>
        <v>3.136155360998089E-10</v>
      </c>
      <c r="W7" s="20">
        <f t="shared" si="15"/>
        <v>0.3080773333460431</v>
      </c>
      <c r="X7" s="42">
        <f>IF(OR(Flag="Ignore",Flag="Hole",Flag="Det"),"",ACOS((Xnorm*VertexCalc!Xnorm+Ynorm*VertexCalc!Ynorm)/(SQRT(Xnorm^2+Ynorm^2)*SQRT(VertexCalc!Xnorm^2+VertexCalc!Ynorm^2)))*180/PI()*SIGN(Xnorm*Ynorm))</f>
        <v>0</v>
      </c>
      <c r="Y7" s="59">
        <f>IF(OR(Flag="Ignore",Flag="Hole",Flag="Det"),"",(1-(Xnorm*GutCalc!Xnorm+Ynorm*GutCalc!Ynorm)/(SQRT(Xnorm^2+Ynorm^2)*SQRT(GutCalc!Xnorm^2+GutCalc!Ynorm^2))))</f>
        <v>0</v>
      </c>
      <c r="Z7" s="42">
        <f>IF(OR(Flag="Ignore",Flag="Hole",Flag="Det"),"",VertexCalc!Xsag*COS(Theta*PI()/180)-VertexCalc!Ysag*SIN(Theta*PI()/180))</f>
        <v>0</v>
      </c>
      <c r="AA7" s="42">
        <f>IF(OR(Flag="Ignore",Flag="Hole",Flag="Det"),"",VertexCalc!Xsag*SIN(Theta*PI()/180)+VertexCalc!Ysag*COS(Theta*PI()/180))</f>
        <v>1</v>
      </c>
      <c r="AB7" s="42">
        <f>IF(OR(Flag="Ignore",Flag="Hole",Flag="Det"),"",VertexCalc!Zsag)</f>
        <v>0</v>
      </c>
      <c r="AC7" s="43">
        <f t="shared" si="16"/>
        <v>89.99999998203116</v>
      </c>
    </row>
    <row r="8" spans="3:29" ht="13.5" thickBot="1">
      <c r="C8" s="14"/>
      <c r="D8" s="15" t="s">
        <v>98</v>
      </c>
      <c r="E8" s="15" t="s">
        <v>470</v>
      </c>
      <c r="F8" s="15"/>
      <c r="G8" s="17">
        <f ca="1" t="shared" si="5"/>
        <v>120.717899</v>
      </c>
      <c r="H8" s="17">
        <f ca="1" t="shared" si="0"/>
        <v>18.0297</v>
      </c>
      <c r="I8" s="17">
        <f ca="1" t="shared" si="0"/>
        <v>-178.482563</v>
      </c>
      <c r="J8" s="17">
        <f t="shared" si="6"/>
        <v>-195.399295</v>
      </c>
      <c r="K8" s="17">
        <f t="shared" si="7"/>
        <v>18.032318999999998</v>
      </c>
      <c r="L8" s="17">
        <f t="shared" si="8"/>
        <v>21.635706999999996</v>
      </c>
      <c r="M8" s="16">
        <f t="shared" si="1"/>
        <v>197.4187246246025</v>
      </c>
      <c r="N8" s="16">
        <f t="shared" si="2"/>
        <v>-0.989770830358455</v>
      </c>
      <c r="O8" s="16">
        <f t="shared" si="3"/>
        <v>0.09134046952379507</v>
      </c>
      <c r="P8" s="16">
        <f t="shared" si="4"/>
        <v>0.10959298334613866</v>
      </c>
      <c r="Q8" s="16">
        <f t="shared" si="9"/>
        <v>0.7404201191052606</v>
      </c>
      <c r="R8" s="16">
        <f t="shared" si="10"/>
        <v>-0.115858090230082</v>
      </c>
      <c r="S8" s="16">
        <f t="shared" si="11"/>
        <v>-1.0776958234785436</v>
      </c>
      <c r="T8" s="16">
        <f t="shared" si="12"/>
        <v>1.3126588809704929</v>
      </c>
      <c r="U8" s="16">
        <f t="shared" si="13"/>
        <v>0.5640613337090616</v>
      </c>
      <c r="V8" s="16">
        <f t="shared" si="14"/>
        <v>-0.08826214632732628</v>
      </c>
      <c r="W8" s="16">
        <f t="shared" si="15"/>
        <v>-0.8210021956974586</v>
      </c>
      <c r="X8" s="48">
        <f>IF(OR(Flag="Ignore",Flag="Hole",Flag="Det"),"",ACOS((Xnorm*VertexCalc!Xnorm+Ynorm*VertexCalc!Ynorm)/(SQRT(Xnorm^2+Ynorm^2)*SQRT(VertexCalc!Xnorm^2+VertexCalc!Ynorm^2)))*180/PI()*SIGN(Xnorm*Ynorm))</f>
        <v>-171.10669260394997</v>
      </c>
      <c r="Y8" s="57">
        <f>IF(OR(Flag="Ignore",Flag="Hole",Flag="Det"),"",(1-(Xnorm*GutCalc!Xnorm+Ynorm*GutCalc!Ynorm)/(SQRT(Xnorm^2+Ynorm^2)*SQRT(GutCalc!Xnorm^2+GutCalc!Ynorm^2))))</f>
        <v>0.0018933666845842856</v>
      </c>
      <c r="Z8" s="48">
        <f>IF(OR(Flag="Ignore",Flag="Hole",Flag="Det"),"",VertexCalc!Xsag*COS(Theta*PI()/180)-VertexCalc!Ysag*SIN(Theta*PI()/180))</f>
        <v>0.1545949836535211</v>
      </c>
      <c r="AA8" s="48">
        <f>IF(OR(Flag="Ignore",Flag="Hole",Flag="Det"),"",VertexCalc!Xsag*SIN(Theta*PI()/180)+VertexCalc!Ysag*COS(Theta*PI()/180))</f>
        <v>-0.9879779304362863</v>
      </c>
      <c r="AB8" s="48">
        <f>IF(OR(Flag="Ignore",Flag="Hole",Flag="Det"),"",VertexCalc!Zsag)</f>
        <v>0</v>
      </c>
      <c r="AC8" s="49">
        <f t="shared" si="16"/>
        <v>79.9561337803239</v>
      </c>
    </row>
    <row r="9" spans="3:29" ht="12.75">
      <c r="C9" s="10" t="s">
        <v>443</v>
      </c>
      <c r="D9" s="11" t="s">
        <v>444</v>
      </c>
      <c r="E9" s="11" t="s">
        <v>470</v>
      </c>
      <c r="F9" s="11"/>
      <c r="G9" s="13">
        <f ca="1" t="shared" si="5"/>
        <v>95.212653</v>
      </c>
      <c r="H9" s="13">
        <f ca="1" t="shared" si="0"/>
        <v>15.521875</v>
      </c>
      <c r="I9" s="13">
        <f ca="1" t="shared" si="0"/>
        <v>-277.506548</v>
      </c>
      <c r="J9" s="13">
        <f t="shared" si="6"/>
        <v>-25.505246</v>
      </c>
      <c r="K9" s="13">
        <f t="shared" si="7"/>
        <v>-2.5078249999999986</v>
      </c>
      <c r="L9" s="13">
        <f t="shared" si="8"/>
        <v>-99.02398500000001</v>
      </c>
      <c r="M9" s="12">
        <f t="shared" si="1"/>
        <v>102.2866382526641</v>
      </c>
      <c r="N9" s="12">
        <f t="shared" si="2"/>
        <v>-0.24935071125319444</v>
      </c>
      <c r="O9" s="12">
        <f t="shared" si="3"/>
        <v>-0.024517620706286936</v>
      </c>
      <c r="P9" s="12">
        <f t="shared" si="4"/>
        <v>-0.9681028401324049</v>
      </c>
      <c r="Q9" s="12">
        <f t="shared" si="9"/>
        <v>0.7427418411699742</v>
      </c>
      <c r="R9" s="12">
        <f t="shared" si="10"/>
        <v>-0.053470456107773776</v>
      </c>
      <c r="S9" s="12">
        <f t="shared" si="11"/>
        <v>0.10179859057900043</v>
      </c>
      <c r="T9" s="12">
        <f t="shared" si="12"/>
        <v>0.7515899715568373</v>
      </c>
      <c r="U9" s="12">
        <f t="shared" si="13"/>
        <v>0.9882274501766767</v>
      </c>
      <c r="V9" s="12">
        <f t="shared" si="14"/>
        <v>-0.07114312075906962</v>
      </c>
      <c r="W9" s="12">
        <f t="shared" si="15"/>
        <v>0.13544431728930026</v>
      </c>
      <c r="X9" s="45">
        <f>IF(OR(Flag="Ignore",Flag="Hole",Flag="Det"),"",ACOS((Xnorm*VertexCalc!Xnorm+Ynorm*VertexCalc!Ynorm)/(SQRT(Xnorm^2+Ynorm^2)*SQRT(VertexCalc!Xnorm^2+VertexCalc!Ynorm^2)))*180/PI()*SIGN(Xnorm*Ynorm))</f>
        <v>-131.61958678657683</v>
      </c>
      <c r="Y9" s="56">
        <f>IF(OR(Flag="Ignore",Flag="Hole",Flag="Det"),"",(1-(Xnorm*GutCalc!Xnorm+Ynorm*GutCalc!Ynorm)/(SQRT(Xnorm^2+Ynorm^2)*SQRT(GutCalc!Xnorm^2+GutCalc!Ynorm^2))))</f>
        <v>1.6641753312575576</v>
      </c>
      <c r="Z9" s="45">
        <f>IF(OR(Flag="Ignore",Flag="Hole",Flag="Det"),"",VertexCalc!Xsag*COS(Theta*PI()/180)-VertexCalc!Ysag*SIN(Theta*PI()/180))</f>
        <v>0.2597912042709</v>
      </c>
      <c r="AA9" s="45">
        <f>IF(OR(Flag="Ignore",Flag="Hole",Flag="Det"),"",VertexCalc!Xsag*SIN(Theta*PI()/180)+VertexCalc!Ysag*COS(Theta*PI()/180))</f>
        <v>-0.7356690742488909</v>
      </c>
      <c r="AB9" s="45">
        <f>IF(OR(Flag="Ignore",Flag="Hole",Flag="Det"),"",VertexCalc!Zsag)</f>
        <v>-0.6255394019382434</v>
      </c>
      <c r="AC9" s="46">
        <f t="shared" si="16"/>
        <v>77.03564483956843</v>
      </c>
    </row>
    <row r="10" spans="3:29" ht="12.75">
      <c r="C10" s="18"/>
      <c r="D10" s="19" t="s">
        <v>445</v>
      </c>
      <c r="E10" s="19" t="s">
        <v>470</v>
      </c>
      <c r="F10" s="19" t="s">
        <v>144</v>
      </c>
      <c r="G10" s="21">
        <f ca="1" t="shared" si="5"/>
        <v>192.856362</v>
      </c>
      <c r="H10" s="21">
        <f ca="1" t="shared" si="0"/>
        <v>0.087781</v>
      </c>
      <c r="I10" s="21">
        <f ca="1" t="shared" si="0"/>
        <v>-448.950976</v>
      </c>
      <c r="J10" s="21">
        <f t="shared" si="6"/>
        <v>97.64370899999999</v>
      </c>
      <c r="K10" s="21">
        <f t="shared" si="7"/>
        <v>-15.434094</v>
      </c>
      <c r="L10" s="21">
        <f t="shared" si="8"/>
        <v>-171.44442800000002</v>
      </c>
      <c r="M10" s="20">
        <f t="shared" si="1"/>
        <v>197.9032517598554</v>
      </c>
      <c r="N10" s="20">
        <f t="shared" si="2"/>
        <v>0.49339112991677975</v>
      </c>
      <c r="O10" s="20">
        <f t="shared" si="3"/>
        <v>-0.07798807681406071</v>
      </c>
      <c r="P10" s="20">
        <f t="shared" si="4"/>
        <v>-0.8663042495534045</v>
      </c>
      <c r="Q10" s="20">
        <f t="shared" si="9"/>
      </c>
      <c r="R10" s="20">
        <f t="shared" si="10"/>
      </c>
      <c r="S10" s="20">
        <f t="shared" si="11"/>
      </c>
      <c r="T10" s="20">
        <f t="shared" si="12"/>
      </c>
      <c r="U10" s="20">
        <f t="shared" si="13"/>
      </c>
      <c r="V10" s="20">
        <f t="shared" si="14"/>
      </c>
      <c r="W10" s="20">
        <f t="shared" si="15"/>
      </c>
      <c r="X10" s="42">
        <f>IF(OR(Flag="Ignore",Flag="Hole",Flag="Det"),"",ACOS((Xnorm*VertexCalc!Xnorm+Ynorm*VertexCalc!Ynorm)/(SQRT(Xnorm^2+Ynorm^2)*SQRT(VertexCalc!Xnorm^2+VertexCalc!Ynorm^2)))*180/PI()*SIGN(Xnorm*Ynorm))</f>
      </c>
      <c r="Y10" s="59">
        <f>IF(OR(Flag="Ignore",Flag="Hole",Flag="Det"),"",(1-(Xnorm*GutCalc!Xnorm+Ynorm*GutCalc!Ynorm)/(SQRT(Xnorm^2+Ynorm^2)*SQRT(GutCalc!Xnorm^2+GutCalc!Ynorm^2))))</f>
      </c>
      <c r="Z10" s="42">
        <f>IF(OR(Flag="Ignore",Flag="Hole",Flag="Det"),"",VertexCalc!Xsag*COS(Theta*PI()/180)-VertexCalc!Ysag*SIN(Theta*PI()/180))</f>
      </c>
      <c r="AA10" s="42">
        <f>IF(OR(Flag="Ignore",Flag="Hole",Flag="Det"),"",VertexCalc!Xsag*SIN(Theta*PI()/180)+VertexCalc!Ysag*COS(Theta*PI()/180))</f>
      </c>
      <c r="AB10" s="42">
        <f>IF(OR(Flag="Ignore",Flag="Hole",Flag="Det"),"",VertexCalc!Zsag)</f>
      </c>
      <c r="AC10" s="43">
        <f t="shared" si="16"/>
      </c>
    </row>
    <row r="11" spans="3:29" ht="12.75">
      <c r="C11" s="18"/>
      <c r="D11" s="19" t="s">
        <v>446</v>
      </c>
      <c r="E11" s="19" t="s">
        <v>470</v>
      </c>
      <c r="F11" s="19"/>
      <c r="G11" s="21">
        <f ca="1" t="shared" si="5"/>
        <v>422.085158</v>
      </c>
      <c r="H11" s="21">
        <f ca="1" t="shared" si="0"/>
        <v>-10.755735</v>
      </c>
      <c r="I11" s="21">
        <f ca="1" t="shared" si="0"/>
        <v>-505.261042</v>
      </c>
      <c r="J11" s="21">
        <f t="shared" si="6"/>
        <v>229.228796</v>
      </c>
      <c r="K11" s="21">
        <f t="shared" si="7"/>
        <v>-10.843516</v>
      </c>
      <c r="L11" s="21">
        <f t="shared" si="8"/>
        <v>-56.31006599999995</v>
      </c>
      <c r="M11" s="20">
        <f t="shared" si="1"/>
        <v>236.29271314997467</v>
      </c>
      <c r="N11" s="20">
        <f t="shared" si="2"/>
        <v>0.9701052264549046</v>
      </c>
      <c r="O11" s="20">
        <f t="shared" si="3"/>
        <v>-0.04589018364319019</v>
      </c>
      <c r="P11" s="20">
        <f t="shared" si="4"/>
        <v>-0.23830640077444973</v>
      </c>
      <c r="Q11" s="20">
        <f t="shared" si="9"/>
        <v>-1.8912609179810582</v>
      </c>
      <c r="R11" s="20">
        <f t="shared" si="10"/>
        <v>0.047760525936046</v>
      </c>
      <c r="S11" s="20">
        <f t="shared" si="11"/>
        <v>-0.1508833907009711</v>
      </c>
      <c r="T11" s="20">
        <f t="shared" si="12"/>
        <v>1.8978711034497744</v>
      </c>
      <c r="U11" s="20">
        <f t="shared" si="13"/>
        <v>-0.9965170524717402</v>
      </c>
      <c r="V11" s="20">
        <f t="shared" si="14"/>
        <v>0.025165315942284668</v>
      </c>
      <c r="W11" s="20">
        <f t="shared" si="15"/>
        <v>-0.0795013899662149</v>
      </c>
      <c r="X11" s="42">
        <f>IF(OR(Flag="Ignore",Flag="Hole",Flag="Det"),"",ACOS((Xnorm*VertexCalc!Xnorm+Ynorm*VertexCalc!Ynorm)/(SQRT(Xnorm^2+Ynorm^2)*SQRT(VertexCalc!Xnorm^2+VertexCalc!Ynorm^2)))*180/PI()*SIGN(Xnorm*Ynorm))</f>
        <v>-134.8501642159373</v>
      </c>
      <c r="Y11" s="59">
        <f>IF(OR(Flag="Ignore",Flag="Hole",Flag="Det"),"",(1-(Xnorm*GutCalc!Xnorm+Ynorm*GutCalc!Ynorm)/(SQRT(Xnorm^2+Ynorm^2)*SQRT(GutCalc!Xnorm^2+GutCalc!Ynorm^2))))</f>
        <v>1.7052551495788117</v>
      </c>
      <c r="Z11" s="42">
        <f>IF(OR(Flag="Ignore",Flag="Hole",Flag="Det"),"",VertexCalc!Xsag*COS(Theta*PI()/180)-VertexCalc!Ysag*SIN(Theta*PI()/180))</f>
        <v>0.22464569680173166</v>
      </c>
      <c r="AA11" s="42">
        <f>IF(OR(Flag="Ignore",Flag="Hole",Flag="Det"),"",VertexCalc!Xsag*SIN(Theta*PI()/180)+VertexCalc!Ysag*COS(Theta*PI()/180))</f>
        <v>-0.6673239962333097</v>
      </c>
      <c r="AB11" s="42">
        <f>IF(OR(Flag="Ignore",Flag="Hole",Flag="Det"),"",VertexCalc!Zsag)</f>
        <v>-0.7100795694565997</v>
      </c>
      <c r="AC11" s="43">
        <f t="shared" si="16"/>
        <v>100.61474921580881</v>
      </c>
    </row>
    <row r="12" spans="3:29" ht="13.5" thickBot="1">
      <c r="C12" s="14"/>
      <c r="D12" s="15" t="s">
        <v>447</v>
      </c>
      <c r="E12" s="15" t="s">
        <v>470</v>
      </c>
      <c r="F12" s="15"/>
      <c r="G12" s="21">
        <f ca="1" t="shared" si="5"/>
        <v>133.090238</v>
      </c>
      <c r="H12" s="21">
        <f ca="1" t="shared" si="0"/>
        <v>-10.168951</v>
      </c>
      <c r="I12" s="21">
        <f ca="1" t="shared" si="0"/>
        <v>-627.36187</v>
      </c>
      <c r="J12" s="21">
        <f t="shared" si="6"/>
        <v>-288.99492</v>
      </c>
      <c r="K12" s="21">
        <f t="shared" si="7"/>
        <v>0.5867839999999998</v>
      </c>
      <c r="L12" s="21">
        <f t="shared" si="8"/>
        <v>-122.10082799999998</v>
      </c>
      <c r="M12" s="20">
        <f t="shared" si="1"/>
        <v>313.73080865537355</v>
      </c>
      <c r="N12" s="20">
        <f t="shared" si="2"/>
        <v>-0.9211556915261535</v>
      </c>
      <c r="O12" s="20">
        <f t="shared" si="3"/>
        <v>0.001870342292855813</v>
      </c>
      <c r="P12" s="20">
        <f t="shared" si="4"/>
        <v>-0.3891897914754208</v>
      </c>
      <c r="Q12" s="20">
        <f t="shared" si="9"/>
        <v>0.9110052176623783</v>
      </c>
      <c r="R12" s="20">
        <f t="shared" si="10"/>
        <v>-1.0017614691001584</v>
      </c>
      <c r="S12" s="20">
        <f t="shared" si="11"/>
        <v>0.37847987026360685</v>
      </c>
      <c r="T12" s="20">
        <f t="shared" si="12"/>
        <v>1.4059529009808762</v>
      </c>
      <c r="U12" s="20">
        <f t="shared" si="13"/>
        <v>0.647962827934568</v>
      </c>
      <c r="V12" s="20">
        <f t="shared" si="14"/>
        <v>-0.7125142445392517</v>
      </c>
      <c r="W12" s="20">
        <f t="shared" si="15"/>
        <v>0.2691981146733698</v>
      </c>
      <c r="X12" s="42">
        <f>IF(OR(Flag="Ignore",Flag="Hole",Flag="Det"),"",ACOS((Xnorm*VertexCalc!Xnorm+Ynorm*VertexCalc!Ynorm)/(SQRT(Xnorm^2+Ynorm^2)*SQRT(VertexCalc!Xnorm^2+VertexCalc!Ynorm^2)))*180/PI()*SIGN(Xnorm*Ynorm))</f>
        <v>-132.2834882096826</v>
      </c>
      <c r="Y12" s="59">
        <f>IF(OR(Flag="Ignore",Flag="Hole",Flag="Det"),"",(1-(Xnorm*GutCalc!Xnorm+Ynorm*GutCalc!Ynorm)/(SQRT(Xnorm^2+Ynorm^2)*SQRT(GutCalc!Xnorm^2+GutCalc!Ynorm^2))))</f>
        <v>1.6727874548632233</v>
      </c>
      <c r="Z12" s="42">
        <f>IF(OR(Flag="Ignore",Flag="Hole",Flag="Det"),"",VertexCalc!Xsag*COS(Theta*PI()/180)-VertexCalc!Ysag*SIN(Theta*PI()/180))</f>
        <v>0.7228116700898587</v>
      </c>
      <c r="AA12" s="42">
        <f>IF(OR(Flag="Ignore",Flag="Hole",Flag="Det"),"",VertexCalc!Xsag*SIN(Theta*PI()/180)+VertexCalc!Ysag*COS(Theta*PI()/180))</f>
        <v>-0.6827578818523627</v>
      </c>
      <c r="AB12" s="42">
        <f>IF(OR(Flag="Ignore",Flag="Hole",Flag="Det"),"",VertexCalc!Zsag)</f>
        <v>-0.10670034840797878</v>
      </c>
      <c r="AC12" s="43">
        <f t="shared" si="16"/>
        <v>22.164232187033626</v>
      </c>
    </row>
    <row r="13" spans="3:29" ht="13.5" thickBot="1">
      <c r="C13" s="10" t="s">
        <v>449</v>
      </c>
      <c r="D13" s="11" t="s">
        <v>448</v>
      </c>
      <c r="E13" s="11" t="s">
        <v>470</v>
      </c>
      <c r="F13" s="11"/>
      <c r="G13" s="17">
        <f ca="1" t="shared" si="5"/>
        <v>132.84689400000002</v>
      </c>
      <c r="H13" s="17">
        <f ca="1" t="shared" si="0"/>
        <v>-34.14</v>
      </c>
      <c r="I13" s="17">
        <f ca="1" t="shared" si="0"/>
        <v>-627.618626</v>
      </c>
      <c r="J13" s="17">
        <f t="shared" si="6"/>
        <v>-0.24334399999997913</v>
      </c>
      <c r="K13" s="17">
        <f t="shared" si="7"/>
        <v>-23.971049</v>
      </c>
      <c r="L13" s="17">
        <f t="shared" si="8"/>
        <v>-0.25675599999999577</v>
      </c>
      <c r="M13" s="16">
        <f t="shared" si="1"/>
        <v>23.973659088805636</v>
      </c>
      <c r="N13" s="16">
        <f t="shared" si="2"/>
        <v>-0.01015047386377523</v>
      </c>
      <c r="O13" s="16">
        <f t="shared" si="3"/>
        <v>-0.9998911268073026</v>
      </c>
      <c r="P13" s="16">
        <f t="shared" si="4"/>
        <v>-0.010709921211813949</v>
      </c>
      <c r="Q13" s="16">
        <f t="shared" si="9"/>
        <v>0.3010448406981746</v>
      </c>
      <c r="R13" s="16">
        <f t="shared" si="10"/>
        <v>1.9164769396681423</v>
      </c>
      <c r="S13" s="16">
        <f t="shared" si="11"/>
        <v>0.28502892348152076</v>
      </c>
      <c r="T13" s="16">
        <f t="shared" si="12"/>
        <v>1.9608042593823056</v>
      </c>
      <c r="U13" s="16">
        <f t="shared" si="13"/>
        <v>0.1535313069918616</v>
      </c>
      <c r="V13" s="16">
        <f t="shared" si="14"/>
        <v>0.9773932969076029</v>
      </c>
      <c r="W13" s="16">
        <f t="shared" si="15"/>
        <v>0.14536327229894475</v>
      </c>
      <c r="X13" s="48">
        <f>IF(OR(Flag="Ignore",Flag="Hole",Flag="Det"),"",ACOS((Xnorm*VertexCalc!Xnorm+Ynorm*VertexCalc!Ynorm)/(SQRT(Xnorm^2+Ynorm^2)*SQRT(VertexCalc!Xnorm^2+VertexCalc!Ynorm^2)))*180/PI()*SIGN(Xnorm*Ynorm))</f>
        <v>98.9272108749931</v>
      </c>
      <c r="Y13" s="57">
        <f>IF(OR(Flag="Ignore",Flag="Hole",Flag="Det"),"",(1-(Xnorm*GutCalc!Xnorm+Ynorm*GutCalc!Ynorm)/(SQRT(Xnorm^2+Ynorm^2)*SQRT(GutCalc!Xnorm^2+GutCalc!Ynorm^2))))</f>
        <v>0.8448204298395614</v>
      </c>
      <c r="Z13" s="48">
        <f>IF(OR(Flag="Ignore",Flag="Hole",Flag="Det"),"",VertexCalc!Xsag*COS(Theta*PI()/180)-VertexCalc!Ysag*SIN(Theta*PI()/180))</f>
        <v>-0.987886279397972</v>
      </c>
      <c r="AA13" s="48">
        <f>IF(OR(Flag="Ignore",Flag="Hole",Flag="Det"),"",VertexCalc!Xsag*SIN(Theta*PI()/180)+VertexCalc!Ysag*COS(Theta*PI()/180))</f>
        <v>-0.15517957010261352</v>
      </c>
      <c r="AB13" s="48">
        <f>IF(OR(Flag="Ignore",Flag="Hole",Flag="Det"),"",VertexCalc!Zsag)</f>
        <v>0</v>
      </c>
      <c r="AC13" s="49">
        <f t="shared" si="16"/>
        <v>107.65849914834813</v>
      </c>
    </row>
    <row r="14" spans="3:29" ht="12.75">
      <c r="C14" s="18"/>
      <c r="D14" s="19" t="s">
        <v>450</v>
      </c>
      <c r="E14" s="19" t="s">
        <v>470</v>
      </c>
      <c r="F14" s="19"/>
      <c r="G14" s="13">
        <f ca="1" t="shared" si="5"/>
        <v>140.50206500000002</v>
      </c>
      <c r="H14" s="13">
        <f ca="1" t="shared" si="0"/>
        <v>-10.019144</v>
      </c>
      <c r="I14" s="13">
        <f ca="1" t="shared" si="0"/>
        <v>-620.399652</v>
      </c>
      <c r="J14" s="13">
        <f t="shared" si="6"/>
        <v>7.655170999999996</v>
      </c>
      <c r="K14" s="13">
        <f t="shared" si="7"/>
        <v>24.120856</v>
      </c>
      <c r="L14" s="13">
        <f t="shared" si="8"/>
        <v>7.218974000000003</v>
      </c>
      <c r="M14" s="12">
        <f t="shared" si="1"/>
        <v>26.315982269804277</v>
      </c>
      <c r="N14" s="12">
        <f t="shared" si="2"/>
        <v>0.2908943668343994</v>
      </c>
      <c r="O14" s="12">
        <f t="shared" si="3"/>
        <v>0.9165858128608397</v>
      </c>
      <c r="P14" s="12">
        <f t="shared" si="4"/>
        <v>0.2743190022697068</v>
      </c>
      <c r="Q14" s="12">
        <f t="shared" si="9"/>
        <v>0.5957688473104191</v>
      </c>
      <c r="R14" s="12">
        <f t="shared" si="10"/>
        <v>-0.9146078265411345</v>
      </c>
      <c r="S14" s="12">
        <f t="shared" si="11"/>
        <v>0.18809253765171297</v>
      </c>
      <c r="T14" s="12">
        <f t="shared" si="12"/>
        <v>1.1076221370648678</v>
      </c>
      <c r="U14" s="12">
        <f t="shared" si="13"/>
        <v>0.5378809499864013</v>
      </c>
      <c r="V14" s="12">
        <f t="shared" si="14"/>
        <v>-0.8257399305550089</v>
      </c>
      <c r="W14" s="12">
        <f t="shared" si="15"/>
        <v>0.16981652077679388</v>
      </c>
      <c r="X14" s="45">
        <f>IF(OR(Flag="Ignore",Flag="Hole",Flag="Det"),"",ACOS((Xnorm*VertexCalc!Xnorm+Ynorm*VertexCalc!Ynorm)/(SQRT(Xnorm^2+Ynorm^2)*SQRT(VertexCalc!Xnorm^2+VertexCalc!Ynorm^2)))*180/PI()*SIGN(Xnorm*Ynorm))</f>
        <v>-123.07992672345023</v>
      </c>
      <c r="Y14" s="56">
        <f>IF(OR(Flag="Ignore",Flag="Hole",Flag="Det"),"",(1-(Xnorm*GutCalc!Xnorm+Ynorm*GutCalc!Ynorm)/(SQRT(Xnorm^2+Ynorm^2)*SQRT(GutCalc!Xnorm^2+GutCalc!Ynorm^2))))</f>
        <v>1.5458161342812926</v>
      </c>
      <c r="Z14" s="45">
        <f>IF(OR(Flag="Ignore",Flag="Hole",Flag="Det"),"",VertexCalc!Xsag*COS(Theta*PI()/180)-VertexCalc!Ysag*SIN(Theta*PI()/180))</f>
        <v>0.8379099891696572</v>
      </c>
      <c r="AA14" s="45">
        <f>IF(OR(Flag="Ignore",Flag="Hole",Flag="Det"),"",VertexCalc!Xsag*SIN(Theta*PI()/180)+VertexCalc!Ysag*COS(Theta*PI()/180))</f>
        <v>-0.5458084371367896</v>
      </c>
      <c r="AB14" s="45">
        <f>IF(OR(Flag="Ignore",Flag="Hole",Flag="Det"),"",VertexCalc!Zsag)</f>
        <v>0</v>
      </c>
      <c r="AC14" s="46">
        <f t="shared" si="16"/>
        <v>25.658400401496483</v>
      </c>
    </row>
    <row r="15" spans="3:29" ht="12.75">
      <c r="C15" s="18"/>
      <c r="D15" s="19" t="s">
        <v>451</v>
      </c>
      <c r="E15" s="19" t="s">
        <v>470</v>
      </c>
      <c r="F15" s="19"/>
      <c r="G15" s="21">
        <f ca="1" t="shared" si="5"/>
        <v>342.166446</v>
      </c>
      <c r="H15" s="21">
        <f ca="1" t="shared" si="0"/>
        <v>-9.569267</v>
      </c>
      <c r="I15" s="21">
        <f ca="1" t="shared" si="0"/>
        <v>-515.227885</v>
      </c>
      <c r="J15" s="21">
        <f t="shared" si="6"/>
        <v>201.664381</v>
      </c>
      <c r="K15" s="21">
        <f t="shared" si="7"/>
        <v>0.44987700000000075</v>
      </c>
      <c r="L15" s="21">
        <f t="shared" si="8"/>
        <v>105.17176699999993</v>
      </c>
      <c r="M15" s="20">
        <f t="shared" si="1"/>
        <v>227.44191682126353</v>
      </c>
      <c r="N15" s="20">
        <f t="shared" si="2"/>
        <v>0.8866632141448185</v>
      </c>
      <c r="O15" s="20">
        <f t="shared" si="3"/>
        <v>0.0019779863197052594</v>
      </c>
      <c r="P15" s="20">
        <f t="shared" si="4"/>
        <v>0.46241153992141976</v>
      </c>
      <c r="Q15" s="20">
        <f t="shared" si="9"/>
        <v>-1.5130664790173305</v>
      </c>
      <c r="R15" s="20">
        <f t="shared" si="10"/>
        <v>-0.7774074286094853</v>
      </c>
      <c r="S15" s="20">
        <f t="shared" si="11"/>
        <v>-0.541961082894451</v>
      </c>
      <c r="T15" s="20">
        <f t="shared" si="12"/>
        <v>1.7853443072290678</v>
      </c>
      <c r="U15" s="20">
        <f t="shared" si="13"/>
        <v>-0.8474928185508798</v>
      </c>
      <c r="V15" s="20">
        <f t="shared" si="14"/>
        <v>-0.4354383776068693</v>
      </c>
      <c r="W15" s="20">
        <f t="shared" si="15"/>
        <v>-0.30356110062355324</v>
      </c>
      <c r="X15" s="42">
        <f>IF(OR(Flag="Ignore",Flag="Hole",Flag="Det"),"",ACOS((Xnorm*VertexCalc!Xnorm+Ynorm*VertexCalc!Ynorm)/(SQRT(Xnorm^2+Ynorm^2)*SQRT(VertexCalc!Xnorm^2+VertexCalc!Ynorm^2)))*180/PI()*SIGN(Xnorm*Ynorm))</f>
        <v>27.193915228966958</v>
      </c>
      <c r="Y15" s="59">
        <f>IF(OR(Flag="Ignore",Flag="Hole",Flag="Det"),"",(1-(Xnorm*GutCalc!Xnorm+Ynorm*GutCalc!Ynorm)/(SQRT(Xnorm^2+Ynorm^2)*SQRT(GutCalc!Xnorm^2+GutCalc!Ynorm^2))))</f>
        <v>1.8895029450068779</v>
      </c>
      <c r="Z15" s="42">
        <f>IF(OR(Flag="Ignore",Flag="Hole",Flag="Det"),"",VertexCalc!Xsag*COS(Theta*PI()/180)-VertexCalc!Ysag*SIN(Theta*PI()/180))</f>
        <v>-0.45700346909497847</v>
      </c>
      <c r="AA15" s="42">
        <f>IF(OR(Flag="Ignore",Flag="Hole",Flag="Det"),"",VertexCalc!Xsag*SIN(Theta*PI()/180)+VertexCalc!Ysag*COS(Theta*PI()/180))</f>
        <v>0.8894649117504047</v>
      </c>
      <c r="AB15" s="42">
        <f>IF(OR(Flag="Ignore",Flag="Hole",Flag="Det"),"",VertexCalc!Zsag)</f>
        <v>0</v>
      </c>
      <c r="AC15" s="43">
        <f t="shared" si="16"/>
        <v>90.00000000000001</v>
      </c>
    </row>
    <row r="16" spans="3:29" ht="13.5" thickBot="1">
      <c r="C16" s="18"/>
      <c r="D16" s="19" t="s">
        <v>452</v>
      </c>
      <c r="E16" s="19" t="s">
        <v>470</v>
      </c>
      <c r="F16" s="19"/>
      <c r="G16" s="17">
        <f ca="1" t="shared" si="5"/>
        <v>291.711826</v>
      </c>
      <c r="H16" s="17">
        <f ca="1" t="shared" si="0"/>
        <v>-72.027431</v>
      </c>
      <c r="I16" s="17">
        <f ca="1" t="shared" si="0"/>
        <v>-521.635326</v>
      </c>
      <c r="J16" s="17">
        <f t="shared" si="6"/>
        <v>-50.454620000000034</v>
      </c>
      <c r="K16" s="17">
        <f t="shared" si="7"/>
        <v>-62.45816400000001</v>
      </c>
      <c r="L16" s="17">
        <f t="shared" si="8"/>
        <v>-6.407440999999949</v>
      </c>
      <c r="M16" s="16">
        <f t="shared" si="1"/>
        <v>80.54654697604225</v>
      </c>
      <c r="N16" s="16">
        <f t="shared" si="2"/>
        <v>-0.6264032648725121</v>
      </c>
      <c r="O16" s="16">
        <f t="shared" si="3"/>
        <v>-0.7754294422897801</v>
      </c>
      <c r="P16" s="16">
        <f t="shared" si="4"/>
        <v>-0.0795495429730312</v>
      </c>
      <c r="Q16" s="16">
        <f t="shared" si="9"/>
        <v>1.2528065465735958</v>
      </c>
      <c r="R16" s="16">
        <f t="shared" si="10"/>
        <v>1.5508588691103944</v>
      </c>
      <c r="S16" s="16">
        <f t="shared" si="11"/>
        <v>0.15909910422113727</v>
      </c>
      <c r="T16" s="16">
        <f t="shared" si="12"/>
        <v>1.9999999999999998</v>
      </c>
      <c r="U16" s="16">
        <f t="shared" si="13"/>
        <v>0.626403273286798</v>
      </c>
      <c r="V16" s="16">
        <f t="shared" si="14"/>
        <v>0.7754294345551973</v>
      </c>
      <c r="W16" s="16">
        <f t="shared" si="15"/>
        <v>0.07954955211056865</v>
      </c>
      <c r="X16" s="48">
        <f>IF(OR(Flag="Ignore",Flag="Hole",Flag="Det"),"",ACOS((Xnorm*VertexCalc!Xnorm+Ynorm*VertexCalc!Ynorm)/(SQRT(Xnorm^2+Ynorm^2)*SQRT(VertexCalc!Xnorm^2+VertexCalc!Ynorm^2)))*180/PI()*SIGN(Xnorm*Ynorm))</f>
        <v>105.80382404577163</v>
      </c>
      <c r="Y16" s="57">
        <f>IF(OR(Flag="Ignore",Flag="Hole",Flag="Det"),"",(1-(Xnorm*GutCalc!Xnorm+Ynorm*GutCalc!Ynorm)/(SQRT(Xnorm^2+Ynorm^2)*SQRT(GutCalc!Xnorm^2+GutCalc!Ynorm^2))))</f>
        <v>1.9979623240538649</v>
      </c>
      <c r="Z16" s="48">
        <f>IF(OR(Flag="Ignore",Flag="Hole",Flag="Det"),"",VertexCalc!Xsag*COS(Theta*PI()/180)-VertexCalc!Ysag*SIN(Theta*PI()/180))</f>
        <v>-0.8165502502192984</v>
      </c>
      <c r="AA16" s="48">
        <f>IF(OR(Flag="Ignore",Flag="Hole",Flag="Det"),"",VertexCalc!Xsag*SIN(Theta*PI()/180)+VertexCalc!Ysag*COS(Theta*PI()/180))</f>
        <v>0.28852328999025556</v>
      </c>
      <c r="AB16" s="48">
        <f>IF(OR(Flag="Ignore",Flag="Hole",Flag="Det"),"",VertexCalc!Zsag)</f>
        <v>0.5</v>
      </c>
      <c r="AC16" s="49">
        <f t="shared" si="16"/>
        <v>104.35833770736518</v>
      </c>
    </row>
    <row r="17" spans="3:29" ht="13.5" thickBot="1">
      <c r="C17" s="18"/>
      <c r="D17" s="19" t="s">
        <v>453</v>
      </c>
      <c r="E17" s="19" t="s">
        <v>470</v>
      </c>
      <c r="F17" s="19"/>
      <c r="G17" s="9">
        <f ca="1" t="shared" si="5"/>
        <v>300.169191</v>
      </c>
      <c r="H17" s="9">
        <f ca="1" t="shared" si="0"/>
        <v>-61.557994</v>
      </c>
      <c r="I17" s="9">
        <f ca="1" t="shared" si="0"/>
        <v>-520.56129</v>
      </c>
      <c r="J17" s="9">
        <f t="shared" si="6"/>
        <v>8.457365000000038</v>
      </c>
      <c r="K17" s="9">
        <f t="shared" si="7"/>
        <v>10.469437000000006</v>
      </c>
      <c r="L17" s="9">
        <f t="shared" si="8"/>
        <v>1.0740359999999782</v>
      </c>
      <c r="M17" s="8">
        <f t="shared" si="1"/>
        <v>13.501469815153117</v>
      </c>
      <c r="N17" s="8">
        <f t="shared" si="2"/>
        <v>0.6264032817010838</v>
      </c>
      <c r="O17" s="8">
        <f t="shared" si="3"/>
        <v>0.7754294268206143</v>
      </c>
      <c r="P17" s="8">
        <f t="shared" si="4"/>
        <v>0.07954956124810607</v>
      </c>
      <c r="Q17" s="8">
        <f t="shared" si="9"/>
        <v>-0.04279080972848748</v>
      </c>
      <c r="R17" s="8">
        <f t="shared" si="10"/>
        <v>0.0331991063839705</v>
      </c>
      <c r="S17" s="8">
        <f t="shared" si="11"/>
        <v>-0.005277239045033327</v>
      </c>
      <c r="T17" s="8">
        <f t="shared" si="12"/>
        <v>0.054415836976492736</v>
      </c>
      <c r="U17" s="8">
        <f t="shared" si="13"/>
        <v>-0.7863668392525656</v>
      </c>
      <c r="V17" s="8">
        <f t="shared" si="14"/>
        <v>0.6101000780032527</v>
      </c>
      <c r="W17" s="8">
        <f t="shared" si="15"/>
        <v>-0.09697983782392354</v>
      </c>
      <c r="X17" s="32">
        <f>IF(OR(Flag="Ignore",Flag="Hole",Flag="Det"),"",ACOS((Xnorm*VertexCalc!Xnorm+Ynorm*VertexCalc!Ynorm)/(SQRT(Xnorm^2+Ynorm^2)*SQRT(VertexCalc!Xnorm^2+VertexCalc!Ynorm^2)))*180/PI()*SIGN(Xnorm*Ynorm))</f>
        <v>-87.45841121250993</v>
      </c>
      <c r="Y17" s="36">
        <f>IF(OR(Flag="Ignore",Flag="Hole",Flag="Det"),"",(1-(Xnorm*GutCalc!Xnorm+Ynorm*GutCalc!Ynorm)/(SQRT(Xnorm^2+Ynorm^2)*SQRT(GutCalc!Xnorm^2+GutCalc!Ynorm^2))))</f>
        <v>1.4533486170480747</v>
      </c>
      <c r="Z17" s="32">
        <f>IF(OR(Flag="Ignore",Flag="Hole",Flag="Det"),"",VertexCalc!Xsag*COS(Theta*PI()/180)-VertexCalc!Ysag*SIN(Theta*PI()/180))</f>
        <v>0.6842389248521819</v>
      </c>
      <c r="AA17" s="32">
        <f>IF(OR(Flag="Ignore",Flag="Hole",Flag="Det"),"",VertexCalc!Xsag*SIN(Theta*PI()/180)+VertexCalc!Ysag*COS(Theta*PI()/180))</f>
        <v>0.5308644777314924</v>
      </c>
      <c r="AB17" s="32">
        <f>IF(OR(Flag="Ignore",Flag="Hole",Flag="Det"),"",VertexCalc!Zsag)</f>
        <v>-0.5</v>
      </c>
      <c r="AC17" s="32">
        <f t="shared" si="16"/>
        <v>99.53746104842263</v>
      </c>
    </row>
    <row r="18" spans="3:29" ht="12.75">
      <c r="C18" s="18"/>
      <c r="D18" s="19" t="s">
        <v>455</v>
      </c>
      <c r="E18" s="19" t="s">
        <v>470</v>
      </c>
      <c r="F18" s="19"/>
      <c r="G18" s="13">
        <f ca="1" t="shared" si="5"/>
        <v>337.738523</v>
      </c>
      <c r="H18" s="13">
        <f ca="1" t="shared" si="5"/>
        <v>-9.503531</v>
      </c>
      <c r="I18" s="13">
        <f ca="1" t="shared" si="5"/>
        <v>-515.780101</v>
      </c>
      <c r="J18" s="13">
        <f t="shared" si="6"/>
        <v>37.569331999999974</v>
      </c>
      <c r="K18" s="13">
        <f t="shared" si="7"/>
        <v>52.054463</v>
      </c>
      <c r="L18" s="13">
        <f t="shared" si="8"/>
        <v>4.78118900000004</v>
      </c>
      <c r="M18" s="12">
        <f t="shared" si="1"/>
        <v>64.37376479124327</v>
      </c>
      <c r="N18" s="12">
        <f t="shared" si="2"/>
        <v>0.5836124719725964</v>
      </c>
      <c r="O18" s="12">
        <f t="shared" si="3"/>
        <v>0.8086285332045848</v>
      </c>
      <c r="P18" s="12">
        <f t="shared" si="4"/>
        <v>0.07427232220307274</v>
      </c>
      <c r="Q18" s="12">
        <f t="shared" si="9"/>
        <v>0.16092734150915322</v>
      </c>
      <c r="R18" s="12">
        <f t="shared" si="10"/>
        <v>-0.828150762408163</v>
      </c>
      <c r="S18" s="12">
        <f t="shared" si="11"/>
        <v>0.5930202288624135</v>
      </c>
      <c r="T18" s="12">
        <f t="shared" si="12"/>
        <v>1.0312149564288013</v>
      </c>
      <c r="U18" s="12">
        <f t="shared" si="13"/>
        <v>0.156056058444362</v>
      </c>
      <c r="V18" s="12">
        <f t="shared" si="14"/>
        <v>-0.8030825748262326</v>
      </c>
      <c r="W18" s="12">
        <f t="shared" si="15"/>
        <v>0.575069460703034</v>
      </c>
      <c r="X18" s="45">
        <f>IF(OR(Flag="Ignore",Flag="Hole",Flag="Det"),"",ACOS((Xnorm*VertexCalc!Xnorm+Ynorm*VertexCalc!Ynorm)/(SQRT(Xnorm^2+Ynorm^2)*SQRT(VertexCalc!Xnorm^2+VertexCalc!Ynorm^2)))*180/PI()*SIGN(Xnorm*Ynorm))</f>
        <v>-79.00325733163828</v>
      </c>
      <c r="Y18" s="56">
        <f>IF(OR(Flag="Ignore",Flag="Hole",Flag="Det"),"",(1-(Xnorm*GutCalc!Xnorm+Ynorm*GutCalc!Ynorm)/(SQRT(Xnorm^2+Ynorm^2)*SQRT(GutCalc!Xnorm^2+GutCalc!Ynorm^2))))</f>
        <v>1.1907281509498815</v>
      </c>
      <c r="Z18" s="45">
        <f>IF(OR(Flag="Ignore",Flag="Hole",Flag="Det"),"",VertexCalc!Xsag*COS(Theta*PI()/180)-VertexCalc!Ysag*SIN(Theta*PI()/180))</f>
        <v>0.9816380295744133</v>
      </c>
      <c r="AA18" s="45">
        <f>IF(OR(Flag="Ignore",Flag="Hole",Flag="Det"),"",VertexCalc!Xsag*SIN(Theta*PI()/180)+VertexCalc!Ysag*COS(Theta*PI()/180))</f>
        <v>0.19075318842227368</v>
      </c>
      <c r="AB18" s="45">
        <f>IF(OR(Flag="Ignore",Flag="Hole",Flag="Det"),"",VertexCalc!Zsag)</f>
        <v>0</v>
      </c>
      <c r="AC18" s="46">
        <f t="shared" si="16"/>
        <v>90</v>
      </c>
    </row>
    <row r="19" spans="3:29" ht="13.5" thickBot="1">
      <c r="C19" s="18"/>
      <c r="D19" s="19" t="s">
        <v>454</v>
      </c>
      <c r="E19" s="19" t="s">
        <v>470</v>
      </c>
      <c r="F19" s="19"/>
      <c r="G19" s="17">
        <f ca="1" t="shared" si="5"/>
        <v>380.44417999999996</v>
      </c>
      <c r="H19" s="17">
        <f ca="1" t="shared" si="5"/>
        <v>-10.623296</v>
      </c>
      <c r="I19" s="17">
        <f ca="1" t="shared" si="5"/>
        <v>-477.505228</v>
      </c>
      <c r="J19" s="17">
        <f t="shared" si="6"/>
        <v>42.705656999999974</v>
      </c>
      <c r="K19" s="17">
        <f t="shared" si="7"/>
        <v>-1.1197649999999992</v>
      </c>
      <c r="L19" s="17">
        <f t="shared" si="8"/>
        <v>38.27487299999996</v>
      </c>
      <c r="M19" s="16">
        <f t="shared" si="1"/>
        <v>57.35845985225717</v>
      </c>
      <c r="N19" s="16">
        <f t="shared" si="2"/>
        <v>0.7445398134817496</v>
      </c>
      <c r="O19" s="16">
        <f t="shared" si="3"/>
        <v>-0.01952222920357814</v>
      </c>
      <c r="P19" s="16">
        <f t="shared" si="4"/>
        <v>0.6672925510654862</v>
      </c>
      <c r="Q19" s="16">
        <f t="shared" si="9"/>
        <v>-0.7453847715515992</v>
      </c>
      <c r="R19" s="16">
        <f t="shared" si="10"/>
        <v>0.004792019671656732</v>
      </c>
      <c r="S19" s="16">
        <f t="shared" si="11"/>
        <v>0.3325985964965902</v>
      </c>
      <c r="T19" s="16">
        <f t="shared" si="12"/>
        <v>0.8162372495206678</v>
      </c>
      <c r="U19" s="16">
        <f t="shared" si="13"/>
        <v>-0.9131962208160967</v>
      </c>
      <c r="V19" s="16">
        <f t="shared" si="14"/>
        <v>0.005870866190523438</v>
      </c>
      <c r="W19" s="16">
        <f t="shared" si="15"/>
        <v>0.40747784629028805</v>
      </c>
      <c r="X19" s="48">
        <f>IF(OR(Flag="Ignore",Flag="Hole",Flag="Det"),"",ACOS((Xnorm*VertexCalc!Xnorm+Ynorm*VertexCalc!Ynorm)/(SQRT(Xnorm^2+Ynorm^2)*SQRT(VertexCalc!Xnorm^2+VertexCalc!Ynorm^2)))*180/PI()*SIGN(Xnorm*Ynorm))</f>
        <v>-179.63165504521643</v>
      </c>
      <c r="Y19" s="57">
        <f>IF(OR(Flag="Ignore",Flag="Hole",Flag="Det"),"",(1-(Xnorm*GutCalc!Xnorm+Ynorm*GutCalc!Ynorm)/(SQRT(Xnorm^2+Ynorm^2)*SQRT(GutCalc!Xnorm^2+GutCalc!Ynorm^2))))</f>
        <v>1.9999793351305613</v>
      </c>
      <c r="Z19" s="48">
        <f>IF(OR(Flag="Ignore",Flag="Hole",Flag="Det"),"",VertexCalc!Xsag*COS(Theta*PI()/180)-VertexCalc!Ysag*SIN(Theta*PI()/180))</f>
        <v>0.006428787960359098</v>
      </c>
      <c r="AA19" s="48">
        <f>IF(OR(Flag="Ignore",Flag="Hole",Flag="Det"),"",VertexCalc!Xsag*SIN(Theta*PI()/180)+VertexCalc!Ysag*COS(Theta*PI()/180))</f>
        <v>-0.9999793351291618</v>
      </c>
      <c r="AB19" s="48">
        <f>IF(OR(Flag="Ignore",Flag="Hole",Flag="Det"),"",VertexCalc!Zsag)</f>
        <v>1.4905111812031573E-08</v>
      </c>
      <c r="AC19" s="49">
        <f t="shared" si="16"/>
        <v>90.6727529177894</v>
      </c>
    </row>
    <row r="20" spans="3:29" ht="13.5" thickBot="1">
      <c r="C20" s="18"/>
      <c r="D20" s="19" t="s">
        <v>456</v>
      </c>
      <c r="E20" s="19" t="s">
        <v>470</v>
      </c>
      <c r="F20" s="19"/>
      <c r="G20" s="9">
        <f ca="1" t="shared" si="5"/>
        <v>380.43658300000004</v>
      </c>
      <c r="H20" s="9">
        <f ca="1" t="shared" si="5"/>
        <v>-10.755735</v>
      </c>
      <c r="I20" s="9">
        <f ca="1" t="shared" si="5"/>
        <v>-468.515228</v>
      </c>
      <c r="J20" s="9">
        <f t="shared" si="6"/>
        <v>-0.007596999999918808</v>
      </c>
      <c r="K20" s="9">
        <f t="shared" si="7"/>
        <v>-0.13243899999999975</v>
      </c>
      <c r="L20" s="9">
        <f t="shared" si="8"/>
        <v>8.990000000000009</v>
      </c>
      <c r="M20" s="8">
        <f t="shared" si="1"/>
        <v>8.99097868994973</v>
      </c>
      <c r="N20" s="8">
        <f t="shared" si="2"/>
        <v>-0.0008449580698495999</v>
      </c>
      <c r="O20" s="8">
        <f t="shared" si="3"/>
        <v>-0.014730209531921407</v>
      </c>
      <c r="P20" s="8">
        <f t="shared" si="4"/>
        <v>0.9998911475620764</v>
      </c>
      <c r="Q20" s="8">
        <f t="shared" si="9"/>
        <v>-0.3549893935456081</v>
      </c>
      <c r="R20" s="8">
        <f t="shared" si="10"/>
        <v>0.036179062258902196</v>
      </c>
      <c r="S20" s="8">
        <f t="shared" si="11"/>
        <v>-0.06558827326108019</v>
      </c>
      <c r="T20" s="8">
        <f t="shared" si="12"/>
        <v>0.36280603035945014</v>
      </c>
      <c r="U20" s="8">
        <f t="shared" si="13"/>
        <v>-0.9784550526734693</v>
      </c>
      <c r="V20" s="8">
        <f t="shared" si="14"/>
        <v>0.09972012378917126</v>
      </c>
      <c r="W20" s="8">
        <f t="shared" si="15"/>
        <v>-0.18078054875796468</v>
      </c>
      <c r="X20" s="32">
        <f>IF(OR(Flag="Ignore",Flag="Hole",Flag="Det"),"",ACOS((Xnorm*VertexCalc!Xnorm+Ynorm*VertexCalc!Ynorm)/(SQRT(Xnorm^2+Ynorm^2)*SQRT(VertexCalc!Xnorm^2+VertexCalc!Ynorm^2)))*180/PI()*SIGN(Xnorm*Ynorm))</f>
        <v>-174.18074168677336</v>
      </c>
      <c r="Y20" s="36">
        <f>IF(OR(Flag="Ignore",Flag="Hole",Flag="Det"),"",(1-(Xnorm*GutCalc!Xnorm+Ynorm*GutCalc!Ynorm)/(SQRT(Xnorm^2+Ynorm^2)*SQRT(GutCalc!Xnorm^2+GutCalc!Ynorm^2))))</f>
        <v>0.005151412162472502</v>
      </c>
      <c r="Z20" s="32">
        <f>IF(OR(Flag="Ignore",Flag="Hole",Flag="Det"),"",VertexCalc!Xsag*COS(Theta*PI()/180)-VertexCalc!Ysag*SIN(Theta*PI()/180))</f>
        <v>0.09594503947720673</v>
      </c>
      <c r="AA20" s="32">
        <f>IF(OR(Flag="Ignore",Flag="Hole",Flag="Det"),"",VertexCalc!Xsag*SIN(Theta*PI()/180)+VertexCalc!Ysag*COS(Theta*PI()/180))</f>
        <v>-0.9949111836723611</v>
      </c>
      <c r="AB20" s="32">
        <f>IF(OR(Flag="Ignore",Flag="Hole",Flag="Det"),"",VertexCalc!Zsag)</f>
        <v>0.03076176203305844</v>
      </c>
      <c r="AC20" s="32">
        <f t="shared" si="16"/>
        <v>101.45812537991394</v>
      </c>
    </row>
    <row r="21" spans="3:29" ht="12.75">
      <c r="C21" s="18"/>
      <c r="D21" s="19" t="s">
        <v>457</v>
      </c>
      <c r="E21" s="19" t="s">
        <v>470</v>
      </c>
      <c r="F21" s="19"/>
      <c r="G21" s="13">
        <f ca="1" t="shared" si="5"/>
        <v>202</v>
      </c>
      <c r="H21" s="13">
        <f ca="1" t="shared" si="5"/>
        <v>0</v>
      </c>
      <c r="I21" s="13">
        <f ca="1" t="shared" si="5"/>
        <v>0</v>
      </c>
      <c r="J21" s="13">
        <f t="shared" si="6"/>
        <v>-178.43658300000004</v>
      </c>
      <c r="K21" s="13">
        <f t="shared" si="7"/>
        <v>10.755735</v>
      </c>
      <c r="L21" s="13">
        <f t="shared" si="8"/>
        <v>468.515228</v>
      </c>
      <c r="M21" s="12">
        <f t="shared" si="1"/>
        <v>501.4596881664548</v>
      </c>
      <c r="N21" s="12">
        <f t="shared" si="2"/>
        <v>-0.3558343516154577</v>
      </c>
      <c r="O21" s="12">
        <f t="shared" si="3"/>
        <v>0.02144885272698079</v>
      </c>
      <c r="P21" s="12">
        <f t="shared" si="4"/>
        <v>0.9343028743009962</v>
      </c>
      <c r="Q21" s="12" t="e">
        <f t="shared" si="9"/>
        <v>#DIV/0!</v>
      </c>
      <c r="R21" s="12" t="e">
        <f t="shared" si="10"/>
        <v>#DIV/0!</v>
      </c>
      <c r="S21" s="12" t="e">
        <f t="shared" si="11"/>
        <v>#DIV/0!</v>
      </c>
      <c r="T21" s="12" t="e">
        <f t="shared" si="12"/>
        <v>#DIV/0!</v>
      </c>
      <c r="U21" s="12" t="e">
        <f t="shared" si="13"/>
        <v>#DIV/0!</v>
      </c>
      <c r="V21" s="12" t="e">
        <f t="shared" si="14"/>
        <v>#DIV/0!</v>
      </c>
      <c r="W21" s="12" t="e">
        <f t="shared" si="15"/>
        <v>#DIV/0!</v>
      </c>
      <c r="X21" s="45" t="e">
        <f>IF(OR(Flag="Ignore",Flag="Hole",Flag="Det"),"",ACOS((Xnorm*VertexCalc!Xnorm+Ynorm*VertexCalc!Ynorm)/(SQRT(Xnorm^2+Ynorm^2)*SQRT(VertexCalc!Xnorm^2+VertexCalc!Ynorm^2)))*180/PI()*SIGN(Xnorm*Ynorm))</f>
        <v>#DIV/0!</v>
      </c>
      <c r="Y21" s="56" t="e">
        <f>IF(OR(Flag="Ignore",Flag="Hole",Flag="Det"),"",(1-(Xnorm*GutCalc!Xnorm+Ynorm*GutCalc!Ynorm)/(SQRT(Xnorm^2+Ynorm^2)*SQRT(GutCalc!Xnorm^2+GutCalc!Ynorm^2))))</f>
        <v>#DIV/0!</v>
      </c>
      <c r="Z21" s="45" t="e">
        <f>IF(OR(Flag="Ignore",Flag="Hole",Flag="Det"),"",VertexCalc!Xsag*COS(Theta*PI()/180)-VertexCalc!Ysag*SIN(Theta*PI()/180))</f>
        <v>#DIV/0!</v>
      </c>
      <c r="AA21" s="45" t="e">
        <f>IF(OR(Flag="Ignore",Flag="Hole",Flag="Det"),"",VertexCalc!Xsag*SIN(Theta*PI()/180)+VertexCalc!Ysag*COS(Theta*PI()/180))</f>
        <v>#DIV/0!</v>
      </c>
      <c r="AB21" s="45">
        <f>IF(OR(Flag="Ignore",Flag="Hole",Flag="Det"),"",VertexCalc!Zsag)</f>
        <v>-0.12278780396897278</v>
      </c>
      <c r="AC21" s="46" t="e">
        <f t="shared" si="16"/>
        <v>#DIV/0!</v>
      </c>
    </row>
    <row r="22" spans="3:29" ht="13.5" thickBot="1">
      <c r="C22" s="14"/>
      <c r="D22" s="15" t="s">
        <v>458</v>
      </c>
      <c r="E22" s="19" t="s">
        <v>470</v>
      </c>
      <c r="F22" s="15" t="s">
        <v>145</v>
      </c>
      <c r="G22" s="17">
        <f ca="1" t="shared" si="5"/>
        <v>202</v>
      </c>
      <c r="H22" s="17">
        <f ca="1" t="shared" si="5"/>
        <v>0</v>
      </c>
      <c r="I22" s="17">
        <f ca="1" t="shared" si="5"/>
        <v>0</v>
      </c>
      <c r="J22" s="17">
        <f t="shared" si="6"/>
        <v>0</v>
      </c>
      <c r="K22" s="17">
        <f t="shared" si="7"/>
        <v>0</v>
      </c>
      <c r="L22" s="17">
        <f t="shared" si="8"/>
        <v>0</v>
      </c>
      <c r="M22" s="16">
        <f t="shared" si="1"/>
        <v>0</v>
      </c>
      <c r="N22" s="16" t="e">
        <f t="shared" si="2"/>
        <v>#DIV/0!</v>
      </c>
      <c r="O22" s="16" t="e">
        <f t="shared" si="3"/>
        <v>#DIV/0!</v>
      </c>
      <c r="P22" s="16" t="e">
        <f t="shared" si="4"/>
        <v>#DIV/0!</v>
      </c>
      <c r="Q22" s="16">
        <f t="shared" si="9"/>
      </c>
      <c r="R22" s="16">
        <f t="shared" si="10"/>
      </c>
      <c r="S22" s="16">
        <f t="shared" si="11"/>
      </c>
      <c r="T22" s="16">
        <f t="shared" si="12"/>
      </c>
      <c r="U22" s="16">
        <f t="shared" si="13"/>
      </c>
      <c r="V22" s="16">
        <f t="shared" si="14"/>
      </c>
      <c r="W22" s="16">
        <f t="shared" si="15"/>
      </c>
      <c r="X22" s="48">
        <f>IF(OR(Flag="Ignore",Flag="Hole",Flag="Det"),"",ACOS((Xnorm*VertexCalc!Xnorm+Ynorm*VertexCalc!Ynorm)/(SQRT(Xnorm^2+Ynorm^2)*SQRT(VertexCalc!Xnorm^2+VertexCalc!Ynorm^2)))*180/PI()*SIGN(Xnorm*Ynorm))</f>
      </c>
      <c r="Y22" s="57"/>
      <c r="Z22" s="48">
        <f>IF(OR(Flag="Ignore",Flag="Hole",Flag="Det"),"",VertexCalc!Xsag*COS(Theta*PI()/180)-VertexCalc!Ysag*SIN(Theta*PI()/180))</f>
      </c>
      <c r="AA22" s="48">
        <f>IF(OR(Flag="Ignore",Flag="Hole",Flag="Det"),"",VertexCalc!Xsag*SIN(Theta*PI()/180)+VertexCalc!Ysag*COS(Theta*PI()/180))</f>
      </c>
      <c r="AB22" s="48">
        <f>IF(OR(Flag="Ignore",Flag="Hole",Flag="Det"),"",VertexCalc!Zsag)</f>
      </c>
      <c r="AC22" s="49">
        <f t="shared" si="16"/>
      </c>
    </row>
    <row r="23" spans="1:29" ht="13.5" thickBot="1">
      <c r="A23" s="24"/>
      <c r="C23" s="19"/>
      <c r="D23" s="19" t="s">
        <v>447</v>
      </c>
      <c r="E23" s="19" t="s">
        <v>471</v>
      </c>
      <c r="F23" s="19" t="s">
        <v>110</v>
      </c>
      <c r="G23" s="17">
        <f ca="1" t="shared" si="5"/>
        <v>133.090238</v>
      </c>
      <c r="H23" s="17">
        <f ca="1" t="shared" si="5"/>
        <v>-10.168951</v>
      </c>
      <c r="I23" s="17">
        <f ca="1" t="shared" si="5"/>
        <v>-627.36187</v>
      </c>
      <c r="J23" s="17">
        <f aca="true" t="shared" si="17" ref="J23:J33">IF(Flag="Ignore","",G23-G22)</f>
      </c>
      <c r="K23" s="17">
        <f aca="true" t="shared" si="18" ref="K23:K33">IF(Flag="Ignore","",H23-H22)</f>
      </c>
      <c r="L23" s="17">
        <f aca="true" t="shared" si="19" ref="L23:L33">IF(Flag="Ignore","",I23-I22)</f>
      </c>
      <c r="M23" s="16">
        <f t="shared" si="1"/>
      </c>
      <c r="N23" s="16">
        <f t="shared" si="2"/>
      </c>
      <c r="O23" s="16">
        <f t="shared" si="3"/>
      </c>
      <c r="P23" s="16">
        <f t="shared" si="4"/>
      </c>
      <c r="Q23" s="16">
        <f aca="true" t="shared" si="20" ref="Q23:Q33">IF(OR(Flag="Ignore",Flag="Hole",Flag="Det"),"",N24-Xray)</f>
      </c>
      <c r="R23" s="16">
        <f aca="true" t="shared" si="21" ref="R23:R33">IF(OR(Flag="Ignore",Flag="Hole",Flag="Det"),"",O24-Yray)</f>
      </c>
      <c r="S23" s="16">
        <f aca="true" t="shared" si="22" ref="S23:S33">IF(OR(Flag="Ignore",Flag="Hole",Flag="Det"),"",P24-Zray)</f>
      </c>
      <c r="T23" s="16">
        <f t="shared" si="12"/>
      </c>
      <c r="U23" s="16">
        <f t="shared" si="13"/>
      </c>
      <c r="V23" s="16">
        <f t="shared" si="14"/>
      </c>
      <c r="W23" s="16">
        <f t="shared" si="15"/>
      </c>
      <c r="X23" s="48">
        <f>IF(OR(Flag="Ignore",Flag="Hole",Flag="Det"),"",ACOS((Xnorm*VertexCalc!Xnorm+Ynorm*VertexCalc!Ynorm)/(SQRT(Xnorm^2+Ynorm^2)*SQRT(VertexCalc!Xnorm^2+VertexCalc!Ynorm^2)))*180/PI()*SIGN(Xnorm*Ynorm))</f>
      </c>
      <c r="Y23" s="57"/>
      <c r="Z23" s="48">
        <f>IF(OR(Flag="Ignore",Flag="Hole",Flag="Det"),"",VertexCalc!Xsag*COS(Theta*PI()/180)-VertexCalc!Ysag*SIN(Theta*PI()/180))</f>
      </c>
      <c r="AA23" s="48">
        <f>IF(OR(Flag="Ignore",Flag="Hole",Flag="Det"),"",VertexCalc!Xsag*SIN(Theta*PI()/180)+VertexCalc!Ysag*COS(Theta*PI()/180))</f>
      </c>
      <c r="AB23" s="48">
        <f>IF(OR(Flag="Ignore",Flag="Hole",Flag="Det"),"",VertexCalc!Zsag)</f>
      </c>
      <c r="AC23" s="49">
        <f t="shared" si="16"/>
      </c>
    </row>
    <row r="24" spans="3:29" ht="13.5" thickBot="1">
      <c r="C24" s="10" t="s">
        <v>459</v>
      </c>
      <c r="D24" s="11" t="s">
        <v>448</v>
      </c>
      <c r="E24" s="11" t="s">
        <v>471</v>
      </c>
      <c r="F24" s="11" t="s">
        <v>144</v>
      </c>
      <c r="G24" s="17">
        <f ca="1" t="shared" si="23" ref="G24:I33">INDIRECT("RayImpacts!"&amp;G$1)</f>
        <v>132.84689400000002</v>
      </c>
      <c r="H24" s="17">
        <f ca="1" t="shared" si="23"/>
        <v>-34.14</v>
      </c>
      <c r="I24" s="17">
        <f ca="1" t="shared" si="23"/>
        <v>-627.618626</v>
      </c>
      <c r="J24" s="17">
        <f t="shared" si="17"/>
        <v>-0.24334399999997913</v>
      </c>
      <c r="K24" s="17">
        <f t="shared" si="18"/>
        <v>-23.971049</v>
      </c>
      <c r="L24" s="17">
        <f t="shared" si="19"/>
        <v>-0.25675599999999577</v>
      </c>
      <c r="M24" s="16">
        <f t="shared" si="1"/>
        <v>23.973659088805636</v>
      </c>
      <c r="N24" s="16">
        <f t="shared" si="2"/>
        <v>-0.01015047386377523</v>
      </c>
      <c r="O24" s="16">
        <f t="shared" si="3"/>
        <v>-0.9998911268073026</v>
      </c>
      <c r="P24" s="16">
        <f t="shared" si="4"/>
        <v>-0.010709921211813949</v>
      </c>
      <c r="Q24" s="16">
        <f t="shared" si="20"/>
      </c>
      <c r="R24" s="16">
        <f t="shared" si="21"/>
      </c>
      <c r="S24" s="16">
        <f t="shared" si="22"/>
      </c>
      <c r="T24" s="16">
        <f t="shared" si="12"/>
      </c>
      <c r="U24" s="16">
        <f t="shared" si="13"/>
      </c>
      <c r="V24" s="16">
        <f t="shared" si="14"/>
      </c>
      <c r="W24" s="16">
        <f t="shared" si="15"/>
      </c>
      <c r="X24" s="48">
        <f>IF(OR(Flag="Ignore",Flag="Hole",Flag="Det"),"",ACOS((Xnorm*VertexCalc!Xnorm+Ynorm*VertexCalc!Ynorm)/(SQRT(Xnorm^2+Ynorm^2)*SQRT(VertexCalc!Xnorm^2+VertexCalc!Ynorm^2)))*180/PI()*SIGN(Xnorm*Ynorm))</f>
      </c>
      <c r="Y24" s="57"/>
      <c r="Z24" s="48">
        <f>IF(OR(Flag="Ignore",Flag="Hole",Flag="Det"),"",VertexCalc!Xsag*COS(Theta*PI()/180)-VertexCalc!Ysag*SIN(Theta*PI()/180))</f>
      </c>
      <c r="AA24" s="48">
        <f>IF(OR(Flag="Ignore",Flag="Hole",Flag="Det"),"",VertexCalc!Xsag*SIN(Theta*PI()/180)+VertexCalc!Ysag*COS(Theta*PI()/180))</f>
      </c>
      <c r="AB24" s="48">
        <f>IF(OR(Flag="Ignore",Flag="Hole",Flag="Det"),"",VertexCalc!Zsag)</f>
      </c>
      <c r="AC24" s="49">
        <f t="shared" si="16"/>
      </c>
    </row>
    <row r="25" spans="3:29" ht="13.5" thickBot="1">
      <c r="C25" s="18"/>
      <c r="D25" s="19" t="s">
        <v>460</v>
      </c>
      <c r="E25" s="19" t="s">
        <v>471</v>
      </c>
      <c r="F25" s="19"/>
      <c r="G25" s="17">
        <f ca="1" t="shared" si="23"/>
        <v>140.50206500000002</v>
      </c>
      <c r="H25" s="17">
        <f ca="1" t="shared" si="23"/>
        <v>-10.019144</v>
      </c>
      <c r="I25" s="17">
        <f ca="1" t="shared" si="23"/>
        <v>-620.399652</v>
      </c>
      <c r="J25" s="17">
        <f t="shared" si="17"/>
        <v>7.655170999999996</v>
      </c>
      <c r="K25" s="17">
        <f t="shared" si="18"/>
        <v>24.120856</v>
      </c>
      <c r="L25" s="17">
        <f t="shared" si="19"/>
        <v>7.218974000000003</v>
      </c>
      <c r="M25" s="16">
        <f t="shared" si="1"/>
        <v>26.315982269804277</v>
      </c>
      <c r="N25" s="16">
        <f t="shared" si="2"/>
        <v>0.2908943668343994</v>
      </c>
      <c r="O25" s="16">
        <f t="shared" si="3"/>
        <v>0.9165858128608397</v>
      </c>
      <c r="P25" s="16">
        <f t="shared" si="4"/>
        <v>0.2743190022697068</v>
      </c>
      <c r="Q25" s="16">
        <f t="shared" si="20"/>
        <v>0.5957688473104191</v>
      </c>
      <c r="R25" s="16">
        <f t="shared" si="21"/>
        <v>-0.9146078265411345</v>
      </c>
      <c r="S25" s="16">
        <f t="shared" si="22"/>
        <v>0.18809253765171297</v>
      </c>
      <c r="T25" s="16">
        <f t="shared" si="12"/>
        <v>1.1076221370648678</v>
      </c>
      <c r="U25" s="16">
        <f t="shared" si="13"/>
        <v>0.5378809499864013</v>
      </c>
      <c r="V25" s="16">
        <f t="shared" si="14"/>
        <v>-0.8257399305550089</v>
      </c>
      <c r="W25" s="16">
        <f t="shared" si="15"/>
        <v>0.16981652077679388</v>
      </c>
      <c r="X25" s="48">
        <f>IF(OR(Flag="Ignore",Flag="Hole",Flag="Det"),"",ACOS((Xnorm*VertexCalc!Xnorm+Ynorm*VertexCalc!Ynorm)/(SQRT(Xnorm^2+Ynorm^2)*SQRT(VertexCalc!Xnorm^2+VertexCalc!Ynorm^2)))*180/PI()*SIGN(Xnorm*Ynorm))</f>
        <v>-123.07992672345023</v>
      </c>
      <c r="Y25" s="57"/>
      <c r="Z25" s="48">
        <f>IF(OR(Flag="Ignore",Flag="Hole",Flag="Det"),"",VertexCalc!Xsag*COS(Theta*PI()/180)-VertexCalc!Ysag*SIN(Theta*PI()/180))</f>
        <v>0.8379099891696572</v>
      </c>
      <c r="AA25" s="48">
        <f>IF(OR(Flag="Ignore",Flag="Hole",Flag="Det"),"",VertexCalc!Xsag*SIN(Theta*PI()/180)+VertexCalc!Ysag*COS(Theta*PI()/180))</f>
        <v>-0.5458084371367896</v>
      </c>
      <c r="AB25" s="48">
        <f>IF(OR(Flag="Ignore",Flag="Hole",Flag="Det"),"",VertexCalc!Zsag)</f>
        <v>0</v>
      </c>
      <c r="AC25" s="49">
        <f t="shared" si="16"/>
        <v>25.658400401496483</v>
      </c>
    </row>
    <row r="26" spans="3:29" ht="13.5" thickBot="1">
      <c r="C26" s="18"/>
      <c r="D26" s="19" t="s">
        <v>461</v>
      </c>
      <c r="E26" s="19" t="s">
        <v>471</v>
      </c>
      <c r="F26" s="19"/>
      <c r="G26" s="17">
        <f ca="1" t="shared" si="23"/>
        <v>342.166446</v>
      </c>
      <c r="H26" s="17">
        <f ca="1" t="shared" si="23"/>
        <v>-9.569267</v>
      </c>
      <c r="I26" s="17">
        <f ca="1" t="shared" si="23"/>
        <v>-515.227885</v>
      </c>
      <c r="J26" s="17">
        <f t="shared" si="17"/>
        <v>201.664381</v>
      </c>
      <c r="K26" s="17">
        <f t="shared" si="18"/>
        <v>0.44987700000000075</v>
      </c>
      <c r="L26" s="17">
        <f t="shared" si="19"/>
        <v>105.17176699999993</v>
      </c>
      <c r="M26" s="16">
        <f t="shared" si="1"/>
        <v>227.44191682126353</v>
      </c>
      <c r="N26" s="16">
        <f t="shared" si="2"/>
        <v>0.8866632141448185</v>
      </c>
      <c r="O26" s="16">
        <f t="shared" si="3"/>
        <v>0.0019779863197052594</v>
      </c>
      <c r="P26" s="16">
        <f t="shared" si="4"/>
        <v>0.46241153992141976</v>
      </c>
      <c r="Q26" s="16">
        <f t="shared" si="20"/>
        <v>-1.5130664790173305</v>
      </c>
      <c r="R26" s="16">
        <f t="shared" si="21"/>
        <v>-0.7774074286094853</v>
      </c>
      <c r="S26" s="16">
        <f t="shared" si="22"/>
        <v>-0.541961082894451</v>
      </c>
      <c r="T26" s="16">
        <f t="shared" si="12"/>
        <v>1.7853443072290678</v>
      </c>
      <c r="U26" s="16">
        <f t="shared" si="13"/>
        <v>-0.8474928185508798</v>
      </c>
      <c r="V26" s="16">
        <f t="shared" si="14"/>
        <v>-0.4354383776068693</v>
      </c>
      <c r="W26" s="16">
        <f t="shared" si="15"/>
        <v>-0.30356110062355324</v>
      </c>
      <c r="X26" s="48">
        <f>IF(OR(Flag="Ignore",Flag="Hole",Flag="Det"),"",ACOS((Xnorm*VertexCalc!Xnorm+Ynorm*VertexCalc!Ynorm)/(SQRT(Xnorm^2+Ynorm^2)*SQRT(VertexCalc!Xnorm^2+VertexCalc!Ynorm^2)))*180/PI()*SIGN(Xnorm*Ynorm))</f>
        <v>27.193915228966958</v>
      </c>
      <c r="Y26" s="57"/>
      <c r="Z26" s="48">
        <f>IF(OR(Flag="Ignore",Flag="Hole",Flag="Det"),"",VertexCalc!Xsag*COS(Theta*PI()/180)-VertexCalc!Ysag*SIN(Theta*PI()/180))</f>
        <v>-0.45700346909497847</v>
      </c>
      <c r="AA26" s="48">
        <f>IF(OR(Flag="Ignore",Flag="Hole",Flag="Det"),"",VertexCalc!Xsag*SIN(Theta*PI()/180)+VertexCalc!Ysag*COS(Theta*PI()/180))</f>
        <v>0.8894649117504047</v>
      </c>
      <c r="AB26" s="48">
        <f>IF(OR(Flag="Ignore",Flag="Hole",Flag="Det"),"",VertexCalc!Zsag)</f>
        <v>0</v>
      </c>
      <c r="AC26" s="49">
        <f t="shared" si="16"/>
        <v>90.00000000000001</v>
      </c>
    </row>
    <row r="27" spans="3:29" ht="13.5" thickBot="1">
      <c r="C27" s="18"/>
      <c r="D27" s="19" t="s">
        <v>462</v>
      </c>
      <c r="E27" s="19" t="s">
        <v>471</v>
      </c>
      <c r="F27" s="19"/>
      <c r="G27" s="17">
        <f ca="1" t="shared" si="23"/>
        <v>291.711826</v>
      </c>
      <c r="H27" s="17">
        <f ca="1" t="shared" si="23"/>
        <v>-72.027431</v>
      </c>
      <c r="I27" s="17">
        <f ca="1" t="shared" si="23"/>
        <v>-521.635326</v>
      </c>
      <c r="J27" s="17">
        <f t="shared" si="17"/>
        <v>-50.454620000000034</v>
      </c>
      <c r="K27" s="17">
        <f t="shared" si="18"/>
        <v>-62.45816400000001</v>
      </c>
      <c r="L27" s="17">
        <f t="shared" si="19"/>
        <v>-6.407440999999949</v>
      </c>
      <c r="M27" s="16">
        <f t="shared" si="1"/>
        <v>80.54654697604225</v>
      </c>
      <c r="N27" s="16">
        <f t="shared" si="2"/>
        <v>-0.6264032648725121</v>
      </c>
      <c r="O27" s="16">
        <f t="shared" si="3"/>
        <v>-0.7754294422897801</v>
      </c>
      <c r="P27" s="16">
        <f t="shared" si="4"/>
        <v>-0.0795495429730312</v>
      </c>
      <c r="Q27" s="16">
        <f t="shared" si="20"/>
        <v>1.2528065465735958</v>
      </c>
      <c r="R27" s="16">
        <f t="shared" si="21"/>
        <v>1.5508588691103944</v>
      </c>
      <c r="S27" s="16">
        <f t="shared" si="22"/>
        <v>0.15909910422113727</v>
      </c>
      <c r="T27" s="16">
        <f t="shared" si="12"/>
        <v>1.9999999999999998</v>
      </c>
      <c r="U27" s="16">
        <f t="shared" si="13"/>
        <v>0.626403273286798</v>
      </c>
      <c r="V27" s="16">
        <f t="shared" si="14"/>
        <v>0.7754294345551973</v>
      </c>
      <c r="W27" s="16">
        <f t="shared" si="15"/>
        <v>0.07954955211056865</v>
      </c>
      <c r="X27" s="48">
        <f>IF(OR(Flag="Ignore",Flag="Hole",Flag="Det"),"",ACOS((Xnorm*VertexCalc!Xnorm+Ynorm*VertexCalc!Ynorm)/(SQRT(Xnorm^2+Ynorm^2)*SQRT(VertexCalc!Xnorm^2+VertexCalc!Ynorm^2)))*180/PI()*SIGN(Xnorm*Ynorm))</f>
        <v>3.6673965887190403</v>
      </c>
      <c r="Y27" s="57"/>
      <c r="Z27" s="48">
        <f>IF(OR(Flag="Ignore",Flag="Hole",Flag="Det"),"",VertexCalc!Xsag*COS(Theta*PI()/180)-VertexCalc!Ysag*SIN(Theta*PI()/180))</f>
        <v>-0.5442057832495825</v>
      </c>
      <c r="AA27" s="48">
        <f>IF(OR(Flag="Ignore",Flag="Hole",Flag="Det"),"",VertexCalc!Xsag*SIN(Theta*PI()/180)+VertexCalc!Ysag*COS(Theta*PI()/180))</f>
        <v>0.6736765288160991</v>
      </c>
      <c r="AB27" s="48">
        <f>IF(OR(Flag="Ignore",Flag="Hole",Flag="Det"),"",VertexCalc!Zsag)</f>
        <v>0.5</v>
      </c>
      <c r="AC27" s="49">
        <f t="shared" si="16"/>
        <v>77.21629810922394</v>
      </c>
    </row>
    <row r="28" spans="3:29" ht="13.5" thickBot="1">
      <c r="C28" s="18"/>
      <c r="D28" s="19" t="s">
        <v>463</v>
      </c>
      <c r="E28" s="19" t="s">
        <v>471</v>
      </c>
      <c r="F28" s="19"/>
      <c r="G28" s="17">
        <f ca="1" t="shared" si="23"/>
        <v>300.169191</v>
      </c>
      <c r="H28" s="17">
        <f ca="1" t="shared" si="23"/>
        <v>-61.557994</v>
      </c>
      <c r="I28" s="17">
        <f ca="1" t="shared" si="23"/>
        <v>-520.56129</v>
      </c>
      <c r="J28" s="17">
        <f t="shared" si="17"/>
        <v>8.457365000000038</v>
      </c>
      <c r="K28" s="17">
        <f t="shared" si="18"/>
        <v>10.469437000000006</v>
      </c>
      <c r="L28" s="17">
        <f t="shared" si="19"/>
        <v>1.0740359999999782</v>
      </c>
      <c r="M28" s="16">
        <f t="shared" si="1"/>
        <v>13.501469815153117</v>
      </c>
      <c r="N28" s="16">
        <f t="shared" si="2"/>
        <v>0.6264032817010838</v>
      </c>
      <c r="O28" s="16">
        <f t="shared" si="3"/>
        <v>0.7754294268206143</v>
      </c>
      <c r="P28" s="16">
        <f t="shared" si="4"/>
        <v>0.07954956124810607</v>
      </c>
      <c r="Q28" s="16">
        <f t="shared" si="20"/>
        <v>-0.04279080972848748</v>
      </c>
      <c r="R28" s="16">
        <f t="shared" si="21"/>
        <v>0.0331991063839705</v>
      </c>
      <c r="S28" s="16">
        <f t="shared" si="22"/>
        <v>-0.005277239045033327</v>
      </c>
      <c r="T28" s="16">
        <f t="shared" si="12"/>
        <v>0.054415836976492736</v>
      </c>
      <c r="U28" s="16">
        <f t="shared" si="13"/>
        <v>-0.7863668392525656</v>
      </c>
      <c r="V28" s="16">
        <f t="shared" si="14"/>
        <v>0.6101000780032527</v>
      </c>
      <c r="W28" s="16">
        <f t="shared" si="15"/>
        <v>-0.09697983782392354</v>
      </c>
      <c r="X28" s="48">
        <f>IF(OR(Flag="Ignore",Flag="Hole",Flag="Det"),"",ACOS((Xnorm*VertexCalc!Xnorm+Ynorm*VertexCalc!Ynorm)/(SQRT(Xnorm^2+Ynorm^2)*SQRT(VertexCalc!Xnorm^2+VertexCalc!Ynorm^2)))*180/PI()*SIGN(Xnorm*Ynorm))</f>
        <v>-163.07036815299938</v>
      </c>
      <c r="Y28" s="57"/>
      <c r="Z28" s="48">
        <f>IF(OR(Flag="Ignore",Flag="Hole",Flag="Det"),"",VertexCalc!Xsag*COS(Theta*PI()/180)-VertexCalc!Ysag*SIN(Theta*PI()/180))</f>
        <v>-0.2724241878425969</v>
      </c>
      <c r="AA28" s="48">
        <f>IF(OR(Flag="Ignore",Flag="Hole",Flag="Det"),"",VertexCalc!Xsag*SIN(Theta*PI()/180)+VertexCalc!Ysag*COS(Theta*PI()/180))</f>
        <v>-0.8220614708635245</v>
      </c>
      <c r="AB28" s="48">
        <f>IF(OR(Flag="Ignore",Flag="Hole",Flag="Det"),"",VertexCalc!Zsag)</f>
        <v>-0.5</v>
      </c>
      <c r="AC28" s="49">
        <f t="shared" si="16"/>
        <v>103.81717185490137</v>
      </c>
    </row>
    <row r="29" spans="3:29" ht="13.5" thickBot="1">
      <c r="C29" s="18"/>
      <c r="D29" s="19" t="s">
        <v>464</v>
      </c>
      <c r="E29" s="19" t="s">
        <v>471</v>
      </c>
      <c r="F29" s="19"/>
      <c r="G29" s="17">
        <f ca="1" t="shared" si="23"/>
        <v>337.738523</v>
      </c>
      <c r="H29" s="17">
        <f ca="1" t="shared" si="23"/>
        <v>-9.503531</v>
      </c>
      <c r="I29" s="17">
        <f ca="1" t="shared" si="23"/>
        <v>-515.780101</v>
      </c>
      <c r="J29" s="17">
        <f t="shared" si="17"/>
        <v>37.569331999999974</v>
      </c>
      <c r="K29" s="17">
        <f t="shared" si="18"/>
        <v>52.054463</v>
      </c>
      <c r="L29" s="17">
        <f t="shared" si="19"/>
        <v>4.78118900000004</v>
      </c>
      <c r="M29" s="16">
        <f t="shared" si="1"/>
        <v>64.37376479124327</v>
      </c>
      <c r="N29" s="16">
        <f t="shared" si="2"/>
        <v>0.5836124719725964</v>
      </c>
      <c r="O29" s="16">
        <f t="shared" si="3"/>
        <v>0.8086285332045848</v>
      </c>
      <c r="P29" s="16">
        <f t="shared" si="4"/>
        <v>0.07427232220307274</v>
      </c>
      <c r="Q29" s="16">
        <f t="shared" si="20"/>
        <v>0.16092734150915322</v>
      </c>
      <c r="R29" s="16">
        <f t="shared" si="21"/>
        <v>-0.828150762408163</v>
      </c>
      <c r="S29" s="16">
        <f t="shared" si="22"/>
        <v>0.5930202288624135</v>
      </c>
      <c r="T29" s="16">
        <f t="shared" si="12"/>
        <v>1.0312149564288013</v>
      </c>
      <c r="U29" s="16">
        <f t="shared" si="13"/>
        <v>0.156056058444362</v>
      </c>
      <c r="V29" s="16">
        <f t="shared" si="14"/>
        <v>-0.8030825748262326</v>
      </c>
      <c r="W29" s="16">
        <f t="shared" si="15"/>
        <v>0.575069460703034</v>
      </c>
      <c r="X29" s="48">
        <f>IF(OR(Flag="Ignore",Flag="Hole",Flag="Det"),"",ACOS((Xnorm*VertexCalc!Xnorm+Ynorm*VertexCalc!Ynorm)/(SQRT(Xnorm^2+Ynorm^2)*SQRT(VertexCalc!Xnorm^2+VertexCalc!Ynorm^2)))*180/PI()*SIGN(Xnorm*Ynorm))</f>
        <v>-79.00325733163828</v>
      </c>
      <c r="Y29" s="57"/>
      <c r="Z29" s="48">
        <f>IF(OR(Flag="Ignore",Flag="Hole",Flag="Det"),"",VertexCalc!Xsag*COS(Theta*PI()/180)-VertexCalc!Ysag*SIN(Theta*PI()/180))</f>
        <v>0.9816380295744133</v>
      </c>
      <c r="AA29" s="48">
        <f>IF(OR(Flag="Ignore",Flag="Hole",Flag="Det"),"",VertexCalc!Xsag*SIN(Theta*PI()/180)+VertexCalc!Ysag*COS(Theta*PI()/180))</f>
        <v>0.19075318842227368</v>
      </c>
      <c r="AB29" s="48">
        <f>IF(OR(Flag="Ignore",Flag="Hole",Flag="Det"),"",VertexCalc!Zsag)</f>
        <v>0</v>
      </c>
      <c r="AC29" s="49">
        <f t="shared" si="16"/>
        <v>90</v>
      </c>
    </row>
    <row r="30" spans="3:29" ht="13.5" thickBot="1">
      <c r="C30" s="18"/>
      <c r="D30" s="19" t="s">
        <v>454</v>
      </c>
      <c r="E30" s="19" t="s">
        <v>471</v>
      </c>
      <c r="F30" s="19"/>
      <c r="G30" s="17">
        <f ca="1" t="shared" si="23"/>
        <v>380.44417999999996</v>
      </c>
      <c r="H30" s="17">
        <f ca="1" t="shared" si="23"/>
        <v>-10.623296</v>
      </c>
      <c r="I30" s="17">
        <f ca="1" t="shared" si="23"/>
        <v>-477.505228</v>
      </c>
      <c r="J30" s="17">
        <f t="shared" si="17"/>
        <v>42.705656999999974</v>
      </c>
      <c r="K30" s="17">
        <f t="shared" si="18"/>
        <v>-1.1197649999999992</v>
      </c>
      <c r="L30" s="17">
        <f t="shared" si="19"/>
        <v>38.27487299999996</v>
      </c>
      <c r="M30" s="16">
        <f t="shared" si="1"/>
        <v>57.35845985225717</v>
      </c>
      <c r="N30" s="16">
        <f t="shared" si="2"/>
        <v>0.7445398134817496</v>
      </c>
      <c r="O30" s="16">
        <f t="shared" si="3"/>
        <v>-0.01952222920357814</v>
      </c>
      <c r="P30" s="16">
        <f t="shared" si="4"/>
        <v>0.6672925510654862</v>
      </c>
      <c r="Q30" s="16">
        <f t="shared" si="20"/>
        <v>-0.7453847715515992</v>
      </c>
      <c r="R30" s="16">
        <f t="shared" si="21"/>
        <v>0.004792019671656732</v>
      </c>
      <c r="S30" s="16">
        <f t="shared" si="22"/>
        <v>0.3325985964965902</v>
      </c>
      <c r="T30" s="16">
        <f t="shared" si="12"/>
        <v>0.8162372495206678</v>
      </c>
      <c r="U30" s="16">
        <f t="shared" si="13"/>
        <v>-0.9131962208160967</v>
      </c>
      <c r="V30" s="16">
        <f t="shared" si="14"/>
        <v>0.005870866190523438</v>
      </c>
      <c r="W30" s="16">
        <f t="shared" si="15"/>
        <v>0.40747784629028805</v>
      </c>
      <c r="X30" s="48">
        <f>IF(OR(Flag="Ignore",Flag="Hole",Flag="Det"),"",ACOS((Xnorm*VertexCalc!Xnorm+Ynorm*VertexCalc!Ynorm)/(SQRT(Xnorm^2+Ynorm^2)*SQRT(VertexCalc!Xnorm^2+VertexCalc!Ynorm^2)))*180/PI()*SIGN(Xnorm*Ynorm))</f>
        <v>-179.63165504521643</v>
      </c>
      <c r="Y30" s="57"/>
      <c r="Z30" s="48">
        <f>IF(OR(Flag="Ignore",Flag="Hole",Flag="Det"),"",VertexCalc!Xsag*COS(Theta*PI()/180)-VertexCalc!Ysag*SIN(Theta*PI()/180))</f>
        <v>0.006428787960359098</v>
      </c>
      <c r="AA30" s="48">
        <f>IF(OR(Flag="Ignore",Flag="Hole",Flag="Det"),"",VertexCalc!Xsag*SIN(Theta*PI()/180)+VertexCalc!Ysag*COS(Theta*PI()/180))</f>
        <v>-0.9999793351291618</v>
      </c>
      <c r="AB30" s="48">
        <f>IF(OR(Flag="Ignore",Flag="Hole",Flag="Det"),"",VertexCalc!Zsag)</f>
        <v>1.4905111812031573E-08</v>
      </c>
      <c r="AC30" s="49">
        <f t="shared" si="16"/>
        <v>90.6727529177894</v>
      </c>
    </row>
    <row r="31" spans="3:29" ht="13.5" thickBot="1">
      <c r="C31" s="18"/>
      <c r="D31" s="19" t="s">
        <v>465</v>
      </c>
      <c r="E31" s="19" t="s">
        <v>471</v>
      </c>
      <c r="F31" s="19"/>
      <c r="G31" s="17">
        <f ca="1" t="shared" si="23"/>
        <v>380.43658300000004</v>
      </c>
      <c r="H31" s="17">
        <f ca="1" t="shared" si="23"/>
        <v>-10.755735</v>
      </c>
      <c r="I31" s="17">
        <f ca="1" t="shared" si="23"/>
        <v>-468.515228</v>
      </c>
      <c r="J31" s="17">
        <f t="shared" si="17"/>
        <v>-0.007596999999918808</v>
      </c>
      <c r="K31" s="17">
        <f t="shared" si="18"/>
        <v>-0.13243899999999975</v>
      </c>
      <c r="L31" s="17">
        <f t="shared" si="19"/>
        <v>8.990000000000009</v>
      </c>
      <c r="M31" s="16">
        <f t="shared" si="1"/>
        <v>8.99097868994973</v>
      </c>
      <c r="N31" s="16">
        <f t="shared" si="2"/>
        <v>-0.0008449580698495999</v>
      </c>
      <c r="O31" s="16">
        <f t="shared" si="3"/>
        <v>-0.014730209531921407</v>
      </c>
      <c r="P31" s="16">
        <f t="shared" si="4"/>
        <v>0.9998911475620764</v>
      </c>
      <c r="Q31" s="16">
        <f t="shared" si="20"/>
        <v>-0.3549893935456081</v>
      </c>
      <c r="R31" s="16">
        <f t="shared" si="21"/>
        <v>0.036179062258902196</v>
      </c>
      <c r="S31" s="16">
        <f t="shared" si="22"/>
        <v>-0.06558827326108019</v>
      </c>
      <c r="T31" s="16">
        <f t="shared" si="12"/>
        <v>0.36280603035945014</v>
      </c>
      <c r="U31" s="16">
        <f t="shared" si="13"/>
        <v>-0.9784550526734693</v>
      </c>
      <c r="V31" s="16">
        <f t="shared" si="14"/>
        <v>0.09972012378917126</v>
      </c>
      <c r="W31" s="16">
        <f t="shared" si="15"/>
        <v>-0.18078054875796468</v>
      </c>
      <c r="X31" s="48">
        <f>IF(OR(Flag="Ignore",Flag="Hole",Flag="Det"),"",ACOS((Xnorm*VertexCalc!Xnorm+Ynorm*VertexCalc!Ynorm)/(SQRT(Xnorm^2+Ynorm^2)*SQRT(VertexCalc!Xnorm^2+VertexCalc!Ynorm^2)))*180/PI()*SIGN(Xnorm*Ynorm))</f>
        <v>-174.18074168677336</v>
      </c>
      <c r="Y31" s="57"/>
      <c r="Z31" s="48">
        <f>IF(OR(Flag="Ignore",Flag="Hole",Flag="Det"),"",VertexCalc!Xsag*COS(Theta*PI()/180)-VertexCalc!Ysag*SIN(Theta*PI()/180))</f>
        <v>0.10673739223686884</v>
      </c>
      <c r="AA31" s="48">
        <f>IF(OR(Flag="Ignore",Flag="Hole",Flag="Det"),"",VertexCalc!Xsag*SIN(Theta*PI()/180)+VertexCalc!Ysag*COS(Theta*PI()/180))</f>
        <v>-0.9938112713664976</v>
      </c>
      <c r="AB31" s="48">
        <f>IF(OR(Flag="Ignore",Flag="Hole",Flag="Det"),"",VertexCalc!Zsag)</f>
        <v>0.03076176203305844</v>
      </c>
      <c r="AC31" s="49">
        <f t="shared" si="16"/>
        <v>102.0697236777063</v>
      </c>
    </row>
    <row r="32" spans="3:29" ht="13.5" thickBot="1">
      <c r="C32" s="18"/>
      <c r="D32" s="19" t="s">
        <v>466</v>
      </c>
      <c r="E32" s="19" t="s">
        <v>471</v>
      </c>
      <c r="F32" s="19"/>
      <c r="G32" s="17">
        <f ca="1" t="shared" si="23"/>
        <v>202</v>
      </c>
      <c r="H32" s="17">
        <f ca="1" t="shared" si="23"/>
        <v>0</v>
      </c>
      <c r="I32" s="17">
        <f ca="1" t="shared" si="23"/>
        <v>0</v>
      </c>
      <c r="J32" s="17">
        <f t="shared" si="17"/>
        <v>-178.43658300000004</v>
      </c>
      <c r="K32" s="17">
        <f t="shared" si="18"/>
        <v>10.755735</v>
      </c>
      <c r="L32" s="17">
        <f t="shared" si="19"/>
        <v>468.515228</v>
      </c>
      <c r="M32" s="16">
        <f t="shared" si="1"/>
        <v>501.4596881664548</v>
      </c>
      <c r="N32" s="16">
        <f t="shared" si="2"/>
        <v>-0.3558343516154577</v>
      </c>
      <c r="O32" s="16">
        <f t="shared" si="3"/>
        <v>0.02144885272698079</v>
      </c>
      <c r="P32" s="16">
        <f t="shared" si="4"/>
        <v>0.9343028743009962</v>
      </c>
      <c r="Q32" s="16" t="e">
        <f t="shared" si="20"/>
        <v>#DIV/0!</v>
      </c>
      <c r="R32" s="16" t="e">
        <f t="shared" si="21"/>
        <v>#DIV/0!</v>
      </c>
      <c r="S32" s="16" t="e">
        <f t="shared" si="22"/>
        <v>#DIV/0!</v>
      </c>
      <c r="T32" s="16" t="e">
        <f t="shared" si="12"/>
        <v>#DIV/0!</v>
      </c>
      <c r="U32" s="16" t="e">
        <f t="shared" si="13"/>
        <v>#DIV/0!</v>
      </c>
      <c r="V32" s="16" t="e">
        <f t="shared" si="14"/>
        <v>#DIV/0!</v>
      </c>
      <c r="W32" s="16" t="e">
        <f t="shared" si="15"/>
        <v>#DIV/0!</v>
      </c>
      <c r="X32" s="48" t="e">
        <f>IF(OR(Flag="Ignore",Flag="Hole",Flag="Det"),"",ACOS((Xnorm*VertexCalc!Xnorm+Ynorm*VertexCalc!Ynorm)/(SQRT(Xnorm^2+Ynorm^2)*SQRT(VertexCalc!Xnorm^2+VertexCalc!Ynorm^2)))*180/PI()*SIGN(Xnorm*Ynorm))</f>
        <v>#DIV/0!</v>
      </c>
      <c r="Y32" s="57"/>
      <c r="Z32" s="48" t="e">
        <f>IF(OR(Flag="Ignore",Flag="Hole",Flag="Det"),"",VertexCalc!Xsag*COS(Theta*PI()/180)-VertexCalc!Ysag*SIN(Theta*PI()/180))</f>
        <v>#DIV/0!</v>
      </c>
      <c r="AA32" s="48" t="e">
        <f>IF(OR(Flag="Ignore",Flag="Hole",Flag="Det"),"",VertexCalc!Xsag*SIN(Theta*PI()/180)+VertexCalc!Ysag*COS(Theta*PI()/180))</f>
        <v>#DIV/0!</v>
      </c>
      <c r="AB32" s="48">
        <f>IF(OR(Flag="Ignore",Flag="Hole",Flag="Det"),"",VertexCalc!Zsag)</f>
        <v>-0.12278780396897278</v>
      </c>
      <c r="AC32" s="49" t="e">
        <f t="shared" si="16"/>
        <v>#DIV/0!</v>
      </c>
    </row>
    <row r="33" spans="3:29" ht="13.5" thickBot="1">
      <c r="C33" s="14"/>
      <c r="D33" s="15" t="s">
        <v>467</v>
      </c>
      <c r="E33" s="15" t="s">
        <v>471</v>
      </c>
      <c r="F33" s="15" t="s">
        <v>145</v>
      </c>
      <c r="G33" s="17">
        <f ca="1" t="shared" si="23"/>
        <v>202</v>
      </c>
      <c r="H33" s="17">
        <f ca="1" t="shared" si="23"/>
        <v>0</v>
      </c>
      <c r="I33" s="17">
        <f ca="1" t="shared" si="23"/>
        <v>0</v>
      </c>
      <c r="J33" s="17">
        <f t="shared" si="17"/>
        <v>0</v>
      </c>
      <c r="K33" s="17">
        <f t="shared" si="18"/>
        <v>0</v>
      </c>
      <c r="L33" s="17">
        <f t="shared" si="19"/>
        <v>0</v>
      </c>
      <c r="M33" s="16">
        <f t="shared" si="1"/>
        <v>0</v>
      </c>
      <c r="N33" s="16" t="e">
        <f t="shared" si="2"/>
        <v>#DIV/0!</v>
      </c>
      <c r="O33" s="16" t="e">
        <f t="shared" si="3"/>
        <v>#DIV/0!</v>
      </c>
      <c r="P33" s="16" t="e">
        <f t="shared" si="4"/>
        <v>#DIV/0!</v>
      </c>
      <c r="Q33" s="16">
        <f t="shared" si="20"/>
      </c>
      <c r="R33" s="16">
        <f t="shared" si="21"/>
      </c>
      <c r="S33" s="16">
        <f t="shared" si="22"/>
      </c>
      <c r="T33" s="16">
        <f t="shared" si="12"/>
      </c>
      <c r="U33" s="16">
        <f t="shared" si="13"/>
      </c>
      <c r="V33" s="16">
        <f t="shared" si="14"/>
      </c>
      <c r="W33" s="16">
        <f t="shared" si="15"/>
      </c>
      <c r="X33" s="48">
        <f>IF(OR(Flag="Ignore",Flag="Hole",Flag="Det"),"",ACOS((Xnorm*VertexCalc!Xnorm+Ynorm*VertexCalc!Ynorm)/(SQRT(Xnorm^2+Ynorm^2)*SQRT(VertexCalc!Xnorm^2+VertexCalc!Ynorm^2)))*180/PI()*SIGN(Xnorm*Ynorm))</f>
      </c>
      <c r="Y33" s="57"/>
      <c r="Z33" s="48">
        <f>IF(OR(Flag="Ignore",Flag="Hole",Flag="Det"),"",VertexCalc!Xsag*COS(Theta*PI()/180)-VertexCalc!Ysag*SIN(Theta*PI()/180))</f>
      </c>
      <c r="AA33" s="48">
        <f>IF(OR(Flag="Ignore",Flag="Hole",Flag="Det"),"",VertexCalc!Xsag*SIN(Theta*PI()/180)+VertexCalc!Ysag*COS(Theta*PI()/180))</f>
      </c>
      <c r="AB33" s="48">
        <f>IF(OR(Flag="Ignore",Flag="Hole",Flag="Det"),"",VertexCalc!Zsag)</f>
      </c>
      <c r="AC33" s="49">
        <f t="shared" si="16"/>
      </c>
    </row>
    <row r="34" spans="3:6" ht="12.75">
      <c r="C34" s="19"/>
      <c r="D34" s="19"/>
      <c r="E34" s="19"/>
      <c r="F34" s="19"/>
    </row>
    <row r="35" spans="3:6" ht="12.75">
      <c r="C35" s="19"/>
      <c r="D35" s="19"/>
      <c r="E35" s="19"/>
      <c r="F35" s="19"/>
    </row>
    <row r="36" ht="12.75">
      <c r="C36" s="24" t="s">
        <v>122</v>
      </c>
    </row>
    <row r="37" spans="3:5" ht="12.75">
      <c r="C37" s="1" t="s">
        <v>17</v>
      </c>
      <c r="D37" s="1" t="str">
        <f>"-Zsyno"</f>
        <v>-Zsyno</v>
      </c>
      <c r="E37" s="1" t="s">
        <v>112</v>
      </c>
    </row>
    <row r="38" spans="3:5" ht="12.75">
      <c r="C38" s="1" t="s">
        <v>80</v>
      </c>
      <c r="D38" s="1" t="s">
        <v>118</v>
      </c>
      <c r="E38" s="1" t="s">
        <v>113</v>
      </c>
    </row>
    <row r="39" spans="3:5" ht="12.75">
      <c r="C39" s="1" t="s">
        <v>81</v>
      </c>
      <c r="D39" s="1" t="s">
        <v>119</v>
      </c>
      <c r="E39" s="1" t="s">
        <v>114</v>
      </c>
    </row>
    <row r="40" spans="3:6" ht="12.75">
      <c r="C40" s="19"/>
      <c r="D40" s="19"/>
      <c r="E40" s="19"/>
      <c r="F40" s="19"/>
    </row>
    <row r="41" spans="3:6" ht="12.75">
      <c r="C41" s="31" t="s">
        <v>46</v>
      </c>
      <c r="D41" s="31" t="s">
        <v>375</v>
      </c>
      <c r="E41" s="31" t="s">
        <v>268</v>
      </c>
      <c r="F41" s="31" t="s">
        <v>376</v>
      </c>
    </row>
    <row r="42" spans="3:6" ht="12.75">
      <c r="C42" s="19" t="s">
        <v>17</v>
      </c>
      <c r="D42" s="19" t="str">
        <f>"-Zsyno"</f>
        <v>-Zsyno</v>
      </c>
      <c r="E42" s="19" t="s">
        <v>372</v>
      </c>
      <c r="F42" s="19" t="s">
        <v>112</v>
      </c>
    </row>
    <row r="43" spans="3:6" ht="12.75">
      <c r="C43" s="19" t="s">
        <v>80</v>
      </c>
      <c r="D43" s="19" t="s">
        <v>118</v>
      </c>
      <c r="E43" s="19" t="s">
        <v>373</v>
      </c>
      <c r="F43" s="19" t="s">
        <v>113</v>
      </c>
    </row>
    <row r="44" spans="3:6" ht="12.75">
      <c r="C44" s="19" t="s">
        <v>81</v>
      </c>
      <c r="D44" s="19" t="s">
        <v>119</v>
      </c>
      <c r="E44" s="19" t="s">
        <v>374</v>
      </c>
      <c r="F44" s="19" t="s">
        <v>114</v>
      </c>
    </row>
    <row r="45" spans="3:6" ht="12.75">
      <c r="C45" s="19"/>
      <c r="D45" s="19"/>
      <c r="E45" s="19"/>
      <c r="F45" s="19"/>
    </row>
    <row r="46" spans="3:6" ht="12.75">
      <c r="C46" s="19" t="s">
        <v>366</v>
      </c>
      <c r="D46" s="19">
        <v>-1</v>
      </c>
      <c r="E46" s="19"/>
      <c r="F46" s="19"/>
    </row>
    <row r="47" spans="3:6" ht="12.75">
      <c r="C47" s="19" t="s">
        <v>367</v>
      </c>
      <c r="D47" s="19">
        <v>-1</v>
      </c>
      <c r="E47" s="19"/>
      <c r="F47" s="19"/>
    </row>
    <row r="48" spans="3:6" ht="12.75">
      <c r="C48" s="19"/>
      <c r="D48" s="19"/>
      <c r="E48" s="19"/>
      <c r="F48" s="19"/>
    </row>
  </sheetData>
  <printOptions/>
  <pageMargins left="0.33" right="0.25"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DOHLEN Kjetil</dc:creator>
  <cp:keywords/>
  <dc:description/>
  <cp:lastModifiedBy>Kjetil DOHLEN</cp:lastModifiedBy>
  <cp:lastPrinted>2001-03-23T16:26:10Z</cp:lastPrinted>
  <dcterms:created xsi:type="dcterms:W3CDTF">2001-01-11T13:17:14Z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