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80" windowWidth="18915" windowHeight="9165" tabRatio="864" firstSheet="1" activeTab="1"/>
  </bookViews>
  <sheets>
    <sheet name="Introduction" sheetId="1" r:id="rId1"/>
    <sheet name="History" sheetId="2" r:id="rId2"/>
    <sheet name="Theory" sheetId="3" r:id="rId3"/>
    <sheet name="Variables" sheetId="4" r:id="rId4"/>
    <sheet name="GutRayImpacts" sheetId="5" r:id="rId5"/>
    <sheet name="Interfaces" sheetId="6" r:id="rId6"/>
    <sheet name="SurfDef" sheetId="7" r:id="rId7"/>
    <sheet name="GutCalc" sheetId="8" r:id="rId8"/>
    <sheet name="M3CentCalc" sheetId="9" r:id="rId9"/>
    <sheet name="M5CentCalc" sheetId="10" r:id="rId10"/>
    <sheet name="VertexCalc" sheetId="11" r:id="rId11"/>
    <sheet name="VerticesSyno" sheetId="12" r:id="rId12"/>
    <sheet name="RayImpacts" sheetId="13" r:id="rId13"/>
    <sheet name="RayImpactsSyno" sheetId="14" r:id="rId14"/>
    <sheet name="SpecGlob" sheetId="15" r:id="rId15"/>
    <sheet name="GutRay" sheetId="16" r:id="rId16"/>
    <sheet name="M3CentRay" sheetId="17" r:id="rId17"/>
    <sheet name="M5CentRay" sheetId="18" r:id="rId18"/>
  </sheets>
  <externalReferences>
    <externalReference r:id="rId21"/>
  </externalReferences>
  <definedNames>
    <definedName name="_1_cos_theta">'M5CentCalc'!$X$2:$X$65536</definedName>
    <definedName name="aCol">'VerticesSyno'!$B$12</definedName>
    <definedName name="aEuler" localSheetId="10">'VertexCalc'!#REF!</definedName>
    <definedName name="aEuler" localSheetId="11">'VerticesSyno'!$K$2:$K$65536</definedName>
    <definedName name="aEuler">'Variables'!$B$26</definedName>
    <definedName name="bCol">'VerticesSyno'!$B$13</definedName>
    <definedName name="bEuler" localSheetId="10">'VertexCalc'!#REF!</definedName>
    <definedName name="bEuler" localSheetId="11">'VerticesSyno'!$L$2:$L$65536</definedName>
    <definedName name="bEuler">'Variables'!$B$27</definedName>
    <definedName name="cCol">'VerticesSyno'!$B$14</definedName>
    <definedName name="cEuler" localSheetId="10">'VertexCalc'!#REF!</definedName>
    <definedName name="cEuler" localSheetId="11">'VerticesSyno'!$M$2:$M$65536</definedName>
    <definedName name="cEuler">'Variables'!$B$28</definedName>
    <definedName name="CompName" localSheetId="7">'GutCalc'!$D$2:$D$65536</definedName>
    <definedName name="CompName" localSheetId="4">'GutRayImpacts'!$D$2:$D$65536</definedName>
    <definedName name="CompName" localSheetId="5">'Interfaces'!$D$2:$D$65536</definedName>
    <definedName name="CompName" localSheetId="8">'M3CentCalc'!$D$2:$D$65536</definedName>
    <definedName name="CompName" localSheetId="9">'M5CentCalc'!$D$2:$D$65536</definedName>
    <definedName name="CompName" localSheetId="12">'RayImpacts'!$D$2:$D$65536</definedName>
    <definedName name="CompName" localSheetId="13">'RayImpactsSyno'!$D$2:$D$65536</definedName>
    <definedName name="CompName" localSheetId="6">'SurfDef'!$D$2:$D$65536</definedName>
    <definedName name="CompName" localSheetId="11">'VerticesSyno'!$D$2:$D$65536</definedName>
    <definedName name="CompName">'Variables'!$B$4</definedName>
    <definedName name="Description">'Variables'!$B$3:$B$65536</definedName>
    <definedName name="DiffMod" localSheetId="8">'M3CentCalc'!$L$2:$L$65536</definedName>
    <definedName name="DiffMod" localSheetId="9">'M5CentCalc'!$L$2:$L$65536</definedName>
    <definedName name="DiffMod" localSheetId="3">'Variables'!$B$66</definedName>
    <definedName name="DiffMod">'GutCalc'!$L$2:$L$65536</definedName>
    <definedName name="DowlDir" localSheetId="5">'Interfaces'!$E$2:$E$65536</definedName>
    <definedName name="DowlDir">'Variables'!$B$16</definedName>
    <definedName name="DowlSep" localSheetId="5">'Interfaces'!$B$8</definedName>
    <definedName name="DowlSep" localSheetId="6">'SurfDef'!$B$8</definedName>
    <definedName name="DowlSep">'Variables'!$B$10</definedName>
    <definedName name="drayMod" localSheetId="8">'M3CentCalc'!$S$2:$S$65536</definedName>
    <definedName name="drayMod" localSheetId="9">'M5CentCalc'!$S$2:$S$65536</definedName>
    <definedName name="dRayMod" localSheetId="3">'Variables'!$B$73</definedName>
    <definedName name="drayMod">'GutCalc'!$S$2:$S$65536</definedName>
    <definedName name="dXray" localSheetId="8">'M3CentCalc'!$P$2:$P$65536</definedName>
    <definedName name="dXray" localSheetId="9">'M5CentCalc'!$P$2:$P$65536</definedName>
    <definedName name="dXray" localSheetId="3">'Variables'!$B$70</definedName>
    <definedName name="dXray">'GutCalc'!$P$2:$P$65536</definedName>
    <definedName name="dYray" localSheetId="8">'M3CentCalc'!$Q$2:$Q$65536</definedName>
    <definedName name="dYray" localSheetId="9">'M5CentCalc'!$Q$2:$Q$65536</definedName>
    <definedName name="dYray" localSheetId="3">'Variables'!$B$71</definedName>
    <definedName name="dYray">'GutCalc'!$Q$2:$Q$65536</definedName>
    <definedName name="dZray" localSheetId="8">'M3CentCalc'!$R$2:$R$65536</definedName>
    <definedName name="dZray" localSheetId="9">'M5CentCalc'!$R$2:$R$65536</definedName>
    <definedName name="dZray" localSheetId="3">'Variables'!$B$72</definedName>
    <definedName name="dZray">'GutCalc'!$R$2:$R$65536</definedName>
    <definedName name="Flag" localSheetId="7">'GutCalc'!$E$2:$E$65536</definedName>
    <definedName name="Flag" localSheetId="4">'GutRayImpacts'!$E$2:$E$65536</definedName>
    <definedName name="Flag" localSheetId="5">'Interfaces'!$F$2:$F$65536</definedName>
    <definedName name="Flag" localSheetId="8">'M3CentCalc'!$E$2:$E$65536</definedName>
    <definedName name="Flag" localSheetId="9">'M5CentCalc'!$E$2:$E$65536</definedName>
    <definedName name="Flag" localSheetId="12">'RayImpacts'!$E$2:$E$65536</definedName>
    <definedName name="Flag" localSheetId="6">'SurfDef'!$E$2:$E$65536</definedName>
    <definedName name="Flag" localSheetId="10">'VertexCalc'!$E$2:$E$65536</definedName>
    <definedName name="Flag" localSheetId="11">'VerticesSyno'!$E$2:$E$65536</definedName>
    <definedName name="Flag">'Variables'!$B$5</definedName>
    <definedName name="ID" localSheetId="8">'M3CentCalc'!$B$2</definedName>
    <definedName name="ID" localSheetId="9">'M5CentCalc'!$B$2</definedName>
    <definedName name="ID" localSheetId="10">'VertexCalc'!$B$2</definedName>
    <definedName name="ID">'GutCalc'!$C$2</definedName>
    <definedName name="LeftHandCorr" localSheetId="10">'VertexCalc'!$B$28</definedName>
    <definedName name="LeftHandCorr">'Variables'!$B$13</definedName>
    <definedName name="Line" localSheetId="3">'Variables'!$B$7</definedName>
    <definedName name="Line" localSheetId="11">'VerticesSyno'!$G$2:$G$65536</definedName>
    <definedName name="Line">'RayImpactsSyno'!$G$2:$G$65536</definedName>
    <definedName name="Line0" localSheetId="3">'Variables'!$B$56</definedName>
    <definedName name="Line0" localSheetId="11">'VerticesSyno'!$B$7</definedName>
    <definedName name="Line0">'RayImpactsSyno'!$B$7</definedName>
    <definedName name="Name">'Variables'!$B$3:$B$65536</definedName>
    <definedName name="NormDir" localSheetId="10">'VertexCalc'!$L$2:$L$65536</definedName>
    <definedName name="NormDir">'Variables'!$B$15</definedName>
    <definedName name="NormDirCorr" localSheetId="10">'VertexCalc'!$B$29</definedName>
    <definedName name="NormDirCorr">'Variables'!$B$14</definedName>
    <definedName name="normDOTsag">'M5CentCalc'!$AB$2:$AB$65536</definedName>
    <definedName name="Ray" localSheetId="7">'GutCalc'!$B$5</definedName>
    <definedName name="Ray" localSheetId="8">'M3CentCalc'!$B$5</definedName>
    <definedName name="Ray" localSheetId="9">'M5CentCalc'!$B$5</definedName>
    <definedName name="Ray" localSheetId="13">'RayImpactsSyno'!$B$5</definedName>
    <definedName name="Ray">'Variables'!$B$8</definedName>
    <definedName name="SpigLength" localSheetId="5">'Interfaces'!$B$7</definedName>
    <definedName name="SpigLength" localSheetId="6">'SurfDef'!$B$7</definedName>
    <definedName name="SpigLength">'Variables'!$B$9</definedName>
    <definedName name="SurfNum" localSheetId="3">'Variables'!$B$6</definedName>
    <definedName name="SurfNum" localSheetId="11">'VerticesSyno'!$F$2:$F$65536</definedName>
    <definedName name="SurfNum">'RayImpactsSyno'!$F$2:$F$65536</definedName>
    <definedName name="System_Part">'RayImpactsSyno'!$C$2:$C$65536</definedName>
    <definedName name="SystemPart" localSheetId="7">'GutCalc'!$C$2:$C$65536</definedName>
    <definedName name="SystemPart" localSheetId="4">'GutRayImpacts'!$C$2:$C$65536</definedName>
    <definedName name="SystemPart" localSheetId="5">'Interfaces'!$C$2:$C$65536</definedName>
    <definedName name="SystemPart" localSheetId="8">'M3CentCalc'!$C$2:$C$65536</definedName>
    <definedName name="SystemPart" localSheetId="9">'M5CentCalc'!$C$2:$C$65536</definedName>
    <definedName name="SystemPart" localSheetId="12">'RayImpacts'!$C$2:$C$65536</definedName>
    <definedName name="SystemPart" localSheetId="6">'SurfDef'!$C$2:$C$65536</definedName>
    <definedName name="SystemPart" localSheetId="11">'VerticesSyno'!$C$2:$C$65536</definedName>
    <definedName name="SystemPart">'Variables'!$B$3</definedName>
    <definedName name="Theta" localSheetId="9">'M5CentCalc'!$W$2:$W$65536</definedName>
    <definedName name="Theta" localSheetId="3">'Variables'!$B$11</definedName>
    <definedName name="Theta">'M3CentCalc'!$W$2:$W$65536</definedName>
    <definedName name="UpFlag" localSheetId="7">'GutCalc'!$W$2:$W$65536</definedName>
    <definedName name="UpFlag">'Variables'!$B$12</definedName>
    <definedName name="X0" localSheetId="12">'RayImpacts'!$B$20</definedName>
    <definedName name="X0" localSheetId="10">'VertexCalc'!$B$11</definedName>
    <definedName name="X0">'Variables'!$B$60</definedName>
    <definedName name="Xax">'Variables'!$B$29</definedName>
    <definedName name="xAxis" localSheetId="10">'VertexCalc'!$I$2:$I$65536</definedName>
    <definedName name="Xaxis">'Variables'!$B$29</definedName>
    <definedName name="Xcol" localSheetId="13">'RayImpactsSyno'!$B$9</definedName>
    <definedName name="Xcol" localSheetId="11">'VerticesSyno'!$B$9</definedName>
    <definedName name="Xcol">'Variables'!$B$57</definedName>
    <definedName name="Xdiff" localSheetId="8">'M3CentCalc'!$I$2:$I$65536</definedName>
    <definedName name="Xdiff" localSheetId="9">'M5CentCalc'!$I$2:$I$65536</definedName>
    <definedName name="Xdiff" localSheetId="3">'Variables'!$B$63</definedName>
    <definedName name="Xdiff">'GutCalc'!$I$2:$I$65536</definedName>
    <definedName name="Xdowl" localSheetId="6">'SurfDef'!$R$2:$R$65536</definedName>
    <definedName name="Xdowl">'Variables'!$B$53</definedName>
    <definedName name="Xfact">'Variables'!#REF!</definedName>
    <definedName name="Xgut" localSheetId="7">'GutCalc'!$F$2:$F$65536</definedName>
    <definedName name="Xgut" localSheetId="12">'RayImpacts'!$F$2:$F$65536</definedName>
    <definedName name="Xgut" localSheetId="13">'RayImpactsSyno'!$H$2:$H$65536</definedName>
    <definedName name="Xgut">'Variables'!$B$17</definedName>
    <definedName name="XM3Cent" localSheetId="8">'M3CentCalc'!$F$2:$F$65536</definedName>
    <definedName name="XM3Cent" localSheetId="9">'M5CentCalc'!$F$2:$F$65536</definedName>
    <definedName name="XM3cent" localSheetId="12">'RayImpacts'!$I$2:$I$65536</definedName>
    <definedName name="XM3cent" localSheetId="13">'RayImpactsSyno'!$K$2:$K$65536</definedName>
    <definedName name="XM3cent">'Variables'!$B$20</definedName>
    <definedName name="XM5Cent" localSheetId="9">'M5CentCalc'!$F$2:$F$65536</definedName>
    <definedName name="XM5cent" localSheetId="12">'RayImpacts'!$L$2:$L$65536</definedName>
    <definedName name="XM5cent" localSheetId="13">'RayImpactsSyno'!$N$2:$N$65536</definedName>
    <definedName name="XM5cent">'Variables'!$B$23</definedName>
    <definedName name="Xmirr" localSheetId="5">'Interfaces'!$G$2:$G$65536</definedName>
    <definedName name="Xmirr" localSheetId="6">'SurfDef'!$F$2:$F$65536</definedName>
    <definedName name="Xmirr" localSheetId="10">'VertexCalc'!$F$2:$F$65536</definedName>
    <definedName name="Xmirr">'Variables'!$B$41</definedName>
    <definedName name="Xnorm" localSheetId="7">'GutCalc'!$T$2:$T$65536</definedName>
    <definedName name="Xnorm" localSheetId="5">'Interfaces'!$J$2:$J$65536</definedName>
    <definedName name="Xnorm" localSheetId="8">'M3CentCalc'!$T$2:$T$65536</definedName>
    <definedName name="Xnorm" localSheetId="9">'M5CentCalc'!$T$2:$T$65536</definedName>
    <definedName name="Xnorm" localSheetId="6">'SurfDef'!$I$2:$I$65536</definedName>
    <definedName name="Xnorm" localSheetId="10">'VertexCalc'!$I$2:$I$65536</definedName>
    <definedName name="xNorm" localSheetId="11">'VerticesSyno'!$N$2:$N$65536</definedName>
    <definedName name="Xnorm">'Variables'!$B$44</definedName>
    <definedName name="Xray" localSheetId="8">'M3CentCalc'!$M$2:$M$65536</definedName>
    <definedName name="Xray" localSheetId="9">'M5CentCalc'!$M$2:$M$65536</definedName>
    <definedName name="Xray" localSheetId="3">'Variables'!$B$67</definedName>
    <definedName name="Xray">'GutCalc'!$M$2:$M$65536</definedName>
    <definedName name="Xsag" localSheetId="5">'Interfaces'!$P$2:$P$65536</definedName>
    <definedName name="Xsag" localSheetId="8">'M3CentCalc'!$Y$2:$Y$65536</definedName>
    <definedName name="Xsag" localSheetId="9">'M5CentCalc'!$Y$2:$Y$65536</definedName>
    <definedName name="Xsag" localSheetId="6">'SurfDef'!$O$2:$O$65536</definedName>
    <definedName name="Xsag" localSheetId="10">'VertexCalc'!$M$2:$M$65536</definedName>
    <definedName name="xSag" localSheetId="11">'VerticesSyno'!$T$2:$T$65536</definedName>
    <definedName name="Xsag">'Variables'!$B$38</definedName>
    <definedName name="XsagM">'Variables'!$B$50</definedName>
    <definedName name="Xspig" localSheetId="6">'SurfDef'!$L$2:$L$65536</definedName>
    <definedName name="Xspig">'Variables'!$B$47</definedName>
    <definedName name="Xspire">'GutCalc'!#REF!</definedName>
    <definedName name="Xsyn">'GutCalc'!$F$2:$F$65536</definedName>
    <definedName name="Xtang" localSheetId="10">'VertexCalc'!$P$2:$P$65536</definedName>
    <definedName name="xTang" localSheetId="11">'VerticesSyno'!$Q$2:$Q$65536</definedName>
    <definedName name="Xtang">'Variables'!$B$35</definedName>
    <definedName name="Xvert" localSheetId="11">'VerticesSyno'!$H$2:$H$65536</definedName>
    <definedName name="Xvert">'Variables'!#REF!</definedName>
    <definedName name="Xvertex" localSheetId="10">'VertexCalc'!$F$2:$F$65536</definedName>
    <definedName name="Xvertex">'Variables'!$B$32</definedName>
    <definedName name="Y0" localSheetId="12">'RayImpacts'!$B$21</definedName>
    <definedName name="Y0" localSheetId="10">'VertexCalc'!$B$12</definedName>
    <definedName name="Y0">'Variables'!$B$61</definedName>
    <definedName name="Yax">'Variables'!$B$30</definedName>
    <definedName name="yAxis" localSheetId="10">'VertexCalc'!$J$2:$J$65536</definedName>
    <definedName name="Yaxis">'Variables'!$B$30</definedName>
    <definedName name="Ycol" localSheetId="13">'RayImpactsSyno'!$B$10</definedName>
    <definedName name="Ycol" localSheetId="11">'VerticesSyno'!$B$10</definedName>
    <definedName name="Ycol">'Variables'!$B$58</definedName>
    <definedName name="Ydiff" localSheetId="8">'M3CentCalc'!$J$2:$J$65536</definedName>
    <definedName name="Ydiff" localSheetId="9">'M5CentCalc'!$J$2:$J$65536</definedName>
    <definedName name="Ydiff" localSheetId="3">'Variables'!$B$64</definedName>
    <definedName name="Ydiff">'GutCalc'!$J$2:$J$65536</definedName>
    <definedName name="Ydowl" localSheetId="6">'SurfDef'!$S$2:$S$65536</definedName>
    <definedName name="Ydowl">'Variables'!$B$54</definedName>
    <definedName name="Yfact">'Variables'!#REF!</definedName>
    <definedName name="Ygut" localSheetId="7">'GutCalc'!$G$2:$G$65536</definedName>
    <definedName name="Ygut" localSheetId="12">'RayImpacts'!$G$2:$G$65536</definedName>
    <definedName name="Ygut" localSheetId="13">'RayImpactsSyno'!$I$2:$I$65536</definedName>
    <definedName name="Ygut">'Variables'!$B$18</definedName>
    <definedName name="YM3Cent" localSheetId="8">'M3CentCalc'!$G$2:$G$65536</definedName>
    <definedName name="YM3Cent" localSheetId="9">'M5CentCalc'!$G$2:$G$65536</definedName>
    <definedName name="YM3cent" localSheetId="12">'RayImpacts'!$J$2:$J$65536</definedName>
    <definedName name="YM3cent" localSheetId="13">'RayImpactsSyno'!$L$2:$L$65536</definedName>
    <definedName name="YM3cent">'Variables'!$B$21</definedName>
    <definedName name="YM5Cent" localSheetId="9">'M5CentCalc'!$G$2:$G$65536</definedName>
    <definedName name="YM5cent" localSheetId="12">'RayImpacts'!$M$2:$M$65536</definedName>
    <definedName name="YM5cent" localSheetId="13">'RayImpactsSyno'!$O$2:$O$65536</definedName>
    <definedName name="YM5cent">'Variables'!$B$24</definedName>
    <definedName name="Ymirr" localSheetId="5">'Interfaces'!$H$2:$H$65536</definedName>
    <definedName name="Ymirr" localSheetId="6">'SurfDef'!$G$2:$G$65536</definedName>
    <definedName name="Ymirr" localSheetId="10">'VertexCalc'!$G$2:$G$65536</definedName>
    <definedName name="Ymirr">'Variables'!$B$42</definedName>
    <definedName name="Ynorm" localSheetId="7">'GutCalc'!$U$2:$U$65536</definedName>
    <definedName name="Ynorm" localSheetId="5">'Interfaces'!$K$2:$K$65536</definedName>
    <definedName name="Ynorm" localSheetId="8">'M3CentCalc'!$U$2:$U$65536</definedName>
    <definedName name="Ynorm" localSheetId="9">'M5CentCalc'!$U$2:$U$65536</definedName>
    <definedName name="Ynorm" localSheetId="6">'SurfDef'!$J$2:$J$65536</definedName>
    <definedName name="Ynorm" localSheetId="10">'VertexCalc'!$J$2:$J$65536</definedName>
    <definedName name="yNorm" localSheetId="11">'VerticesSyno'!$O$2:$O$65536</definedName>
    <definedName name="Ynorm">'Variables'!$B$45</definedName>
    <definedName name="Yray" localSheetId="8">'M3CentCalc'!$N$2:$N$65536</definedName>
    <definedName name="Yray" localSheetId="9">'M5CentCalc'!$N$2:$N$65536</definedName>
    <definedName name="Yray" localSheetId="3">'Variables'!$B$68</definedName>
    <definedName name="Yray">'GutCalc'!$N$2:$N$65536</definedName>
    <definedName name="Ysag" localSheetId="5">'Interfaces'!$Q$2:$Q$65536</definedName>
    <definedName name="Ysag" localSheetId="8">'M3CentCalc'!$Z$2:$Z$65536</definedName>
    <definedName name="Ysag" localSheetId="9">'M5CentCalc'!$Z$2:$Z$65536</definedName>
    <definedName name="Ysag" localSheetId="6">'SurfDef'!$P$2:$P$65536</definedName>
    <definedName name="Ysag" localSheetId="10">'VertexCalc'!$N$2:$N$65536</definedName>
    <definedName name="ySag" localSheetId="11">'VerticesSyno'!$U$2:$U$65536</definedName>
    <definedName name="Ysag">'Variables'!$B$39</definedName>
    <definedName name="YsagM">'Variables'!$B$51</definedName>
    <definedName name="Yspig" localSheetId="6">'SurfDef'!$M$2:$M$65536</definedName>
    <definedName name="Yspig">'Variables'!$B$48</definedName>
    <definedName name="Yspire">'GutCalc'!#REF!</definedName>
    <definedName name="Ysyn">'GutCalc'!$G$2:$G$65536</definedName>
    <definedName name="Ytang" localSheetId="10">'VertexCalc'!$Q$2:$Q$65536</definedName>
    <definedName name="yTang" localSheetId="11">'VerticesSyno'!$R$2:$R$65536</definedName>
    <definedName name="Ytang">'Variables'!$B$36</definedName>
    <definedName name="Yvert" localSheetId="11">'VerticesSyno'!$I$2:$I$65536</definedName>
    <definedName name="Yvert">'Variables'!#REF!</definedName>
    <definedName name="Yvertex" localSheetId="10">'VertexCalc'!$G$2:$G$65536</definedName>
    <definedName name="Yvertex">'Variables'!$B$33</definedName>
    <definedName name="Z0" localSheetId="12">'RayImpacts'!$B$22</definedName>
    <definedName name="Z0" localSheetId="10">'VertexCalc'!$B$13</definedName>
    <definedName name="Z0">'Variables'!$B$62</definedName>
    <definedName name="Zax">'Variables'!$B$31</definedName>
    <definedName name="zAxis" localSheetId="10">'VertexCalc'!$K$2:$K$65536</definedName>
    <definedName name="Zaxis">'Variables'!$B$31</definedName>
    <definedName name="Zcol" localSheetId="13">'RayImpactsSyno'!$B$11</definedName>
    <definedName name="Zcol" localSheetId="11">'VerticesSyno'!$B$11</definedName>
    <definedName name="Zcol">'Variables'!$B$59</definedName>
    <definedName name="Zdiff" localSheetId="8">'M3CentCalc'!$K$2:$K$65536</definedName>
    <definedName name="Zdiff" localSheetId="9">'M5CentCalc'!$K$2:$K$65536</definedName>
    <definedName name="Zdiff" localSheetId="3">'Variables'!$B$65</definedName>
    <definedName name="Zdiff">'GutCalc'!$K$2:$K$65536</definedName>
    <definedName name="Zdowl" localSheetId="6">'SurfDef'!$T$2:$T$65536</definedName>
    <definedName name="Zdowl">'Variables'!$B$55</definedName>
    <definedName name="Zfact">'Variables'!#REF!</definedName>
    <definedName name="Zgut" localSheetId="7">'GutCalc'!$H$2:$H$65536</definedName>
    <definedName name="Zgut" localSheetId="12">'RayImpacts'!$H$2:$H$65536</definedName>
    <definedName name="Zgut" localSheetId="13">'RayImpactsSyno'!$J$2:$J$65536</definedName>
    <definedName name="Zgut">'Variables'!$B$19</definedName>
    <definedName name="ZM3Cent" localSheetId="8">'M3CentCalc'!$H$2:$H$65536</definedName>
    <definedName name="ZM3Cent" localSheetId="9">'M5CentCalc'!$H$2:$H$65536</definedName>
    <definedName name="ZM3cent" localSheetId="12">'RayImpacts'!$K$2:$K$65536</definedName>
    <definedName name="ZM3cent" localSheetId="13">'RayImpactsSyno'!$M$2:$M$65536</definedName>
    <definedName name="ZM3cent">'Variables'!$B$22</definedName>
    <definedName name="ZM5Cent" localSheetId="9">'M5CentCalc'!$H$2:$H$65536</definedName>
    <definedName name="ZM5cent" localSheetId="12">'RayImpacts'!$N$2:$N$65536</definedName>
    <definedName name="ZM5cent" localSheetId="13">'RayImpactsSyno'!$P$2:$P$65536</definedName>
    <definedName name="ZM5cent">'Variables'!$B$25</definedName>
    <definedName name="Zmirr" localSheetId="5">'Interfaces'!$I$2:$I$65536</definedName>
    <definedName name="Zmirr" localSheetId="6">'SurfDef'!$H$2:$H$65536</definedName>
    <definedName name="Zmirr" localSheetId="10">'VertexCalc'!$H$2:$H$65536</definedName>
    <definedName name="Zmirr">'Variables'!$B$43</definedName>
    <definedName name="Znorm" localSheetId="7">'GutCalc'!$V$2:$V$65536</definedName>
    <definedName name="Znorm" localSheetId="5">'Interfaces'!$L$2:$L$65536</definedName>
    <definedName name="Znorm" localSheetId="8">'M3CentCalc'!$V$2:$V$65536</definedName>
    <definedName name="Znorm" localSheetId="9">'M5CentCalc'!$V$2:$V$65536</definedName>
    <definedName name="Znorm" localSheetId="6">'SurfDef'!$K$2:$K$65536</definedName>
    <definedName name="Znorm" localSheetId="10">'VertexCalc'!$K$2:$K$65536</definedName>
    <definedName name="zNorm" localSheetId="11">'VerticesSyno'!$P$2:$P$65536</definedName>
    <definedName name="Znorm">'Variables'!$B$46</definedName>
    <definedName name="Zray" localSheetId="8">'M3CentCalc'!$O$2:$O$65536</definedName>
    <definedName name="Zray" localSheetId="9">'M5CentCalc'!$O$2:$O$65536</definedName>
    <definedName name="Zray" localSheetId="3">'Variables'!$B$69</definedName>
    <definedName name="Zray">'GutCalc'!$O$2:$O$65536</definedName>
    <definedName name="Zsag" localSheetId="5">'Interfaces'!$R$2:$R$65536</definedName>
    <definedName name="zSag" localSheetId="8">'M3CentCalc'!$AA$2:$AA$65536</definedName>
    <definedName name="Zsag" localSheetId="9">'M5CentCalc'!$AA$2:$AA$65536</definedName>
    <definedName name="Zsag" localSheetId="6">'SurfDef'!$Q$2:$Q$65536</definedName>
    <definedName name="Zsag" localSheetId="10">'VertexCalc'!$O$2:$O$65536</definedName>
    <definedName name="zSag" localSheetId="11">'VerticesSyno'!$V$2:$V$65536</definedName>
    <definedName name="Zsag">'Variables'!$B$40</definedName>
    <definedName name="ZsagM">'Variables'!$B$52</definedName>
    <definedName name="Zspig" localSheetId="6">'SurfDef'!$N$2:$N$65536</definedName>
    <definedName name="Zspig">'Variables'!$B$49</definedName>
    <definedName name="Zspire">'GutCalc'!#REF!</definedName>
    <definedName name="Zsyn">'GutCalc'!$H$2:$H$65536</definedName>
    <definedName name="Ztang" localSheetId="10">'VertexCalc'!$R$2:$R$65536</definedName>
    <definedName name="zTang" localSheetId="11">'VerticesSyno'!$S$2:$S$65536</definedName>
    <definedName name="Ztang">'Variables'!$B$37</definedName>
    <definedName name="Zvert" localSheetId="11">'VerticesSyno'!$J$2:$J$65536</definedName>
    <definedName name="Zvert">'Variables'!#REF!</definedName>
    <definedName name="Zvertex" localSheetId="10">'VertexCalc'!$H$2:$H$65536</definedName>
    <definedName name="Zvertex">'Variables'!$B$34</definedName>
  </definedNames>
  <calcPr fullCalcOnLoad="1"/>
</workbook>
</file>

<file path=xl/sharedStrings.xml><?xml version="1.0" encoding="utf-8"?>
<sst xmlns="http://schemas.openxmlformats.org/spreadsheetml/2006/main" count="1791" uniqueCount="474">
  <si>
    <t>Name</t>
  </si>
  <si>
    <t>Description</t>
  </si>
  <si>
    <t>CompName</t>
  </si>
  <si>
    <t>Ray</t>
  </si>
  <si>
    <t>Xgut</t>
  </si>
  <si>
    <t>Ygut</t>
  </si>
  <si>
    <t>Zgut</t>
  </si>
  <si>
    <t>Xvert</t>
  </si>
  <si>
    <t>Yvert</t>
  </si>
  <si>
    <t>Zvert</t>
  </si>
  <si>
    <t>Gut ray impact coordinates</t>
  </si>
  <si>
    <t>Xspig</t>
  </si>
  <si>
    <t>Yspig</t>
  </si>
  <si>
    <t>Zspig</t>
  </si>
  <si>
    <t>Xnorm</t>
  </si>
  <si>
    <t>Ynorm</t>
  </si>
  <si>
    <t>Znorm</t>
  </si>
  <si>
    <t>X</t>
  </si>
  <si>
    <t>Xmirr</t>
  </si>
  <si>
    <t>Ymirr</t>
  </si>
  <si>
    <t>Zmirr</t>
  </si>
  <si>
    <t>Xsag</t>
  </si>
  <si>
    <t>Ysag</t>
  </si>
  <si>
    <t>Zsag</t>
  </si>
  <si>
    <t>Xdowl</t>
  </si>
  <si>
    <t>Ydowl</t>
  </si>
  <si>
    <t>Zdowl</t>
  </si>
  <si>
    <t>Mirror normal vector (spigot vector)</t>
  </si>
  <si>
    <t>Point along spigot vector</t>
  </si>
  <si>
    <t>Mirror sagittal vector (pointing towards dowl)</t>
  </si>
  <si>
    <t>Point in direction of dowl</t>
  </si>
  <si>
    <t>XM3cent</t>
  </si>
  <si>
    <t>YM3cent</t>
  </si>
  <si>
    <t>ZM3cent</t>
  </si>
  <si>
    <t>XM5cent</t>
  </si>
  <si>
    <t>YM5cent</t>
  </si>
  <si>
    <t>ZM5cent</t>
  </si>
  <si>
    <t>Ray centred on M3, impact coordinates</t>
  </si>
  <si>
    <t>Ray centred on M5, impact coordinates</t>
  </si>
  <si>
    <t>---</t>
  </si>
  <si>
    <t>ID?</t>
  </si>
  <si>
    <t>The</t>
  </si>
  <si>
    <t>current</t>
  </si>
  <si>
    <t>lens</t>
  </si>
  <si>
    <t>ID</t>
  </si>
  <si>
    <t>is:</t>
  </si>
  <si>
    <t>SPIRE</t>
  </si>
  <si>
    <t>PHOT</t>
  </si>
  <si>
    <t>(BOLPHT154)</t>
  </si>
  <si>
    <t>TIME</t>
  </si>
  <si>
    <t>GRAY</t>
  </si>
  <si>
    <t>SURF</t>
  </si>
  <si>
    <t>Z1</t>
  </si>
  <si>
    <t>GLOBAL</t>
  </si>
  <si>
    <t>RAYTRACE</t>
  </si>
  <si>
    <t>ANALYSIS</t>
  </si>
  <si>
    <t>RAY</t>
  </si>
  <si>
    <t>DATA</t>
  </si>
  <si>
    <t>IN</t>
  </si>
  <si>
    <t>COORDINATE</t>
  </si>
  <si>
    <t>SYSTEM</t>
  </si>
  <si>
    <t>OF</t>
  </si>
  <si>
    <t>SURFACE</t>
  </si>
  <si>
    <t>NO.</t>
  </si>
  <si>
    <t>FRACT.</t>
  </si>
  <si>
    <t>OBJECT</t>
  </si>
  <si>
    <t>HEIGHT</t>
  </si>
  <si>
    <t>HBAR</t>
  </si>
  <si>
    <t>GBAR</t>
  </si>
  <si>
    <t>ENTRANCE</t>
  </si>
  <si>
    <t>PUPIL</t>
  </si>
  <si>
    <t>COORD.</t>
  </si>
  <si>
    <t>YEN</t>
  </si>
  <si>
    <t>XEN</t>
  </si>
  <si>
    <t>COLOR</t>
  </si>
  <si>
    <t>NUMBER</t>
  </si>
  <si>
    <t>VECTORS</t>
  </si>
  <si>
    <t>(X</t>
  </si>
  <si>
    <t>DIR</t>
  </si>
  <si>
    <t>TAN)</t>
  </si>
  <si>
    <t>(Y</t>
  </si>
  <si>
    <t>Y</t>
  </si>
  <si>
    <t>Z</t>
  </si>
  <si>
    <t>ZZ</t>
  </si>
  <si>
    <t>HH</t>
  </si>
  <si>
    <t>__________________________________________________________________________</t>
  </si>
  <si>
    <t>POF</t>
  </si>
  <si>
    <t>C</t>
  </si>
  <si>
    <t>(BOLPHT154B)</t>
  </si>
  <si>
    <t>Z2</t>
  </si>
  <si>
    <t>Z3</t>
  </si>
  <si>
    <t>SurfNum</t>
  </si>
  <si>
    <t>Line</t>
  </si>
  <si>
    <t>Dummy</t>
  </si>
  <si>
    <t>M1</t>
  </si>
  <si>
    <t>M2</t>
  </si>
  <si>
    <t>CFP</t>
  </si>
  <si>
    <t>CM3</t>
  </si>
  <si>
    <t>Line0</t>
  </si>
  <si>
    <t>CM4</t>
  </si>
  <si>
    <t>CM5</t>
  </si>
  <si>
    <t>Xcol</t>
  </si>
  <si>
    <t>c</t>
  </si>
  <si>
    <t>PM6</t>
  </si>
  <si>
    <t>Ycol</t>
  </si>
  <si>
    <t>d</t>
  </si>
  <si>
    <t>PM7</t>
  </si>
  <si>
    <t>Zcol</t>
  </si>
  <si>
    <t>e</t>
  </si>
  <si>
    <t>PM8</t>
  </si>
  <si>
    <t>PCS</t>
  </si>
  <si>
    <t>PM9</t>
  </si>
  <si>
    <t>X0</t>
  </si>
  <si>
    <t>PDIC1</t>
  </si>
  <si>
    <t>Y0</t>
  </si>
  <si>
    <t>PM10</t>
  </si>
  <si>
    <t>Z0</t>
  </si>
  <si>
    <t>PSW</t>
  </si>
  <si>
    <t>PDIC2</t>
  </si>
  <si>
    <t>PMW</t>
  </si>
  <si>
    <t>PM11</t>
  </si>
  <si>
    <t>PLW</t>
  </si>
  <si>
    <t>Telescope</t>
  </si>
  <si>
    <t>Common optics</t>
  </si>
  <si>
    <t>Photometer optics</t>
  </si>
  <si>
    <t>Short wave</t>
  </si>
  <si>
    <t>Medium wave</t>
  </si>
  <si>
    <t>Long wave</t>
  </si>
  <si>
    <t>Ignore</t>
  </si>
  <si>
    <t>SystemPart</t>
  </si>
  <si>
    <t>Tow. tel</t>
  </si>
  <si>
    <t>Tow. Spectro</t>
  </si>
  <si>
    <t>Tow. PAX</t>
  </si>
  <si>
    <t>X=X0-Zsyno</t>
  </si>
  <si>
    <t>Z=Z0+Ysyno</t>
  </si>
  <si>
    <t>Y=Y0+Xsyno</t>
  </si>
  <si>
    <t>Xsyno</t>
  </si>
  <si>
    <t>Ysyno</t>
  </si>
  <si>
    <t>SPIRE coordinates</t>
  </si>
  <si>
    <t>where:</t>
  </si>
  <si>
    <t>Axis directions:</t>
  </si>
  <si>
    <t>Xdiff</t>
  </si>
  <si>
    <t>Ydiff</t>
  </si>
  <si>
    <t>Zdiff</t>
  </si>
  <si>
    <t>DiffMod</t>
  </si>
  <si>
    <t>Xray</t>
  </si>
  <si>
    <t>Yray</t>
  </si>
  <si>
    <t>Zray</t>
  </si>
  <si>
    <t>dXray</t>
  </si>
  <si>
    <t>dYray</t>
  </si>
  <si>
    <t>dZray</t>
  </si>
  <si>
    <t>drayMod</t>
  </si>
  <si>
    <t>Gut</t>
  </si>
  <si>
    <t>gut</t>
  </si>
  <si>
    <t>dRayMod</t>
  </si>
  <si>
    <t>Line of first surface in listing</t>
  </si>
  <si>
    <t>Column of each coordinate in listing</t>
  </si>
  <si>
    <t>Offset of SPIRE origin with respect to Synopsys origin</t>
  </si>
  <si>
    <t>Difference between ray impact coordinates</t>
  </si>
  <si>
    <t>Modulo of difference vector</t>
  </si>
  <si>
    <t>Unit ray vector</t>
  </si>
  <si>
    <t>Difference between unit ray vectors</t>
  </si>
  <si>
    <t>Flag</t>
  </si>
  <si>
    <t>Hole</t>
  </si>
  <si>
    <t>Det</t>
  </si>
  <si>
    <t>M3Cent</t>
  </si>
  <si>
    <t>M5Cent</t>
  </si>
  <si>
    <t>!GRAY</t>
  </si>
  <si>
    <t>SPEC</t>
  </si>
  <si>
    <t>GLOB</t>
  </si>
  <si>
    <t>LENS</t>
  </si>
  <si>
    <t>SPECIFICATIONS:</t>
  </si>
  <si>
    <t>SPECIFICATIONS</t>
  </si>
  <si>
    <t>______________________________________________________________________________</t>
  </si>
  <si>
    <t>DISTANCE</t>
  </si>
  <si>
    <t>(TH0)</t>
  </si>
  <si>
    <t>INFINITE</t>
  </si>
  <si>
    <t>FOCAL</t>
  </si>
  <si>
    <t>LENGTH</t>
  </si>
  <si>
    <t>(FOCL)</t>
  </si>
  <si>
    <t>(YPP0)</t>
  </si>
  <si>
    <t>BACK</t>
  </si>
  <si>
    <t>MARG</t>
  </si>
  <si>
    <t>(YMP1)</t>
  </si>
  <si>
    <t>IMAGE</t>
  </si>
  <si>
    <t>(BACK)</t>
  </si>
  <si>
    <t>ANGLE</t>
  </si>
  <si>
    <t>(UMP0)</t>
  </si>
  <si>
    <t>CELL</t>
  </si>
  <si>
    <t>(TOTL)</t>
  </si>
  <si>
    <t>CHIEF</t>
  </si>
  <si>
    <t>(YPP1)</t>
  </si>
  <si>
    <t>F/NUMBER</t>
  </si>
  <si>
    <t>(FNUM)</t>
  </si>
  <si>
    <t>(UPP0)</t>
  </si>
  <si>
    <t>GAUSSIAN</t>
  </si>
  <si>
    <t>HT(GIHT)</t>
  </si>
  <si>
    <t>ENTR</t>
  </si>
  <si>
    <t>SEMI-APERTURE</t>
  </si>
  <si>
    <t>EXIT</t>
  </si>
  <si>
    <t>LOCATION</t>
  </si>
  <si>
    <t>X-OBJECT</t>
  </si>
  <si>
    <t>(XPP0)</t>
  </si>
  <si>
    <t>X-MARG</t>
  </si>
  <si>
    <t>(XMP1)</t>
  </si>
  <si>
    <t>X-CHIEF</t>
  </si>
  <si>
    <t>HT</t>
  </si>
  <si>
    <t>(XPP1)</t>
  </si>
  <si>
    <t>(VMP0)</t>
  </si>
  <si>
    <t>ANGLE(VPP0)</t>
  </si>
  <si>
    <t>WAVL</t>
  </si>
  <si>
    <t>(uM)</t>
  </si>
  <si>
    <t>WEIGHTS</t>
  </si>
  <si>
    <t>ORDER</t>
  </si>
  <si>
    <t>UNITS</t>
  </si>
  <si>
    <t>MM</t>
  </si>
  <si>
    <t>APERTURE</t>
  </si>
  <si>
    <t>STOP</t>
  </si>
  <si>
    <t>(APS)</t>
  </si>
  <si>
    <t>REAL</t>
  </si>
  <si>
    <t>OPTION</t>
  </si>
  <si>
    <t>ON</t>
  </si>
  <si>
    <t>MODE</t>
  </si>
  <si>
    <t>MAGNIFICATION</t>
  </si>
  <si>
    <t>VIGNETTING</t>
  </si>
  <si>
    <t>(VIG)</t>
  </si>
  <si>
    <t>OFF</t>
  </si>
  <si>
    <t>POLARIZATION</t>
  </si>
  <si>
    <t>AND</t>
  </si>
  <si>
    <t>COATINGS</t>
  </si>
  <si>
    <t>ARE</t>
  </si>
  <si>
    <t>IGNORED.</t>
  </si>
  <si>
    <t>RADIUS</t>
  </si>
  <si>
    <t>THICKNESS</t>
  </si>
  <si>
    <t>MEDIUM</t>
  </si>
  <si>
    <t>INDEX</t>
  </si>
  <si>
    <t>V-NUMBER</t>
  </si>
  <si>
    <t>AIR</t>
  </si>
  <si>
    <t>2A</t>
  </si>
  <si>
    <t>2000.00000P</t>
  </si>
  <si>
    <t>O</t>
  </si>
  <si>
    <t>APS</t>
  </si>
  <si>
    <t>1587.96900P</t>
  </si>
  <si>
    <t>10A</t>
  </si>
  <si>
    <t>11A</t>
  </si>
  <si>
    <t>12A</t>
  </si>
  <si>
    <t>13A</t>
  </si>
  <si>
    <t>0.00000P</t>
  </si>
  <si>
    <t>16A</t>
  </si>
  <si>
    <t>17A</t>
  </si>
  <si>
    <t>18A</t>
  </si>
  <si>
    <t>19A</t>
  </si>
  <si>
    <t>20A</t>
  </si>
  <si>
    <t>21A</t>
  </si>
  <si>
    <t>22A</t>
  </si>
  <si>
    <t>23A</t>
  </si>
  <si>
    <t>24A</t>
  </si>
  <si>
    <t>25A</t>
  </si>
  <si>
    <t>26A</t>
  </si>
  <si>
    <t>27A</t>
  </si>
  <si>
    <t>28A</t>
  </si>
  <si>
    <t>29A</t>
  </si>
  <si>
    <t>30A</t>
  </si>
  <si>
    <t>31A</t>
  </si>
  <si>
    <t>32A</t>
  </si>
  <si>
    <t>33A</t>
  </si>
  <si>
    <t>35A</t>
  </si>
  <si>
    <t>36A</t>
  </si>
  <si>
    <t>37A</t>
  </si>
  <si>
    <t>-50.00000P</t>
  </si>
  <si>
    <t>39A</t>
  </si>
  <si>
    <t>40A</t>
  </si>
  <si>
    <t>50.00000P</t>
  </si>
  <si>
    <t>42A</t>
  </si>
  <si>
    <t>43A</t>
  </si>
  <si>
    <t>-135.00000P</t>
  </si>
  <si>
    <t>44A</t>
  </si>
  <si>
    <t>45A</t>
  </si>
  <si>
    <t>46A</t>
  </si>
  <si>
    <t>47A</t>
  </si>
  <si>
    <t>48A</t>
  </si>
  <si>
    <t>50A</t>
  </si>
  <si>
    <t>85.00000P</t>
  </si>
  <si>
    <t>52A</t>
  </si>
  <si>
    <t>53A</t>
  </si>
  <si>
    <t>-85.00000P</t>
  </si>
  <si>
    <t>55A</t>
  </si>
  <si>
    <t>56A</t>
  </si>
  <si>
    <t>57A</t>
  </si>
  <si>
    <t>58A</t>
  </si>
  <si>
    <t>41.00000P</t>
  </si>
  <si>
    <t>60A</t>
  </si>
  <si>
    <t>61A</t>
  </si>
  <si>
    <t>IMG</t>
  </si>
  <si>
    <t>KEY</t>
  </si>
  <si>
    <t>TO</t>
  </si>
  <si>
    <t>SYMBOLS</t>
  </si>
  <si>
    <t>______________</t>
  </si>
  <si>
    <t>A</t>
  </si>
  <si>
    <t>HAS</t>
  </si>
  <si>
    <t>TILTS</t>
  </si>
  <si>
    <t>DECENTERS</t>
  </si>
  <si>
    <t>B</t>
  </si>
  <si>
    <t>TAG</t>
  </si>
  <si>
    <t>G</t>
  </si>
  <si>
    <t>IS</t>
  </si>
  <si>
    <t>COORDINATES</t>
  </si>
  <si>
    <t>L</t>
  </si>
  <si>
    <t>LOCAL</t>
  </si>
  <si>
    <t>SPECIAL</t>
  </si>
  <si>
    <t>TYPE</t>
  </si>
  <si>
    <t>P</t>
  </si>
  <si>
    <t>ITEM</t>
  </si>
  <si>
    <t>SUBJECT</t>
  </si>
  <si>
    <t>PICKUP</t>
  </si>
  <si>
    <t>S</t>
  </si>
  <si>
    <t>SOLVE</t>
  </si>
  <si>
    <t>--</t>
  </si>
  <si>
    <t>CONIC</t>
  </si>
  <si>
    <t>CONSTANT</t>
  </si>
  <si>
    <t>(CC)</t>
  </si>
  <si>
    <t>SEMI-MAJOR</t>
  </si>
  <si>
    <t>AXIS</t>
  </si>
  <si>
    <t>(b)</t>
  </si>
  <si>
    <t>SEMI-MINOR</t>
  </si>
  <si>
    <t>(a)</t>
  </si>
  <si>
    <t>_______________</t>
  </si>
  <si>
    <t>TORIC</t>
  </si>
  <si>
    <t>RX</t>
  </si>
  <si>
    <t>TILT</t>
  </si>
  <si>
    <t>DECENTER</t>
  </si>
  <si>
    <t>LEFT-HANDED</t>
  </si>
  <si>
    <t>_______________________________________________________________________________</t>
  </si>
  <si>
    <t>ALPHA</t>
  </si>
  <si>
    <t>BETA</t>
  </si>
  <si>
    <t>GAMMA</t>
  </si>
  <si>
    <t>REL</t>
  </si>
  <si>
    <t>TYPES</t>
  </si>
  <si>
    <t>____________________</t>
  </si>
  <si>
    <t>GLB</t>
  </si>
  <si>
    <t>LOC</t>
  </si>
  <si>
    <t>RELATIVE</t>
  </si>
  <si>
    <t>REM</t>
  </si>
  <si>
    <t>REMOTE</t>
  </si>
  <si>
    <t>MESSAGES</t>
  </si>
  <si>
    <t>UNDO</t>
  </si>
  <si>
    <t>TILTS/DECENTERS</t>
  </si>
  <si>
    <t>FROM</t>
  </si>
  <si>
    <t>NOTES</t>
  </si>
  <si>
    <t>Unless</t>
  </si>
  <si>
    <t>noted,</t>
  </si>
  <si>
    <t>Euler</t>
  </si>
  <si>
    <t>angles</t>
  </si>
  <si>
    <t>are</t>
  </si>
  <si>
    <t>taken</t>
  </si>
  <si>
    <t>in</t>
  </si>
  <si>
    <t>the</t>
  </si>
  <si>
    <t>order</t>
  </si>
  <si>
    <t>alpha,</t>
  </si>
  <si>
    <t>beta,</t>
  </si>
  <si>
    <t>gamma</t>
  </si>
  <si>
    <t>xTang</t>
  </si>
  <si>
    <t>Ytang</t>
  </si>
  <si>
    <t>Xtang</t>
  </si>
  <si>
    <t>Ztang</t>
  </si>
  <si>
    <t>XsagM</t>
  </si>
  <si>
    <t>YsagM</t>
  </si>
  <si>
    <t>ZsagM</t>
  </si>
  <si>
    <t>Surface vertex axis direction vector</t>
  </si>
  <si>
    <t>Surface vertex tangential vector</t>
  </si>
  <si>
    <t>Surface vertex sagittal vector</t>
  </si>
  <si>
    <t>aEuler</t>
  </si>
  <si>
    <t>bEuler</t>
  </si>
  <si>
    <t>cEuler</t>
  </si>
  <si>
    <t>Surface orientation Euler angles</t>
  </si>
  <si>
    <t>aCol</t>
  </si>
  <si>
    <t>bCol</t>
  </si>
  <si>
    <t>cCol</t>
  </si>
  <si>
    <t>f</t>
  </si>
  <si>
    <t>g</t>
  </si>
  <si>
    <t>h</t>
  </si>
  <si>
    <t>xNorm</t>
  </si>
  <si>
    <t>yNorm</t>
  </si>
  <si>
    <t>zNorm</t>
  </si>
  <si>
    <t>yTang</t>
  </si>
  <si>
    <t>zTang</t>
  </si>
  <si>
    <t>xSag</t>
  </si>
  <si>
    <t>ySag</t>
  </si>
  <si>
    <t>zSag</t>
  </si>
  <si>
    <t>TangDotNorm</t>
  </si>
  <si>
    <t>SagDotNorm</t>
  </si>
  <si>
    <t>SagDotTan</t>
  </si>
  <si>
    <t>Vertex</t>
  </si>
  <si>
    <t>Xaxis</t>
  </si>
  <si>
    <t>Yaxis</t>
  </si>
  <si>
    <t>Zaxis</t>
  </si>
  <si>
    <t>SpigLength</t>
  </si>
  <si>
    <t>DowlSep</t>
  </si>
  <si>
    <t>Distance to spigot point</t>
  </si>
  <si>
    <t>Distance to dowl point</t>
  </si>
  <si>
    <t>Theta</t>
  </si>
  <si>
    <t>Angle between surface vertex normal and spigot axis</t>
  </si>
  <si>
    <t>1-cos(theta)</t>
  </si>
  <si>
    <t>normDOTsag</t>
  </si>
  <si>
    <t>UpFlag</t>
  </si>
  <si>
    <t>Direction of exiting ray, 1 for +X</t>
  </si>
  <si>
    <t>LeftHandCorr</t>
  </si>
  <si>
    <t>NormDirCorr</t>
  </si>
  <si>
    <t>Factor applied to Zspire to transform LHS to RHS</t>
  </si>
  <si>
    <t>Factor applied to VertexNormal to point it up (+X)</t>
  </si>
  <si>
    <t>Check</t>
  </si>
  <si>
    <t>Mirror surface coordinate</t>
  </si>
  <si>
    <t>Norm</t>
  </si>
  <si>
    <t>Sag</t>
  </si>
  <si>
    <t>Tang</t>
  </si>
  <si>
    <t>SYNO</t>
  </si>
  <si>
    <t>Directions</t>
  </si>
  <si>
    <t>(BOLPHT154C)</t>
  </si>
  <si>
    <t>System identification number</t>
  </si>
  <si>
    <t>Calculations based on identification numbers:</t>
  </si>
  <si>
    <t>Filename</t>
  </si>
  <si>
    <t>Date</t>
  </si>
  <si>
    <t>Comments</t>
  </si>
  <si>
    <t>SPIREconfig01</t>
  </si>
  <si>
    <t>SPIREconfig02</t>
  </si>
  <si>
    <t>Corrected error in jumping from detector back to dichroic. Added dummy for normal on primary. Corrected sign of normals (norm = ray out - ray in).</t>
  </si>
  <si>
    <t>SPIREconfig03</t>
  </si>
  <si>
    <t>Reviewed 'comments' sheet.</t>
  </si>
  <si>
    <t>SPIREconfigPhot03</t>
  </si>
  <si>
    <t>Separate file for Phot and Spec</t>
  </si>
  <si>
    <t>SPIREconfigPhot10</t>
  </si>
  <si>
    <t>Spigot axes calculated. Transformation to IID-B ("MSSL") coordinates.</t>
  </si>
  <si>
    <t>SPIREconfigPhot11</t>
  </si>
  <si>
    <t>SPIREconfigPhot12</t>
  </si>
  <si>
    <t>Corrected Euler calculations, dowls added</t>
  </si>
  <si>
    <t>SPIREconfigPhot13</t>
  </si>
  <si>
    <t>SPIREconfigPhot20</t>
  </si>
  <si>
    <t>Entirely renovated. Error in dowl calculation eliminated.</t>
  </si>
  <si>
    <t>VertexCalc!Zsag</t>
  </si>
  <si>
    <t>VertexCalc!Xsag*COS(Theta)-VertexCalc!Ysag*SIN(Theta)</t>
  </si>
  <si>
    <t>VertexCalc!Xsag*SIN(Theta)+VertexCalc!Ysag*COS(Theta)</t>
  </si>
  <si>
    <t xml:space="preserve">Xsag = </t>
  </si>
  <si>
    <t xml:space="preserve">Ysag = </t>
  </si>
  <si>
    <t xml:space="preserve">Zsag = </t>
  </si>
  <si>
    <t xml:space="preserve">Theta = </t>
  </si>
  <si>
    <t>ACOS((Xnorm*VertexCalc!Xnorm+Ynorm*VertexCalc!Ynorm)</t>
  </si>
  <si>
    <t>/(RACINE(Xnorm^2+Ynorm^2)*RACINE(VertexCalc!Xnorm^2+VertexCalc!Ynorm^2)))</t>
  </si>
  <si>
    <t>*SIGNE(Xnorm*Ynorm))</t>
  </si>
  <si>
    <t xml:space="preserve">Xmirr = </t>
  </si>
  <si>
    <t xml:space="preserve">Ymirr = </t>
  </si>
  <si>
    <t xml:space="preserve">Zmirr = </t>
  </si>
  <si>
    <t xml:space="preserve">Ynorm = </t>
  </si>
  <si>
    <t xml:space="preserve">Znorm = </t>
  </si>
  <si>
    <t xml:space="preserve">Xnorm = </t>
  </si>
  <si>
    <t>VertexCalc!Xnorm*(Interfaces!Xmirr-VertexCalc!Xmirr)</t>
  </si>
  <si>
    <t>VertexCalc!Xsag*(Interfaces!Xmirr-VertexCalc!Xmirr)</t>
  </si>
  <si>
    <t>VertexCalc!Xtang*(Interfaces!Xmirr-VertexCalc!Xmirr)</t>
  </si>
  <si>
    <t>VertexCalc!Xnorm*Interfaces!Xnorm+VertexCalc!Ynorm*Interfaces!Ynorm</t>
  </si>
  <si>
    <t>VertexCalc!Xsag*Interfaces!Xnorm+VertexCalc!Ysag*Interfaces!Ynorm</t>
  </si>
  <si>
    <t>VertexCalc!Xtang*Interfaces!Xnorm+VertexCalc!Ytang*Interfaces!Ynorm</t>
  </si>
  <si>
    <t>SPIREconfigPhot21</t>
  </si>
  <si>
    <t>Improved precision for interfaces</t>
  </si>
  <si>
    <t>Xvertex</t>
  </si>
  <si>
    <t>Yvertex</t>
  </si>
  <si>
    <t>Zvertex</t>
  </si>
  <si>
    <t>Surface vertex coordinates used in VertexCalc</t>
  </si>
  <si>
    <t>NormDir</t>
  </si>
  <si>
    <t>Automatically determined normal direction factor</t>
  </si>
  <si>
    <t>Correct spigot direction (modify automatic sign calculation) and dowl direction (add flag).</t>
  </si>
  <si>
    <t>SPIREconfigPhot22</t>
  </si>
  <si>
    <t>DowlDir</t>
  </si>
  <si>
    <t>Manually entered factor (+/-1) to determine dowl direction (gen tow bench)</t>
  </si>
  <si>
    <t>SPIREconfigPhot23</t>
  </si>
  <si>
    <t>norm and sag vectors in Interfaces sheet has correct directions (towards spigot and towards dowl)</t>
  </si>
</sst>
</file>

<file path=xl/styles.xml><?xml version="1.0" encoding="utf-8"?>
<styleSheet xmlns="http://schemas.openxmlformats.org/spreadsheetml/2006/main">
  <numFmts count="21">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000"/>
    <numFmt numFmtId="165" formatCode="0.000"/>
    <numFmt numFmtId="166" formatCode="0.00000"/>
    <numFmt numFmtId="167" formatCode="0.000000"/>
    <numFmt numFmtId="168" formatCode="0.0000000"/>
    <numFmt numFmtId="169" formatCode="0.00000000"/>
    <numFmt numFmtId="170" formatCode="0.000000000"/>
    <numFmt numFmtId="171" formatCode="0.0000000000"/>
    <numFmt numFmtId="172" formatCode="0.00000000000"/>
    <numFmt numFmtId="173" formatCode="0.000000000000"/>
    <numFmt numFmtId="174" formatCode="0.0000000000000"/>
    <numFmt numFmtId="175" formatCode="0.000E+00"/>
    <numFmt numFmtId="176" formatCode="0.0E+00"/>
  </numFmts>
  <fonts count="6">
    <font>
      <sz val="10"/>
      <name val="Times New Roman"/>
      <family val="0"/>
    </font>
    <font>
      <b/>
      <sz val="10"/>
      <name val="Times New Roman"/>
      <family val="0"/>
    </font>
    <font>
      <i/>
      <sz val="10"/>
      <name val="Times New Roman"/>
      <family val="0"/>
    </font>
    <font>
      <b/>
      <i/>
      <sz val="10"/>
      <name val="Times New Roman"/>
      <family val="0"/>
    </font>
    <font>
      <sz val="10"/>
      <name val="Times"/>
      <family val="0"/>
    </font>
    <font>
      <sz val="14"/>
      <name val="Times New Roman"/>
      <family val="1"/>
    </font>
  </fonts>
  <fills count="2">
    <fill>
      <patternFill/>
    </fill>
    <fill>
      <patternFill patternType="gray125"/>
    </fill>
  </fills>
  <borders count="1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110">
    <xf numFmtId="0" fontId="0" fillId="0" borderId="0" xfId="0" applyAlignment="1">
      <alignment/>
    </xf>
    <xf numFmtId="0" fontId="0" fillId="0" borderId="0" xfId="19" applyFont="1">
      <alignment/>
      <protection/>
    </xf>
    <xf numFmtId="15" fontId="0" fillId="0" borderId="0" xfId="19" applyNumberFormat="1" applyFont="1">
      <alignment/>
      <protection/>
    </xf>
    <xf numFmtId="21" fontId="0" fillId="0" borderId="0" xfId="19" applyNumberFormat="1" applyFont="1">
      <alignment/>
      <protection/>
    </xf>
    <xf numFmtId="11" fontId="0" fillId="0" borderId="0" xfId="19" applyNumberFormat="1" applyFont="1">
      <alignment/>
      <protection/>
    </xf>
    <xf numFmtId="0" fontId="1" fillId="0" borderId="0" xfId="19" applyFont="1">
      <alignment/>
      <protection/>
    </xf>
    <xf numFmtId="0" fontId="1" fillId="0" borderId="0" xfId="19" applyFont="1" applyAlignment="1">
      <alignment horizontal="center"/>
      <protection/>
    </xf>
    <xf numFmtId="164" fontId="1" fillId="0" borderId="0" xfId="19" applyNumberFormat="1" applyFont="1" applyAlignment="1">
      <alignment horizontal="center"/>
      <protection/>
    </xf>
    <xf numFmtId="0" fontId="0" fillId="0" borderId="0" xfId="19" applyFont="1" applyAlignment="1">
      <alignment horizontal="center"/>
      <protection/>
    </xf>
    <xf numFmtId="164" fontId="0" fillId="0" borderId="0" xfId="19" applyNumberFormat="1" applyFont="1" applyAlignment="1">
      <alignment horizontal="center"/>
      <protection/>
    </xf>
    <xf numFmtId="0" fontId="0" fillId="0" borderId="1" xfId="19" applyFont="1" applyBorder="1">
      <alignment/>
      <protection/>
    </xf>
    <xf numFmtId="0" fontId="0" fillId="0" borderId="2" xfId="19" applyFont="1" applyBorder="1">
      <alignment/>
      <protection/>
    </xf>
    <xf numFmtId="0" fontId="0" fillId="0" borderId="2" xfId="19" applyFont="1" applyBorder="1" applyAlignment="1">
      <alignment horizontal="center"/>
      <protection/>
    </xf>
    <xf numFmtId="164" fontId="0" fillId="0" borderId="2" xfId="19" applyNumberFormat="1" applyFont="1" applyBorder="1" applyAlignment="1">
      <alignment horizontal="center"/>
      <protection/>
    </xf>
    <xf numFmtId="164" fontId="0" fillId="0" borderId="3" xfId="19" applyNumberFormat="1" applyFont="1" applyBorder="1" applyAlignment="1">
      <alignment horizontal="center"/>
      <protection/>
    </xf>
    <xf numFmtId="0" fontId="0" fillId="0" borderId="4" xfId="19" applyFont="1" applyBorder="1">
      <alignment/>
      <protection/>
    </xf>
    <xf numFmtId="0" fontId="0" fillId="0" borderId="5" xfId="19" applyFont="1" applyBorder="1">
      <alignment/>
      <protection/>
    </xf>
    <xf numFmtId="0" fontId="0" fillId="0" borderId="5" xfId="19" applyFont="1" applyBorder="1" applyAlignment="1">
      <alignment horizontal="center"/>
      <protection/>
    </xf>
    <xf numFmtId="164" fontId="0" fillId="0" borderId="5" xfId="19" applyNumberFormat="1" applyFont="1" applyBorder="1" applyAlignment="1">
      <alignment horizontal="center"/>
      <protection/>
    </xf>
    <xf numFmtId="164" fontId="0" fillId="0" borderId="6" xfId="19" applyNumberFormat="1" applyFont="1" applyBorder="1" applyAlignment="1">
      <alignment horizontal="center"/>
      <protection/>
    </xf>
    <xf numFmtId="0" fontId="0" fillId="0" borderId="7" xfId="19" applyFont="1" applyBorder="1">
      <alignment/>
      <protection/>
    </xf>
    <xf numFmtId="0" fontId="0" fillId="0" borderId="0" xfId="19" applyFont="1" applyBorder="1">
      <alignment/>
      <protection/>
    </xf>
    <xf numFmtId="0" fontId="0" fillId="0" borderId="0" xfId="19" applyFont="1" applyBorder="1" applyAlignment="1">
      <alignment horizontal="center"/>
      <protection/>
    </xf>
    <xf numFmtId="164" fontId="0" fillId="0" borderId="0" xfId="19" applyNumberFormat="1" applyFont="1" applyBorder="1" applyAlignment="1">
      <alignment horizontal="center"/>
      <protection/>
    </xf>
    <xf numFmtId="164" fontId="0" fillId="0" borderId="8" xfId="19" applyNumberFormat="1" applyFont="1" applyBorder="1" applyAlignment="1">
      <alignment horizontal="center"/>
      <protection/>
    </xf>
    <xf numFmtId="0" fontId="0" fillId="0" borderId="0" xfId="19" applyFont="1" applyAlignment="1">
      <alignment horizontal="left"/>
      <protection/>
    </xf>
    <xf numFmtId="0" fontId="2" fillId="0" borderId="0" xfId="19" applyFont="1">
      <alignment/>
      <protection/>
    </xf>
    <xf numFmtId="0" fontId="0" fillId="0" borderId="9" xfId="19" applyFont="1" applyBorder="1">
      <alignment/>
      <protection/>
    </xf>
    <xf numFmtId="0" fontId="0" fillId="0" borderId="3" xfId="19" applyFont="1" applyBorder="1" applyAlignment="1">
      <alignment horizontal="center"/>
      <protection/>
    </xf>
    <xf numFmtId="0" fontId="0" fillId="0" borderId="6" xfId="19" applyFont="1" applyBorder="1" applyAlignment="1">
      <alignment horizontal="center"/>
      <protection/>
    </xf>
    <xf numFmtId="0" fontId="0" fillId="0" borderId="8" xfId="19" applyFont="1" applyBorder="1" applyAlignment="1">
      <alignment horizontal="center"/>
      <protection/>
    </xf>
    <xf numFmtId="0" fontId="1" fillId="0" borderId="0" xfId="19" applyFont="1" applyBorder="1">
      <alignment/>
      <protection/>
    </xf>
    <xf numFmtId="0" fontId="1" fillId="0" borderId="0" xfId="19" applyFont="1" applyBorder="1" applyAlignment="1">
      <alignment horizontal="center"/>
      <protection/>
    </xf>
    <xf numFmtId="164" fontId="1" fillId="0" borderId="0" xfId="19" applyNumberFormat="1" applyFont="1" applyBorder="1" applyAlignment="1">
      <alignment horizontal="center"/>
      <protection/>
    </xf>
    <xf numFmtId="0" fontId="0" fillId="0" borderId="0" xfId="19" applyFont="1" applyBorder="1" applyAlignment="1">
      <alignment horizontal="left"/>
      <protection/>
    </xf>
    <xf numFmtId="0" fontId="2" fillId="0" borderId="0" xfId="19" applyFont="1" applyBorder="1">
      <alignment/>
      <protection/>
    </xf>
    <xf numFmtId="165" fontId="0" fillId="0" borderId="0" xfId="19" applyNumberFormat="1" applyFont="1" applyAlignment="1">
      <alignment horizontal="center"/>
      <protection/>
    </xf>
    <xf numFmtId="165" fontId="2" fillId="0" borderId="0" xfId="19" applyNumberFormat="1" applyFont="1" applyAlignment="1">
      <alignment horizontal="center"/>
      <protection/>
    </xf>
    <xf numFmtId="165" fontId="1" fillId="0" borderId="0" xfId="19" applyNumberFormat="1" applyFont="1" applyAlignment="1">
      <alignment horizontal="center"/>
      <protection/>
    </xf>
    <xf numFmtId="176" fontId="1" fillId="0" borderId="0" xfId="19" applyNumberFormat="1" applyFont="1" applyAlignment="1">
      <alignment horizontal="center"/>
      <protection/>
    </xf>
    <xf numFmtId="176" fontId="0" fillId="0" borderId="0" xfId="19" applyNumberFormat="1" applyFont="1" applyAlignment="1">
      <alignment horizontal="center"/>
      <protection/>
    </xf>
    <xf numFmtId="176" fontId="0" fillId="0" borderId="0" xfId="19" applyNumberFormat="1" applyFont="1">
      <alignment/>
      <protection/>
    </xf>
    <xf numFmtId="0" fontId="1" fillId="0" borderId="7" xfId="19" applyFont="1" applyBorder="1">
      <alignment/>
      <protection/>
    </xf>
    <xf numFmtId="0" fontId="1" fillId="0" borderId="4" xfId="19" applyFont="1" applyBorder="1">
      <alignment/>
      <protection/>
    </xf>
    <xf numFmtId="0" fontId="1" fillId="0" borderId="5" xfId="19" applyFont="1" applyBorder="1">
      <alignment/>
      <protection/>
    </xf>
    <xf numFmtId="164" fontId="1" fillId="0" borderId="5" xfId="19" applyNumberFormat="1" applyFont="1" applyBorder="1" applyAlignment="1">
      <alignment horizontal="center"/>
      <protection/>
    </xf>
    <xf numFmtId="0" fontId="1" fillId="0" borderId="5" xfId="19" applyFont="1" applyBorder="1" applyAlignment="1">
      <alignment horizontal="center"/>
      <protection/>
    </xf>
    <xf numFmtId="165" fontId="1" fillId="0" borderId="1" xfId="19" applyNumberFormat="1" applyFont="1" applyBorder="1" applyAlignment="1">
      <alignment horizontal="center"/>
      <protection/>
    </xf>
    <xf numFmtId="165" fontId="1" fillId="0" borderId="2" xfId="19" applyNumberFormat="1" applyFont="1" applyBorder="1" applyAlignment="1">
      <alignment horizontal="center"/>
      <protection/>
    </xf>
    <xf numFmtId="165" fontId="1" fillId="0" borderId="3" xfId="19" applyNumberFormat="1" applyFont="1" applyBorder="1" applyAlignment="1">
      <alignment horizontal="center"/>
      <protection/>
    </xf>
    <xf numFmtId="165" fontId="0" fillId="0" borderId="7" xfId="19" applyNumberFormat="1" applyFont="1" applyBorder="1" applyAlignment="1">
      <alignment horizontal="center"/>
      <protection/>
    </xf>
    <xf numFmtId="165" fontId="0" fillId="0" borderId="0" xfId="19" applyNumberFormat="1" applyFont="1" applyBorder="1" applyAlignment="1">
      <alignment horizontal="center"/>
      <protection/>
    </xf>
    <xf numFmtId="165" fontId="0" fillId="0" borderId="8" xfId="19" applyNumberFormat="1" applyFont="1" applyBorder="1" applyAlignment="1">
      <alignment horizontal="center"/>
      <protection/>
    </xf>
    <xf numFmtId="165" fontId="0" fillId="0" borderId="1" xfId="19" applyNumberFormat="1" applyFont="1" applyBorder="1" applyAlignment="1">
      <alignment horizontal="center"/>
      <protection/>
    </xf>
    <xf numFmtId="165" fontId="0" fillId="0" borderId="2" xfId="19" applyNumberFormat="1" applyFont="1" applyBorder="1" applyAlignment="1">
      <alignment horizontal="center"/>
      <protection/>
    </xf>
    <xf numFmtId="165" fontId="0" fillId="0" borderId="3" xfId="19" applyNumberFormat="1" applyFont="1" applyBorder="1" applyAlignment="1">
      <alignment horizontal="center"/>
      <protection/>
    </xf>
    <xf numFmtId="165" fontId="0" fillId="0" borderId="4" xfId="19" applyNumberFormat="1" applyFont="1" applyBorder="1" applyAlignment="1">
      <alignment horizontal="center"/>
      <protection/>
    </xf>
    <xf numFmtId="165" fontId="0" fillId="0" borderId="5" xfId="19" applyNumberFormat="1" applyFont="1" applyBorder="1" applyAlignment="1">
      <alignment horizontal="center"/>
      <protection/>
    </xf>
    <xf numFmtId="165" fontId="0" fillId="0" borderId="6" xfId="19" applyNumberFormat="1" applyFont="1" applyBorder="1" applyAlignment="1">
      <alignment horizontal="center"/>
      <protection/>
    </xf>
    <xf numFmtId="165" fontId="1" fillId="0" borderId="0" xfId="19" applyNumberFormat="1" applyFont="1">
      <alignment/>
      <protection/>
    </xf>
    <xf numFmtId="165" fontId="1" fillId="0" borderId="0" xfId="19" applyNumberFormat="1" applyFont="1" applyBorder="1" applyAlignment="1">
      <alignment horizontal="center"/>
      <protection/>
    </xf>
    <xf numFmtId="165" fontId="0" fillId="0" borderId="0" xfId="19" applyNumberFormat="1" applyFont="1">
      <alignment/>
      <protection/>
    </xf>
    <xf numFmtId="165" fontId="0" fillId="0" borderId="1" xfId="19" applyNumberFormat="1" applyFont="1" applyBorder="1">
      <alignment/>
      <protection/>
    </xf>
    <xf numFmtId="165" fontId="0" fillId="0" borderId="2" xfId="19" applyNumberFormat="1" applyFont="1" applyBorder="1">
      <alignment/>
      <protection/>
    </xf>
    <xf numFmtId="165" fontId="0" fillId="0" borderId="4" xfId="19" applyNumberFormat="1" applyFont="1" applyBorder="1">
      <alignment/>
      <protection/>
    </xf>
    <xf numFmtId="165" fontId="0" fillId="0" borderId="5" xfId="19" applyNumberFormat="1" applyFont="1" applyBorder="1">
      <alignment/>
      <protection/>
    </xf>
    <xf numFmtId="165" fontId="0" fillId="0" borderId="9" xfId="19" applyNumberFormat="1" applyFont="1" applyBorder="1">
      <alignment/>
      <protection/>
    </xf>
    <xf numFmtId="165" fontId="0" fillId="0" borderId="7" xfId="19" applyNumberFormat="1" applyFont="1" applyBorder="1">
      <alignment/>
      <protection/>
    </xf>
    <xf numFmtId="165" fontId="0" fillId="0" borderId="0" xfId="19" applyNumberFormat="1" applyFont="1" applyBorder="1">
      <alignment/>
      <protection/>
    </xf>
    <xf numFmtId="165" fontId="2" fillId="0" borderId="0" xfId="19" applyNumberFormat="1" applyFont="1">
      <alignment/>
      <protection/>
    </xf>
    <xf numFmtId="176" fontId="0" fillId="0" borderId="2" xfId="19" applyNumberFormat="1" applyFont="1" applyBorder="1" applyAlignment="1">
      <alignment horizontal="center"/>
      <protection/>
    </xf>
    <xf numFmtId="176" fontId="0" fillId="0" borderId="5" xfId="19" applyNumberFormat="1" applyFont="1" applyBorder="1" applyAlignment="1">
      <alignment horizontal="center"/>
      <protection/>
    </xf>
    <xf numFmtId="176" fontId="1" fillId="0" borderId="0" xfId="19" applyNumberFormat="1" applyFont="1" applyBorder="1" applyAlignment="1">
      <alignment horizontal="center"/>
      <protection/>
    </xf>
    <xf numFmtId="176" fontId="0" fillId="0" borderId="0" xfId="19" applyNumberFormat="1" applyFont="1" applyBorder="1" applyAlignment="1">
      <alignment horizontal="center"/>
      <protection/>
    </xf>
    <xf numFmtId="165" fontId="1" fillId="0" borderId="5" xfId="19" applyNumberFormat="1" applyFont="1" applyBorder="1" applyAlignment="1">
      <alignment horizontal="center"/>
      <protection/>
    </xf>
    <xf numFmtId="176" fontId="1" fillId="0" borderId="5" xfId="19" applyNumberFormat="1" applyFont="1" applyBorder="1" applyAlignment="1">
      <alignment horizontal="center"/>
      <protection/>
    </xf>
    <xf numFmtId="165" fontId="1" fillId="0" borderId="6" xfId="19" applyNumberFormat="1" applyFont="1" applyBorder="1" applyAlignment="1">
      <alignment horizontal="center"/>
      <protection/>
    </xf>
    <xf numFmtId="165" fontId="2" fillId="0" borderId="2" xfId="19" applyNumberFormat="1" applyFont="1" applyBorder="1" applyAlignment="1">
      <alignment horizontal="center"/>
      <protection/>
    </xf>
    <xf numFmtId="165" fontId="2" fillId="0" borderId="3" xfId="19" applyNumberFormat="1" applyFont="1" applyBorder="1" applyAlignment="1">
      <alignment horizontal="center"/>
      <protection/>
    </xf>
    <xf numFmtId="165" fontId="2" fillId="0" borderId="5" xfId="19" applyNumberFormat="1" applyFont="1" applyBorder="1" applyAlignment="1">
      <alignment horizontal="center"/>
      <protection/>
    </xf>
    <xf numFmtId="165" fontId="2" fillId="0" borderId="6" xfId="19" applyNumberFormat="1" applyFont="1" applyBorder="1" applyAlignment="1">
      <alignment horizontal="center"/>
      <protection/>
    </xf>
    <xf numFmtId="165" fontId="2" fillId="0" borderId="0" xfId="19" applyNumberFormat="1" applyFont="1" applyBorder="1" applyAlignment="1">
      <alignment horizontal="center"/>
      <protection/>
    </xf>
    <xf numFmtId="165" fontId="2" fillId="0" borderId="8" xfId="19" applyNumberFormat="1" applyFont="1" applyBorder="1" applyAlignment="1">
      <alignment horizontal="center"/>
      <protection/>
    </xf>
    <xf numFmtId="0" fontId="1" fillId="0" borderId="0" xfId="19" applyFont="1" applyAlignment="1">
      <alignment vertical="top"/>
      <protection/>
    </xf>
    <xf numFmtId="0" fontId="1" fillId="0" borderId="0" xfId="19" applyFont="1" applyAlignment="1">
      <alignment horizontal="left" vertical="top"/>
      <protection/>
    </xf>
    <xf numFmtId="49" fontId="1" fillId="0" borderId="0" xfId="19" applyNumberFormat="1" applyFont="1" applyAlignment="1">
      <alignment wrapText="1"/>
      <protection/>
    </xf>
    <xf numFmtId="0" fontId="0" fillId="0" borderId="0" xfId="19" applyFont="1" applyAlignment="1">
      <alignment vertical="top"/>
      <protection/>
    </xf>
    <xf numFmtId="0" fontId="0" fillId="0" borderId="0" xfId="19" applyFont="1" applyAlignment="1">
      <alignment horizontal="left" vertical="top"/>
      <protection/>
    </xf>
    <xf numFmtId="49" fontId="0" fillId="0" borderId="0" xfId="19" applyNumberFormat="1" applyFont="1" applyAlignment="1">
      <alignment wrapText="1"/>
      <protection/>
    </xf>
    <xf numFmtId="0" fontId="0" fillId="0" borderId="0" xfId="0" applyAlignment="1">
      <alignment horizontal="right"/>
    </xf>
    <xf numFmtId="165" fontId="0" fillId="0" borderId="0" xfId="19" applyNumberFormat="1" applyFont="1" applyBorder="1" applyAlignment="1">
      <alignment horizontal="left"/>
      <protection/>
    </xf>
    <xf numFmtId="165" fontId="1" fillId="0" borderId="8" xfId="19" applyNumberFormat="1" applyFont="1" applyBorder="1" applyAlignment="1">
      <alignment horizontal="center"/>
      <protection/>
    </xf>
    <xf numFmtId="0" fontId="0" fillId="0" borderId="0" xfId="0" applyBorder="1" applyAlignment="1">
      <alignment/>
    </xf>
    <xf numFmtId="167" fontId="1" fillId="0" borderId="1" xfId="19" applyNumberFormat="1" applyFont="1" applyBorder="1" applyAlignment="1">
      <alignment horizontal="center"/>
      <protection/>
    </xf>
    <xf numFmtId="167" fontId="1" fillId="0" borderId="2" xfId="19" applyNumberFormat="1" applyFont="1" applyBorder="1" applyAlignment="1">
      <alignment horizontal="center"/>
      <protection/>
    </xf>
    <xf numFmtId="167" fontId="1" fillId="0" borderId="3" xfId="19" applyNumberFormat="1" applyFont="1" applyBorder="1" applyAlignment="1">
      <alignment horizontal="center"/>
      <protection/>
    </xf>
    <xf numFmtId="167" fontId="1" fillId="0" borderId="0" xfId="19" applyNumberFormat="1" applyFont="1" applyAlignment="1">
      <alignment horizontal="center"/>
      <protection/>
    </xf>
    <xf numFmtId="167" fontId="0" fillId="0" borderId="7" xfId="19" applyNumberFormat="1" applyFont="1" applyBorder="1" applyAlignment="1">
      <alignment horizontal="center"/>
      <protection/>
    </xf>
    <xf numFmtId="167" fontId="0" fillId="0" borderId="0" xfId="19" applyNumberFormat="1" applyFont="1" applyBorder="1" applyAlignment="1">
      <alignment horizontal="center"/>
      <protection/>
    </xf>
    <xf numFmtId="167" fontId="0" fillId="0" borderId="8" xfId="19" applyNumberFormat="1" applyFont="1" applyBorder="1" applyAlignment="1">
      <alignment horizontal="center"/>
      <protection/>
    </xf>
    <xf numFmtId="167" fontId="0" fillId="0" borderId="0" xfId="19" applyNumberFormat="1" applyFont="1" applyAlignment="1">
      <alignment horizontal="center"/>
      <protection/>
    </xf>
    <xf numFmtId="167" fontId="0" fillId="0" borderId="1" xfId="19" applyNumberFormat="1" applyFont="1" applyBorder="1" applyAlignment="1">
      <alignment horizontal="center"/>
      <protection/>
    </xf>
    <xf numFmtId="167" fontId="0" fillId="0" borderId="2" xfId="19" applyNumberFormat="1" applyFont="1" applyBorder="1" applyAlignment="1">
      <alignment horizontal="center"/>
      <protection/>
    </xf>
    <xf numFmtId="167" fontId="0" fillId="0" borderId="3" xfId="19" applyNumberFormat="1" applyFont="1" applyBorder="1" applyAlignment="1">
      <alignment horizontal="center"/>
      <protection/>
    </xf>
    <xf numFmtId="167" fontId="0" fillId="0" borderId="4" xfId="19" applyNumberFormat="1" applyFont="1" applyBorder="1" applyAlignment="1">
      <alignment horizontal="center"/>
      <protection/>
    </xf>
    <xf numFmtId="167" fontId="0" fillId="0" borderId="5" xfId="19" applyNumberFormat="1" applyFont="1" applyBorder="1" applyAlignment="1">
      <alignment horizontal="center"/>
      <protection/>
    </xf>
    <xf numFmtId="167" fontId="0" fillId="0" borderId="6" xfId="19" applyNumberFormat="1" applyFont="1" applyBorder="1" applyAlignment="1">
      <alignment horizontal="center"/>
      <protection/>
    </xf>
    <xf numFmtId="167" fontId="1" fillId="0" borderId="0" xfId="19" applyNumberFormat="1" applyFont="1" applyBorder="1" applyAlignment="1">
      <alignment horizontal="center"/>
      <protection/>
    </xf>
    <xf numFmtId="167" fontId="1" fillId="0" borderId="0" xfId="19" applyNumberFormat="1" applyFont="1">
      <alignment/>
      <protection/>
    </xf>
    <xf numFmtId="167" fontId="0" fillId="0" borderId="0" xfId="19" applyNumberFormat="1" applyFont="1">
      <alignment/>
      <protection/>
    </xf>
  </cellXfs>
  <cellStyles count="7">
    <cellStyle name="Normal" xfId="0"/>
    <cellStyle name="Comma" xfId="15"/>
    <cellStyle name="Comma [0]" xfId="16"/>
    <cellStyle name="Currency" xfId="17"/>
    <cellStyle name="Currency [0]" xfId="18"/>
    <cellStyle name="Normal_Feuil1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31</xdr:row>
      <xdr:rowOff>95250</xdr:rowOff>
    </xdr:from>
    <xdr:to>
      <xdr:col>6</xdr:col>
      <xdr:colOff>323850</xdr:colOff>
      <xdr:row>57</xdr:row>
      <xdr:rowOff>38100</xdr:rowOff>
    </xdr:to>
    <xdr:sp>
      <xdr:nvSpPr>
        <xdr:cNvPr id="1" name="TextBox 1"/>
        <xdr:cNvSpPr txBox="1">
          <a:spLocks noChangeArrowheads="1"/>
        </xdr:cNvSpPr>
      </xdr:nvSpPr>
      <xdr:spPr>
        <a:xfrm>
          <a:off x="581025" y="5114925"/>
          <a:ext cx="3857625" cy="415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Contents:
</a:t>
          </a:r>
          <a:r>
            <a:rPr lang="en-US" cap="none" sz="1000" b="0" i="0" u="none" baseline="0">
              <a:latin typeface="Times New Roman"/>
              <a:ea typeface="Times New Roman"/>
              <a:cs typeface="Times New Roman"/>
            </a:rPr>
            <a:t>
The file contains the following spreadsheets:
</a:t>
          </a:r>
          <a:r>
            <a:rPr lang="en-US" cap="none" sz="1000" b="1" i="0" u="none" baseline="0">
              <a:latin typeface="Times New Roman"/>
              <a:ea typeface="Times New Roman"/>
              <a:cs typeface="Times New Roman"/>
            </a:rPr>
            <a:t>Introduction:</a:t>
          </a:r>
          <a:r>
            <a:rPr lang="en-US" cap="none" sz="1000" b="0" i="0" u="none" baseline="0">
              <a:latin typeface="Times New Roman"/>
              <a:ea typeface="Times New Roman"/>
              <a:cs typeface="Times New Roman"/>
            </a:rPr>
            <a:t> This sheet.
</a:t>
          </a:r>
          <a:r>
            <a:rPr lang="en-US" cap="none" sz="1000" b="1" i="0" u="none" baseline="0">
              <a:latin typeface="Times New Roman"/>
              <a:ea typeface="Times New Roman"/>
              <a:cs typeface="Times New Roman"/>
            </a:rPr>
            <a:t>History: </a:t>
          </a:r>
          <a:r>
            <a:rPr lang="en-US" cap="none" sz="1000" b="0" i="0" u="none" baseline="0">
              <a:latin typeface="Times New Roman"/>
              <a:ea typeface="Times New Roman"/>
              <a:cs typeface="Times New Roman"/>
            </a:rPr>
            <a:t>Evolution history of the file
</a:t>
          </a:r>
          <a:r>
            <a:rPr lang="en-US" cap="none" sz="1000" b="1" i="0" u="none" baseline="0">
              <a:latin typeface="Times New Roman"/>
              <a:ea typeface="Times New Roman"/>
              <a:cs typeface="Times New Roman"/>
            </a:rPr>
            <a:t>Theory:</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Variables:</a:t>
          </a:r>
          <a:r>
            <a:rPr lang="en-US" cap="none" sz="1000" b="0" i="0" u="none" baseline="0">
              <a:latin typeface="Times New Roman"/>
              <a:ea typeface="Times New Roman"/>
              <a:cs typeface="Times New Roman"/>
            </a:rPr>
            <a:t> List of variables
</a:t>
          </a:r>
          <a:r>
            <a:rPr lang="en-US" cap="none" sz="1000" b="0" i="1" u="none" baseline="0">
              <a:latin typeface="Times New Roman"/>
              <a:ea typeface="Times New Roman"/>
              <a:cs typeface="Times New Roman"/>
            </a:rPr>
            <a:t>Final results:</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GutRayImpacts: </a:t>
          </a:r>
          <a:r>
            <a:rPr lang="en-US" cap="none" sz="1000" b="0" i="0" u="none" baseline="0">
              <a:latin typeface="Times New Roman"/>
              <a:ea typeface="Times New Roman"/>
              <a:cs typeface="Times New Roman"/>
            </a:rPr>
            <a:t>Coordinates of gut ray impacts on each surface
</a:t>
          </a:r>
          <a:r>
            <a:rPr lang="en-US" cap="none" sz="1000" b="1" i="0" u="none" baseline="0">
              <a:latin typeface="Times New Roman"/>
              <a:ea typeface="Times New Roman"/>
              <a:cs typeface="Times New Roman"/>
            </a:rPr>
            <a:t>Interfaces:</a:t>
          </a:r>
          <a:r>
            <a:rPr lang="en-US" cap="none" sz="1000" b="0" i="0" u="none" baseline="0">
              <a:latin typeface="Times New Roman"/>
              <a:ea typeface="Times New Roman"/>
              <a:cs typeface="Times New Roman"/>
            </a:rPr>
            <a:t> Coordinztes defining mirror interfaces in global coordinates</a:t>
          </a:r>
          <a:r>
            <a:rPr lang="en-US" cap="none" sz="1000" b="1" i="0" u="none" baseline="0">
              <a:latin typeface="Times New Roman"/>
              <a:ea typeface="Times New Roman"/>
              <a:cs typeface="Times New Roman"/>
            </a:rPr>
            <a:t>
SurfDef:</a:t>
          </a:r>
          <a:r>
            <a:rPr lang="en-US" cap="none" sz="1000" b="0" i="0" u="none" baseline="0">
              <a:latin typeface="Times New Roman"/>
              <a:ea typeface="Times New Roman"/>
              <a:cs typeface="Times New Roman"/>
            </a:rPr>
            <a:t> Coordinztes defining mirror interfaces in local coordinates
</a:t>
          </a:r>
          <a:r>
            <a:rPr lang="en-US" cap="none" sz="1000" b="0" i="1" u="none" baseline="0">
              <a:latin typeface="Times New Roman"/>
              <a:ea typeface="Times New Roman"/>
              <a:cs typeface="Times New Roman"/>
            </a:rPr>
            <a:t>Intermediate calculations:</a:t>
          </a:r>
          <a:r>
            <a:rPr lang="en-US" cap="none" sz="1000" b="1" i="0" u="none" baseline="0">
              <a:latin typeface="Times New Roman"/>
              <a:ea typeface="Times New Roman"/>
              <a:cs typeface="Times New Roman"/>
            </a:rPr>
            <a:t>
GutCalc:</a:t>
          </a:r>
          <a:r>
            <a:rPr lang="en-US" cap="none" sz="1000" b="0" i="0" u="none" baseline="0">
              <a:latin typeface="Times New Roman"/>
              <a:ea typeface="Times New Roman"/>
              <a:cs typeface="Times New Roman"/>
            </a:rPr>
            <a:t> Calculating surface normal vectors at gut ray impacts</a:t>
          </a:r>
          <a:r>
            <a:rPr lang="en-US" cap="none" sz="1000" b="1" i="0" u="none" baseline="0">
              <a:latin typeface="Times New Roman"/>
              <a:ea typeface="Times New Roman"/>
              <a:cs typeface="Times New Roman"/>
            </a:rPr>
            <a:t>
M3CentCalc: </a:t>
          </a:r>
          <a:r>
            <a:rPr lang="en-US" cap="none" sz="1000" b="0" i="0" u="none" baseline="0">
              <a:latin typeface="Times New Roman"/>
              <a:ea typeface="Times New Roman"/>
              <a:cs typeface="Times New Roman"/>
            </a:rPr>
            <a:t>Calculating surface normal vectors at centre of M3</a:t>
          </a:r>
          <a:r>
            <a:rPr lang="en-US" cap="none" sz="1000" b="1" i="0" u="none" baseline="0">
              <a:latin typeface="Times New Roman"/>
              <a:ea typeface="Times New Roman"/>
              <a:cs typeface="Times New Roman"/>
            </a:rPr>
            <a:t>
M5CentCalc: </a:t>
          </a:r>
          <a:r>
            <a:rPr lang="en-US" cap="none" sz="1000" b="0" i="0" u="none" baseline="0">
              <a:latin typeface="Times New Roman"/>
              <a:ea typeface="Times New Roman"/>
              <a:cs typeface="Times New Roman"/>
            </a:rPr>
            <a:t>Calculating surface normal vectors at centre of M5</a:t>
          </a:r>
          <a:r>
            <a:rPr lang="en-US" cap="none" sz="1000" b="1" i="0" u="none" baseline="0">
              <a:latin typeface="Times New Roman"/>
              <a:ea typeface="Times New Roman"/>
              <a:cs typeface="Times New Roman"/>
            </a:rPr>
            <a:t>
VertexCalc: </a:t>
          </a:r>
          <a:r>
            <a:rPr lang="en-US" cap="none" sz="1000" b="0" i="0" u="none" baseline="0">
              <a:latin typeface="Times New Roman"/>
              <a:ea typeface="Times New Roman"/>
              <a:cs typeface="Times New Roman"/>
            </a:rPr>
            <a:t>Transform vertex data into instrument coordinates</a:t>
          </a:r>
          <a:r>
            <a:rPr lang="en-US" cap="none" sz="1000" b="1" i="0" u="none" baseline="0">
              <a:latin typeface="Times New Roman"/>
              <a:ea typeface="Times New Roman"/>
              <a:cs typeface="Times New Roman"/>
            </a:rPr>
            <a:t>
VerticesSyno: </a:t>
          </a:r>
          <a:r>
            <a:rPr lang="en-US" cap="none" sz="1000" b="0" i="0" u="none" baseline="0">
              <a:latin typeface="Times New Roman"/>
              <a:ea typeface="Times New Roman"/>
              <a:cs typeface="Times New Roman"/>
            </a:rPr>
            <a:t>Read vertex data from SYNO output and calculate local axes</a:t>
          </a:r>
          <a:r>
            <a:rPr lang="en-US" cap="none" sz="1000" b="1" i="0" u="none" baseline="0">
              <a:latin typeface="Times New Roman"/>
              <a:ea typeface="Times New Roman"/>
              <a:cs typeface="Times New Roman"/>
            </a:rPr>
            <a:t>
RayImpacts: </a:t>
          </a:r>
          <a:r>
            <a:rPr lang="en-US" cap="none" sz="1000" b="0" i="0" u="none" baseline="0">
              <a:latin typeface="Times New Roman"/>
              <a:ea typeface="Times New Roman"/>
              <a:cs typeface="Times New Roman"/>
            </a:rPr>
            <a:t>Transform ray impact data into instrument coordinates</a:t>
          </a:r>
          <a:r>
            <a:rPr lang="en-US" cap="none" sz="1000" b="1" i="0" u="none" baseline="0">
              <a:latin typeface="Times New Roman"/>
              <a:ea typeface="Times New Roman"/>
              <a:cs typeface="Times New Roman"/>
            </a:rPr>
            <a:t>
RayImpactsSyno:</a:t>
          </a:r>
          <a:r>
            <a:rPr lang="en-US" cap="none" sz="1000" b="0" i="0" u="none" baseline="0">
              <a:latin typeface="Times New Roman"/>
              <a:ea typeface="Times New Roman"/>
              <a:cs typeface="Times New Roman"/>
            </a:rPr>
            <a:t> Read ray impact data from SYNO output
</a:t>
          </a:r>
          <a:r>
            <a:rPr lang="en-US" cap="none" sz="1000" b="0" i="1" u="none" baseline="0">
              <a:latin typeface="Times New Roman"/>
              <a:ea typeface="Times New Roman"/>
              <a:cs typeface="Times New Roman"/>
            </a:rPr>
            <a:t>SYNOPSYS outputs:</a:t>
          </a:r>
          <a:r>
            <a:rPr lang="en-US" cap="none" sz="1000" b="1" i="0" u="none" baseline="0">
              <a:latin typeface="Times New Roman"/>
              <a:ea typeface="Times New Roman"/>
              <a:cs typeface="Times New Roman"/>
            </a:rPr>
            <a:t>
SpecGlob:</a:t>
          </a:r>
          <a:r>
            <a:rPr lang="en-US" cap="none" sz="1000" b="0" i="0" u="none" baseline="0">
              <a:latin typeface="Times New Roman"/>
              <a:ea typeface="Times New Roman"/>
              <a:cs typeface="Times New Roman"/>
            </a:rPr>
            <a:t> System listing with surface data in global coordinates and Euler angles</a:t>
          </a:r>
          <a:r>
            <a:rPr lang="en-US" cap="none" sz="1000" b="1" i="0" u="none" baseline="0">
              <a:latin typeface="Times New Roman"/>
              <a:ea typeface="Times New Roman"/>
              <a:cs typeface="Times New Roman"/>
            </a:rPr>
            <a:t>
GutRay: </a:t>
          </a:r>
          <a:r>
            <a:rPr lang="en-US" cap="none" sz="1000" b="0" i="0" u="none" baseline="0">
              <a:latin typeface="Times New Roman"/>
              <a:ea typeface="Times New Roman"/>
              <a:cs typeface="Times New Roman"/>
            </a:rPr>
            <a:t>Ray impacts for gut ray in global coordinates</a:t>
          </a:r>
          <a:r>
            <a:rPr lang="en-US" cap="none" sz="1000" b="1" i="0" u="none" baseline="0">
              <a:latin typeface="Times New Roman"/>
              <a:ea typeface="Times New Roman"/>
              <a:cs typeface="Times New Roman"/>
            </a:rPr>
            <a:t>
M3CentRay:</a:t>
          </a:r>
          <a:r>
            <a:rPr lang="en-US" cap="none" sz="1000" b="0" i="0" u="none" baseline="0">
              <a:latin typeface="Times New Roman"/>
              <a:ea typeface="Times New Roman"/>
              <a:cs typeface="Times New Roman"/>
            </a:rPr>
            <a:t> Ray impacts for ray centred on M3 in global coordinates</a:t>
          </a:r>
          <a:r>
            <a:rPr lang="en-US" cap="none" sz="1000" b="1" i="0" u="none" baseline="0">
              <a:latin typeface="Times New Roman"/>
              <a:ea typeface="Times New Roman"/>
              <a:cs typeface="Times New Roman"/>
            </a:rPr>
            <a:t>
M5CentRay:</a:t>
          </a:r>
          <a:r>
            <a:rPr lang="en-US" cap="none" sz="1000" b="0" i="0" u="none" baseline="0">
              <a:latin typeface="Times New Roman"/>
              <a:ea typeface="Times New Roman"/>
              <a:cs typeface="Times New Roman"/>
            </a:rPr>
            <a:t> Ray impacts for ray centred on M5 in global coordinates</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0</xdr:row>
      <xdr:rowOff>104775</xdr:rowOff>
    </xdr:from>
    <xdr:to>
      <xdr:col>6</xdr:col>
      <xdr:colOff>38100</xdr:colOff>
      <xdr:row>5</xdr:row>
      <xdr:rowOff>47625</xdr:rowOff>
    </xdr:to>
    <xdr:sp>
      <xdr:nvSpPr>
        <xdr:cNvPr id="2" name="TextBox 2"/>
        <xdr:cNvSpPr txBox="1">
          <a:spLocks noChangeArrowheads="1"/>
        </xdr:cNvSpPr>
      </xdr:nvSpPr>
      <xdr:spPr>
        <a:xfrm>
          <a:off x="752475" y="104775"/>
          <a:ext cx="3400425" cy="752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latin typeface="Times New Roman"/>
              <a:ea typeface="Times New Roman"/>
              <a:cs typeface="Times New Roman"/>
            </a:rPr>
            <a:t>FIRST - SPIRE 
Optical design configuration control file
PHOTOMETER
</a:t>
          </a:r>
        </a:p>
      </xdr:txBody>
    </xdr:sp>
    <xdr:clientData/>
  </xdr:twoCellAnchor>
  <xdr:twoCellAnchor>
    <xdr:from>
      <xdr:col>1</xdr:col>
      <xdr:colOff>28575</xdr:colOff>
      <xdr:row>5</xdr:row>
      <xdr:rowOff>152400</xdr:rowOff>
    </xdr:from>
    <xdr:to>
      <xdr:col>6</xdr:col>
      <xdr:colOff>85725</xdr:colOff>
      <xdr:row>8</xdr:row>
      <xdr:rowOff>66675</xdr:rowOff>
    </xdr:to>
    <xdr:sp>
      <xdr:nvSpPr>
        <xdr:cNvPr id="3" name="TextBox 3"/>
        <xdr:cNvSpPr txBox="1">
          <a:spLocks noChangeArrowheads="1"/>
        </xdr:cNvSpPr>
      </xdr:nvSpPr>
      <xdr:spPr>
        <a:xfrm>
          <a:off x="714375" y="962025"/>
          <a:ext cx="348615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LAM.PJT.SPI.???.200100x Ind. 01
Date: 16. January 2001</a:t>
          </a:r>
        </a:p>
      </xdr:txBody>
    </xdr:sp>
    <xdr:clientData/>
  </xdr:twoCellAnchor>
  <xdr:twoCellAnchor>
    <xdr:from>
      <xdr:col>0</xdr:col>
      <xdr:colOff>476250</xdr:colOff>
      <xdr:row>14</xdr:row>
      <xdr:rowOff>152400</xdr:rowOff>
    </xdr:from>
    <xdr:to>
      <xdr:col>6</xdr:col>
      <xdr:colOff>304800</xdr:colOff>
      <xdr:row>25</xdr:row>
      <xdr:rowOff>104775</xdr:rowOff>
    </xdr:to>
    <xdr:sp>
      <xdr:nvSpPr>
        <xdr:cNvPr id="4" name="TextBox 4"/>
        <xdr:cNvSpPr txBox="1">
          <a:spLocks noChangeArrowheads="1"/>
        </xdr:cNvSpPr>
      </xdr:nvSpPr>
      <xdr:spPr>
        <a:xfrm>
          <a:off x="476250" y="2419350"/>
          <a:ext cx="3943350" cy="1733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The configuration control file takes data generated by the SYNOPSYS raytracing program and calculates data concerning:
- Gut ray impacts on the optical surfaces
- Interface points for each mirror in the instrument coordinate system
- Interface points in the local surface coordinates
It also transforms the left handed system used by SYNOPSYS into a right handed one and transforms the labels of the axis to be compatible with the instrument standard: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48</xdr:row>
      <xdr:rowOff>0</xdr:rowOff>
    </xdr:from>
    <xdr:to>
      <xdr:col>6</xdr:col>
      <xdr:colOff>609600</xdr:colOff>
      <xdr:row>55</xdr:row>
      <xdr:rowOff>28575</xdr:rowOff>
    </xdr:to>
    <xdr:sp>
      <xdr:nvSpPr>
        <xdr:cNvPr id="1" name="TextBox 1"/>
        <xdr:cNvSpPr txBox="1">
          <a:spLocks noChangeArrowheads="1"/>
        </xdr:cNvSpPr>
      </xdr:nvSpPr>
      <xdr:spPr>
        <a:xfrm>
          <a:off x="76200" y="7772400"/>
          <a:ext cx="4648200"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2. Surface normal vectors from ray impact data
---------------------------------------------------------------
</a:t>
          </a:r>
          <a:r>
            <a:rPr lang="en-US" cap="none" sz="1000" b="0" i="0" u="none" baseline="0">
              <a:latin typeface="Times New Roman"/>
              <a:ea typeface="Times New Roman"/>
              <a:cs typeface="Times New Roman"/>
            </a:rPr>
            <a:t>For CM3 and CM5 (see sec 3), interface data are calculated from ray impact data. These are provided by raytracing outputs in mm with 6 significant decimals. With around 100 path length between impact points, this gives an angular precision of around 1e-6 deg.</a:t>
          </a:r>
          <a:r>
            <a:rPr lang="en-US" cap="none" sz="1000" b="0" i="1" u="none" baseline="0">
              <a:latin typeface="Times New Roman"/>
              <a:ea typeface="Times New Roman"/>
              <a:cs typeface="Times New Roman"/>
            </a:rPr>
            <a:t>
</a:t>
          </a:r>
          <a:r>
            <a:rPr lang="en-US" cap="none" sz="1000" b="0" i="0" u="none" baseline="0">
              <a:latin typeface="Times New Roman"/>
              <a:ea typeface="Times New Roman"/>
              <a:cs typeface="Times New Roman"/>
            </a:rPr>
            <a:t>For each component (i) the direction cosines of the exiting ray vector is calculated by normalizing the difference between ray impact coordinates on surfaces i and i+1:
</a:t>
          </a:r>
        </a:p>
      </xdr:txBody>
    </xdr:sp>
    <xdr:clientData/>
  </xdr:twoCellAnchor>
  <xdr:twoCellAnchor>
    <xdr:from>
      <xdr:col>0</xdr:col>
      <xdr:colOff>133350</xdr:colOff>
      <xdr:row>10</xdr:row>
      <xdr:rowOff>57150</xdr:rowOff>
    </xdr:from>
    <xdr:to>
      <xdr:col>6</xdr:col>
      <xdr:colOff>561975</xdr:colOff>
      <xdr:row>22</xdr:row>
      <xdr:rowOff>133350</xdr:rowOff>
    </xdr:to>
    <xdr:sp>
      <xdr:nvSpPr>
        <xdr:cNvPr id="2" name="TextBox 2"/>
        <xdr:cNvSpPr txBox="1">
          <a:spLocks noChangeArrowheads="1"/>
        </xdr:cNvSpPr>
      </xdr:nvSpPr>
      <xdr:spPr>
        <a:xfrm>
          <a:off x="133350" y="1676400"/>
          <a:ext cx="4543425" cy="2019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1. Surface orientation from Euler angles</a:t>
          </a:r>
          <a:r>
            <a:rPr lang="en-US" cap="none" sz="1000" b="0" i="0" u="none" baseline="0">
              <a:latin typeface="Times New Roman"/>
              <a:ea typeface="Times New Roman"/>
              <a:cs typeface="Times New Roman"/>
            </a:rPr>
            <a:t>
-------------------------------------------------------
The listing of surface data in global coordinates give coordinates for each surface vertex and the Euler angles (in degrees with 5 significant decimals, ie a precision of 1e-5 deg) defining the orientation of the surface in space. These are used to calculate interface data for all mirrors except CM3 and CM5, see sec. 2 and 3.
The global coordinate system  used by SYNOPSYS is left-handed and has its origin at the telescope focal point, ie 202mm above the SPIRE origin. The Z-axis is along the telescope axis, pointing away from the telescope, the Y-axis is in the plane of the photometer, pointing towards PAX, the X-axis is perpendicular to the plane of the photometer, pointing towards the spectrometer, see table.
</a:t>
          </a:r>
        </a:p>
      </xdr:txBody>
    </xdr:sp>
    <xdr:clientData/>
  </xdr:twoCellAnchor>
  <xdr:twoCellAnchor>
    <xdr:from>
      <xdr:col>0</xdr:col>
      <xdr:colOff>161925</xdr:colOff>
      <xdr:row>27</xdr:row>
      <xdr:rowOff>28575</xdr:rowOff>
    </xdr:from>
    <xdr:to>
      <xdr:col>6</xdr:col>
      <xdr:colOff>581025</xdr:colOff>
      <xdr:row>35</xdr:row>
      <xdr:rowOff>104775</xdr:rowOff>
    </xdr:to>
    <xdr:sp>
      <xdr:nvSpPr>
        <xdr:cNvPr id="3" name="TextBox 3"/>
        <xdr:cNvSpPr txBox="1">
          <a:spLocks noChangeArrowheads="1"/>
        </xdr:cNvSpPr>
      </xdr:nvSpPr>
      <xdr:spPr>
        <a:xfrm>
          <a:off x="161925" y="4400550"/>
          <a:ext cx="4533900" cy="137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Euler angles aEuler, bEuler, cEuler represent consequtive rotations about the X, Y, and Z axes, respectively, in a counter-clockwise direction. The resulting coordinate system representing local surface coordinates are named Sag, Tang, and Norm, respectively. Norm is along the surface axis, Tan is in general in the plane of the system and Sag is in general pointing towards the optical bench. For centred surfaces, Norm defines the spigot axis and Sag defines the dowl location.
The local axes are produced by the following:
</a:t>
          </a:r>
        </a:p>
      </xdr:txBody>
    </xdr:sp>
    <xdr:clientData/>
  </xdr:twoCellAnchor>
  <xdr:twoCellAnchor>
    <xdr:from>
      <xdr:col>0</xdr:col>
      <xdr:colOff>161925</xdr:colOff>
      <xdr:row>65</xdr:row>
      <xdr:rowOff>19050</xdr:rowOff>
    </xdr:from>
    <xdr:to>
      <xdr:col>5</xdr:col>
      <xdr:colOff>657225</xdr:colOff>
      <xdr:row>91</xdr:row>
      <xdr:rowOff>76200</xdr:rowOff>
    </xdr:to>
    <xdr:sp>
      <xdr:nvSpPr>
        <xdr:cNvPr id="4" name="TextBox 7"/>
        <xdr:cNvSpPr txBox="1">
          <a:spLocks noChangeArrowheads="1"/>
        </xdr:cNvSpPr>
      </xdr:nvSpPr>
      <xdr:spPr>
        <a:xfrm>
          <a:off x="161925" y="10544175"/>
          <a:ext cx="3924300" cy="426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3. Surface sagittal vectors</a:t>
          </a:r>
          <a:r>
            <a:rPr lang="en-US" cap="none" sz="1000" b="0" i="0" u="none" baseline="0">
              <a:latin typeface="Times New Roman"/>
              <a:ea typeface="Times New Roman"/>
              <a:cs typeface="Times New Roman"/>
            </a:rPr>
            <a:t>
-----------------------------------
For centred surfaces, the spigot axis intercepts the optical surface at the surface vertec point, which is also coincident with the gut ray impact point. Two surfaces are not of this type:
</a:t>
          </a:r>
          <a:r>
            <a:rPr lang="en-US" cap="none" sz="1000" b="1" i="0" u="none" baseline="0">
              <a:latin typeface="Times New Roman"/>
              <a:ea typeface="Times New Roman"/>
              <a:cs typeface="Times New Roman"/>
            </a:rPr>
            <a:t>CM3: </a:t>
          </a:r>
          <a:r>
            <a:rPr lang="en-US" cap="none" sz="1000" b="0" i="0" u="none" baseline="0">
              <a:latin typeface="Times New Roman"/>
              <a:ea typeface="Times New Roman"/>
              <a:cs typeface="Times New Roman"/>
            </a:rPr>
            <a:t>This mirror is an off-axis asphere, ie its surface vertex does not coincide with the gut ray impact point. Also, since the mirror is common for photometer and spectrometer, its aperture is not symmetrical about the photometer gut ray impact point, and so the spigot , which is located near the centre of gravity of the mirror, does not intercept the surface in the gut ray impact point.</a:t>
          </a:r>
          <a:r>
            <a:rPr lang="en-US" cap="none" sz="1000" b="1" i="0" u="none" baseline="0">
              <a:latin typeface="Times New Roman"/>
              <a:ea typeface="Times New Roman"/>
              <a:cs typeface="Times New Roman"/>
            </a:rPr>
            <a:t>
CM5: </a:t>
          </a:r>
          <a:r>
            <a:rPr lang="en-US" cap="none" sz="1000" b="0" i="0" u="none" baseline="0">
              <a:latin typeface="Times New Roman"/>
              <a:ea typeface="Times New Roman"/>
              <a:cs typeface="Times New Roman"/>
            </a:rPr>
            <a:t>This mirror is common for photometer and spectrometer, its aperture is therefore not symmetrical about the photometer gut ray impact point, and so the spigot , which is located near the centre of gravity of the mirror, does not intercept the surface in the gut ray impact point.</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For each of these surfaces a separate ray is traced for which the sky coordinates are chosen so as to impact the mirror surface at the spigot axis interception point. Local normal vectors are calculated as above and used to define the spigot vectors for these mirrors.
The local Sag vector (required to define the dowl position) is calculated by rotating the Sag vector at the vertex through an angle Theta in the X-Y plane:
</a:t>
          </a:r>
        </a:p>
      </xdr:txBody>
    </xdr:sp>
    <xdr:clientData/>
  </xdr:twoCellAnchor>
  <xdr:twoCellAnchor>
    <xdr:from>
      <xdr:col>0</xdr:col>
      <xdr:colOff>95250</xdr:colOff>
      <xdr:row>59</xdr:row>
      <xdr:rowOff>9525</xdr:rowOff>
    </xdr:from>
    <xdr:to>
      <xdr:col>6</xdr:col>
      <xdr:colOff>638175</xdr:colOff>
      <xdr:row>61</xdr:row>
      <xdr:rowOff>66675</xdr:rowOff>
    </xdr:to>
    <xdr:sp>
      <xdr:nvSpPr>
        <xdr:cNvPr id="5" name="TextBox 8"/>
        <xdr:cNvSpPr txBox="1">
          <a:spLocks noChangeArrowheads="1"/>
        </xdr:cNvSpPr>
      </xdr:nvSpPr>
      <xdr:spPr>
        <a:xfrm>
          <a:off x="95250" y="9563100"/>
          <a:ext cx="46577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For reflecting surfaces, the local normal is obtained as the normalized difference between incident and reflected rays:</a:t>
          </a:r>
        </a:p>
      </xdr:txBody>
    </xdr:sp>
    <xdr:clientData/>
  </xdr:twoCellAnchor>
  <xdr:twoCellAnchor>
    <xdr:from>
      <xdr:col>0</xdr:col>
      <xdr:colOff>161925</xdr:colOff>
      <xdr:row>95</xdr:row>
      <xdr:rowOff>47625</xdr:rowOff>
    </xdr:from>
    <xdr:to>
      <xdr:col>5</xdr:col>
      <xdr:colOff>647700</xdr:colOff>
      <xdr:row>97</xdr:row>
      <xdr:rowOff>85725</xdr:rowOff>
    </xdr:to>
    <xdr:sp>
      <xdr:nvSpPr>
        <xdr:cNvPr id="6" name="TextBox 10"/>
        <xdr:cNvSpPr txBox="1">
          <a:spLocks noChangeArrowheads="1"/>
        </xdr:cNvSpPr>
      </xdr:nvSpPr>
      <xdr:spPr>
        <a:xfrm>
          <a:off x="161925" y="15430500"/>
          <a:ext cx="391477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Theta is the angle between the projections onto the X-Y plane of the spigot vector and the vertex normal vector:</a:t>
          </a:r>
        </a:p>
      </xdr:txBody>
    </xdr:sp>
    <xdr:clientData/>
  </xdr:twoCellAnchor>
  <xdr:twoCellAnchor>
    <xdr:from>
      <xdr:col>0</xdr:col>
      <xdr:colOff>180975</xdr:colOff>
      <xdr:row>101</xdr:row>
      <xdr:rowOff>66675</xdr:rowOff>
    </xdr:from>
    <xdr:to>
      <xdr:col>5</xdr:col>
      <xdr:colOff>666750</xdr:colOff>
      <xdr:row>102</xdr:row>
      <xdr:rowOff>114300</xdr:rowOff>
    </xdr:to>
    <xdr:sp>
      <xdr:nvSpPr>
        <xdr:cNvPr id="7" name="TextBox 11"/>
        <xdr:cNvSpPr txBox="1">
          <a:spLocks noChangeArrowheads="1"/>
        </xdr:cNvSpPr>
      </xdr:nvSpPr>
      <xdr:spPr>
        <a:xfrm>
          <a:off x="180975" y="16421100"/>
          <a:ext cx="39147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where the SIGNE function provides the correct sign of Theta.</a:t>
          </a:r>
        </a:p>
      </xdr:txBody>
    </xdr:sp>
    <xdr:clientData/>
  </xdr:twoCellAnchor>
  <xdr:twoCellAnchor>
    <xdr:from>
      <xdr:col>0</xdr:col>
      <xdr:colOff>133350</xdr:colOff>
      <xdr:row>0</xdr:row>
      <xdr:rowOff>85725</xdr:rowOff>
    </xdr:from>
    <xdr:to>
      <xdr:col>6</xdr:col>
      <xdr:colOff>590550</xdr:colOff>
      <xdr:row>10</xdr:row>
      <xdr:rowOff>38100</xdr:rowOff>
    </xdr:to>
    <xdr:sp>
      <xdr:nvSpPr>
        <xdr:cNvPr id="8" name="TextBox 12"/>
        <xdr:cNvSpPr txBox="1">
          <a:spLocks noChangeArrowheads="1"/>
        </xdr:cNvSpPr>
      </xdr:nvSpPr>
      <xdr:spPr>
        <a:xfrm>
          <a:off x="133350" y="85725"/>
          <a:ext cx="4572000" cy="157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Theory</a:t>
          </a:r>
          <a:r>
            <a:rPr lang="en-US" cap="none" sz="1000" b="0" i="0" u="none" baseline="0">
              <a:latin typeface="Times New Roman"/>
              <a:ea typeface="Times New Roman"/>
              <a:cs typeface="Times New Roman"/>
            </a:rPr>
            <a:t>
</a:t>
          </a:r>
          <a:r>
            <a:rPr lang="en-US" cap="none" sz="1000" b="0" i="1" u="none" baseline="0">
              <a:latin typeface="Times New Roman"/>
              <a:ea typeface="Times New Roman"/>
              <a:cs typeface="Times New Roman"/>
            </a:rPr>
            <a:t>Contents</a:t>
          </a:r>
          <a:r>
            <a:rPr lang="en-US" cap="none" sz="1000" b="0" i="0" u="none" baseline="0">
              <a:latin typeface="Times New Roman"/>
              <a:ea typeface="Times New Roman"/>
              <a:cs typeface="Times New Roman"/>
            </a:rPr>
            <a:t>
------------
1. Surface orientation from Euler angles
2. Surface normal vectors from ray impact data
3. Surface sagittal vectors
4. Interface data in global coordinates
5. Interface data in local coordinates</a:t>
          </a:r>
        </a:p>
      </xdr:txBody>
    </xdr:sp>
    <xdr:clientData/>
  </xdr:twoCellAnchor>
  <xdr:twoCellAnchor>
    <xdr:from>
      <xdr:col>0</xdr:col>
      <xdr:colOff>190500</xdr:colOff>
      <xdr:row>104</xdr:row>
      <xdr:rowOff>85725</xdr:rowOff>
    </xdr:from>
    <xdr:to>
      <xdr:col>5</xdr:col>
      <xdr:colOff>657225</xdr:colOff>
      <xdr:row>121</xdr:row>
      <xdr:rowOff>9525</xdr:rowOff>
    </xdr:to>
    <xdr:sp>
      <xdr:nvSpPr>
        <xdr:cNvPr id="9" name="TextBox 13"/>
        <xdr:cNvSpPr txBox="1">
          <a:spLocks noChangeArrowheads="1"/>
        </xdr:cNvSpPr>
      </xdr:nvSpPr>
      <xdr:spPr>
        <a:xfrm>
          <a:off x="190500" y="16925925"/>
          <a:ext cx="3895725" cy="2676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4 Interface data in global coordinates
---------------------------------------------------
</a:t>
          </a:r>
          <a:r>
            <a:rPr lang="en-US" cap="none" sz="1000" b="0" i="0" u="none" baseline="0">
              <a:latin typeface="Times New Roman"/>
              <a:ea typeface="Times New Roman"/>
              <a:cs typeface="Times New Roman"/>
            </a:rPr>
            <a:t>For each mirror, the following are given in the global instrument coordinate system:
(Xmirr, Ymirr, Zmirr): coordinates of the intersection point between the spigot axis and the optical surface
(Xnorm, Ynorm, Znorm): direction cosines of the spigot axis
(Xspig, Yspig, Zspig): coordinates of a second point along the spigot axis
(Xsag, Ysag, Zsag): direction cosines of the sag vector, pointing towards the dowl
(Xdowl, Ydowl, Zdowl): coordinates of a point along the sag vector</a:t>
          </a:r>
        </a:p>
      </xdr:txBody>
    </xdr:sp>
    <xdr:clientData/>
  </xdr:twoCellAnchor>
  <xdr:twoCellAnchor>
    <xdr:from>
      <xdr:col>0</xdr:col>
      <xdr:colOff>228600</xdr:colOff>
      <xdr:row>121</xdr:row>
      <xdr:rowOff>133350</xdr:rowOff>
    </xdr:from>
    <xdr:to>
      <xdr:col>6</xdr:col>
      <xdr:colOff>9525</xdr:colOff>
      <xdr:row>129</xdr:row>
      <xdr:rowOff>9525</xdr:rowOff>
    </xdr:to>
    <xdr:sp>
      <xdr:nvSpPr>
        <xdr:cNvPr id="10" name="TextBox 14"/>
        <xdr:cNvSpPr txBox="1">
          <a:spLocks noChangeArrowheads="1"/>
        </xdr:cNvSpPr>
      </xdr:nvSpPr>
      <xdr:spPr>
        <a:xfrm>
          <a:off x="228600" y="19726275"/>
          <a:ext cx="3895725"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5. Interface data in local coordinates
---------------------------------------------------
</a:t>
          </a:r>
          <a:r>
            <a:rPr lang="en-US" cap="none" sz="1000" b="0" i="0" u="none" baseline="0">
              <a:latin typeface="Times New Roman"/>
              <a:ea typeface="Times New Roman"/>
              <a:cs typeface="Times New Roman"/>
            </a:rPr>
            <a:t>For each mirror, the interface vectors listed above are also given in terms of local coordinates for each optical surface, whose origin is at the surface vertex and whose axes are aligned with the vertex normal. For the spigot interception points, this requires a transformation involving translation and rotation, expressed as:</a:t>
          </a:r>
        </a:p>
      </xdr:txBody>
    </xdr:sp>
    <xdr:clientData/>
  </xdr:twoCellAnchor>
  <xdr:twoCellAnchor>
    <xdr:from>
      <xdr:col>0</xdr:col>
      <xdr:colOff>219075</xdr:colOff>
      <xdr:row>139</xdr:row>
      <xdr:rowOff>142875</xdr:rowOff>
    </xdr:from>
    <xdr:to>
      <xdr:col>5</xdr:col>
      <xdr:colOff>676275</xdr:colOff>
      <xdr:row>142</xdr:row>
      <xdr:rowOff>76200</xdr:rowOff>
    </xdr:to>
    <xdr:sp>
      <xdr:nvSpPr>
        <xdr:cNvPr id="11" name="TextBox 15"/>
        <xdr:cNvSpPr txBox="1">
          <a:spLocks noChangeArrowheads="1"/>
        </xdr:cNvSpPr>
      </xdr:nvSpPr>
      <xdr:spPr>
        <a:xfrm>
          <a:off x="219075" y="22650450"/>
          <a:ext cx="3886200"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For the direction cosines for the Norm (spigot) and Sag (dowl) vectors, the transformation only involves rotation: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PIREconficSpec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History"/>
      <sheetName val="Theory"/>
      <sheetName val="Variables"/>
      <sheetName val="GutRayImpacts"/>
      <sheetName val="Interfaces"/>
      <sheetName val="SurfDef"/>
      <sheetName val="GutCalc"/>
      <sheetName val="M3CentCalc"/>
      <sheetName val="M5CentCalc"/>
      <sheetName val="VertexCalc"/>
      <sheetName val="VerticesSyno"/>
      <sheetName val="RayImpacts"/>
      <sheetName val="RayImpactsSyno"/>
      <sheetName val="SpecGlobUp"/>
      <sheetName val="SpecGlobLo"/>
      <sheetName val="GutRayUp"/>
      <sheetName val="GutRayLo"/>
      <sheetName val="M3CentRay"/>
      <sheetName val="M5CentRa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0:E31"/>
  <sheetViews>
    <sheetView workbookViewId="0" topLeftCell="A49">
      <selection activeCell="F11" sqref="F11"/>
    </sheetView>
  </sheetViews>
  <sheetFormatPr defaultColWidth="12" defaultRowHeight="12.75"/>
  <cols>
    <col min="1" max="16384" width="12" style="1" customWidth="1"/>
  </cols>
  <sheetData>
    <row r="10" ht="12.75">
      <c r="B10" s="26" t="s">
        <v>419</v>
      </c>
    </row>
    <row r="11" spans="3:4" ht="12.75">
      <c r="C11" s="1" t="s">
        <v>392</v>
      </c>
      <c r="D11" s="1" t="str">
        <f ca="1">INDIRECT(C11&amp;"Calc!ID")</f>
        <v>(BOLPHT154B)</v>
      </c>
    </row>
    <row r="12" spans="3:4" ht="12.75">
      <c r="C12" s="1" t="s">
        <v>152</v>
      </c>
      <c r="D12" s="1" t="str">
        <f ca="1">INDIRECT(C12&amp;"Calc!ID")</f>
        <v>(BOLPHT154)</v>
      </c>
    </row>
    <row r="13" spans="3:4" ht="12.75">
      <c r="C13" s="1" t="s">
        <v>165</v>
      </c>
      <c r="D13" s="1" t="str">
        <f ca="1">INDIRECT(C13&amp;"Calc!ID")</f>
        <v>(BOLPHT154C)</v>
      </c>
    </row>
    <row r="14" spans="3:4" ht="12.75">
      <c r="C14" s="1" t="s">
        <v>166</v>
      </c>
      <c r="D14" s="1" t="str">
        <f ca="1">INDIRECT(C14&amp;"Calc!ID")</f>
        <v>(BOLPHT154C)</v>
      </c>
    </row>
    <row r="28" spans="2:5" ht="12.75">
      <c r="B28" s="35" t="s">
        <v>46</v>
      </c>
      <c r="C28" s="35" t="s">
        <v>415</v>
      </c>
      <c r="D28" s="35" t="s">
        <v>308</v>
      </c>
      <c r="E28" s="35" t="s">
        <v>416</v>
      </c>
    </row>
    <row r="29" spans="2:5" ht="12.75">
      <c r="B29" s="21" t="s">
        <v>17</v>
      </c>
      <c r="C29" s="21" t="str">
        <f>"-Zsyno"</f>
        <v>-Zsyno</v>
      </c>
      <c r="D29" s="21" t="s">
        <v>412</v>
      </c>
      <c r="E29" s="21" t="s">
        <v>130</v>
      </c>
    </row>
    <row r="30" spans="2:5" ht="12.75">
      <c r="B30" s="21" t="s">
        <v>81</v>
      </c>
      <c r="C30" s="21" t="s">
        <v>136</v>
      </c>
      <c r="D30" s="21" t="s">
        <v>413</v>
      </c>
      <c r="E30" s="21" t="s">
        <v>131</v>
      </c>
    </row>
    <row r="31" spans="2:5" ht="12.75">
      <c r="B31" s="21" t="s">
        <v>82</v>
      </c>
      <c r="C31" s="21" t="s">
        <v>137</v>
      </c>
      <c r="D31" s="21" t="s">
        <v>414</v>
      </c>
      <c r="E31" s="21" t="s">
        <v>132</v>
      </c>
    </row>
  </sheetData>
  <printOptions/>
  <pageMargins left="0.7874015748031497" right="0.7874015748031497" top="0.69" bottom="0.54" header="0.32" footer="0.29"/>
  <pageSetup fitToHeight="1" fitToWidth="1" horizontalDpi="600" verticalDpi="600" orientation="portrait" paperSize="9" r:id="rId2"/>
  <headerFooter alignWithMargins="0">
    <oddHeader>&amp;L&amp;F, &amp;A&amp;R&amp;T, &amp;D</oddHeader>
    <oddFooter>&amp;CPage &amp;P of &amp;N</oddFooter>
  </headerFooter>
  <drawing r:id="rId1"/>
</worksheet>
</file>

<file path=xl/worksheets/sheet10.xml><?xml version="1.0" encoding="utf-8"?>
<worksheet xmlns="http://schemas.openxmlformats.org/spreadsheetml/2006/main" xmlns:r="http://schemas.openxmlformats.org/officeDocument/2006/relationships">
  <dimension ref="A1:AE26"/>
  <sheetViews>
    <sheetView zoomScale="60" zoomScaleNormal="60" workbookViewId="0" topLeftCell="A1">
      <selection activeCell="V2" sqref="V2:V22"/>
    </sheetView>
  </sheetViews>
  <sheetFormatPr defaultColWidth="12" defaultRowHeight="12.75"/>
  <cols>
    <col min="1" max="2" width="12" style="1" customWidth="1"/>
    <col min="3" max="3" width="20.16015625" style="1" customWidth="1"/>
    <col min="4" max="5" width="12" style="1" customWidth="1"/>
    <col min="6" max="6" width="13" style="9" customWidth="1"/>
    <col min="7" max="7" width="10.83203125" style="9" customWidth="1"/>
    <col min="8" max="8" width="13.33203125" style="9" customWidth="1"/>
    <col min="9" max="9" width="12.33203125" style="8" customWidth="1"/>
    <col min="10" max="10" width="9.5" style="8" customWidth="1"/>
    <col min="11" max="11" width="11" style="8" customWidth="1"/>
    <col min="12" max="15" width="8.83203125" style="8" customWidth="1"/>
    <col min="16" max="16" width="12" style="8" customWidth="1"/>
    <col min="17" max="22" width="9.33203125" style="8" customWidth="1"/>
    <col min="23" max="23" width="12" style="36" customWidth="1"/>
    <col min="24" max="24" width="11.33203125" style="41" customWidth="1"/>
    <col min="25" max="16384" width="12" style="1" customWidth="1"/>
  </cols>
  <sheetData>
    <row r="1" spans="3:28" s="5" customFormat="1" ht="12.75">
      <c r="C1" s="5" t="s">
        <v>129</v>
      </c>
      <c r="D1" s="5" t="s">
        <v>2</v>
      </c>
      <c r="E1" s="5" t="s">
        <v>162</v>
      </c>
      <c r="F1" s="7" t="str">
        <f>"X"&amp;Ray</f>
        <v>XM5Cent</v>
      </c>
      <c r="G1" s="7" t="str">
        <f>"Y"&amp;Ray</f>
        <v>YM5Cent</v>
      </c>
      <c r="H1" s="7" t="str">
        <f>"Z"&amp;Ray</f>
        <v>ZM5Cent</v>
      </c>
      <c r="I1" s="6" t="s">
        <v>141</v>
      </c>
      <c r="J1" s="6" t="s">
        <v>142</v>
      </c>
      <c r="K1" s="6" t="s">
        <v>143</v>
      </c>
      <c r="L1" s="6" t="s">
        <v>144</v>
      </c>
      <c r="M1" s="6" t="s">
        <v>145</v>
      </c>
      <c r="N1" s="6" t="s">
        <v>146</v>
      </c>
      <c r="O1" s="6" t="s">
        <v>147</v>
      </c>
      <c r="P1" s="6" t="s">
        <v>148</v>
      </c>
      <c r="Q1" s="6" t="s">
        <v>149</v>
      </c>
      <c r="R1" s="6" t="s">
        <v>150</v>
      </c>
      <c r="S1" s="6" t="s">
        <v>151</v>
      </c>
      <c r="T1" s="6" t="s">
        <v>14</v>
      </c>
      <c r="U1" s="6" t="s">
        <v>15</v>
      </c>
      <c r="V1" s="6" t="s">
        <v>16</v>
      </c>
      <c r="W1" s="38" t="s">
        <v>400</v>
      </c>
      <c r="X1" s="39" t="s">
        <v>402</v>
      </c>
      <c r="Y1" s="7" t="s">
        <v>21</v>
      </c>
      <c r="Z1" s="7" t="s">
        <v>22</v>
      </c>
      <c r="AA1" s="6" t="s">
        <v>23</v>
      </c>
      <c r="AB1" s="5" t="s">
        <v>403</v>
      </c>
    </row>
    <row r="2" spans="1:28" ht="13.5" thickBot="1">
      <c r="A2" s="21" t="s">
        <v>44</v>
      </c>
      <c r="B2" s="21" t="str">
        <f>'M5CentRay'!J4</f>
        <v>(BOLPHT154C)</v>
      </c>
      <c r="D2" s="1" t="s">
        <v>93</v>
      </c>
      <c r="E2" s="1" t="s">
        <v>128</v>
      </c>
      <c r="F2" s="9">
        <f ca="1">INDIRECT("RayImpacts!"&amp;F$1)</f>
        <v>3252.162</v>
      </c>
      <c r="G2" s="9">
        <f ca="1" t="shared" si="0" ref="G2:H17">INDIRECT("RayImpacts!"&amp;G$1)</f>
        <v>13.817514</v>
      </c>
      <c r="H2" s="9">
        <f ca="1" t="shared" si="0"/>
        <v>60.298241</v>
      </c>
      <c r="I2" s="9">
        <f>IF(Flag="Ignore","",F2-F1)</f>
      </c>
      <c r="J2" s="9">
        <f>IF(Flag="Ignore","",G2-G1)</f>
      </c>
      <c r="K2" s="9">
        <f>IF(Flag="Ignore","",H2-H1)</f>
      </c>
      <c r="L2" s="8">
        <f aca="true" t="shared" si="1" ref="L2:L22">IF(Flag="ignore","",SQRT(Xdiff^2+Ydiff^2+Zdiff^2))</f>
      </c>
      <c r="M2" s="8">
        <f aca="true" t="shared" si="2" ref="M2:M22">IF(Flag="ignore","",Xdiff/DiffMod)</f>
      </c>
      <c r="N2" s="8">
        <f aca="true" t="shared" si="3" ref="N2:N22">IF(Flag="ignore","",Ydiff/DiffMod)</f>
      </c>
      <c r="O2" s="8">
        <f aca="true" t="shared" si="4" ref="O2:O22">IF(Flag="ignore","",Zdiff/DiffMod)</f>
      </c>
      <c r="P2" s="8">
        <f>IF(OR(Flag="Ignore",Flag="Hole",Flag="Det"),"",M3-Xray)</f>
      </c>
      <c r="Q2" s="8">
        <f>IF(OR(Flag="Ignore",Flag="Hole",Flag="Det"),"",N3-Yray)</f>
      </c>
      <c r="R2" s="8">
        <f>IF(OR(Flag="Ignore",Flag="Hole",Flag="Det"),"",O3-Zray)</f>
      </c>
      <c r="S2" s="8">
        <f>IF(OR(Flag="Ignore",Flag="Hole",Flag="Det"),"",SQRT(dXray^2+dYray^2+dZray^2))</f>
      </c>
      <c r="T2" s="8">
        <f>IF(OR(Flag="Ignore",Flag="Hole",Flag="Det"),"",dXray/drayMod*VertexCalc!NormDirCorr)</f>
      </c>
      <c r="U2" s="8">
        <f>IF(OR(Flag="Ignore",Flag="Hole",Flag="Det"),"",dYray/drayMod*VertexCalc!NormDirCorr)</f>
      </c>
      <c r="V2" s="8">
        <f>IF(OR(Flag="Ignore",Flag="Hole",Flag="Det"),"",dZray/drayMod*VertexCalc!NormDirCorr)</f>
      </c>
      <c r="W2" s="36">
        <f>IF(OR(Flag="Ignore",Flag="Hole",Flag="Det"),"",ACOS((Xnorm*VertexCalc!Xnorm*SIGN(VertexCalc!NormDir)+Ynorm*VertexCalc!Ynorm*SIGN(VertexCalc!NormDir))/(SQRT(Xnorm^2+Ynorm^2)*SQRT(VertexCalc!Xnorm^2+VertexCalc!Ynorm^2)))*180/PI()*SIGN(Xnorm*Ynorm))</f>
      </c>
      <c r="X2" s="40">
        <f>IF(OR(Flag="Ignore",Flag="Hole",Flag="Det"),"",((Xnorm*GutCalc!Xnorm+Ynorm*GutCalc!Ynorm)/(SQRT(Xnorm^2+Ynorm^2)*SQRT(GutCalc!Xnorm^2+GutCalc!Ynorm^2)))*180/PI())</f>
      </c>
      <c r="Y2" s="36">
        <f>IF(OR(Flag="Ignore",Flag="Hole",Flag="Det"),"",VertexCalc!Xsag*COS(Theta*PI()/180)-VertexCalc!Ysag*SIN(Theta*PI()/180))</f>
      </c>
      <c r="Z2" s="36">
        <f>IF(OR(Flag="Ignore",Flag="Hole",Flag="Det"),"",VertexCalc!Xsag*SIN(Theta*PI()/180)+VertexCalc!Ysag*COS(Theta*PI()/180))</f>
      </c>
      <c r="AA2" s="36">
        <f>IF(OR(Flag="Ignore",Flag="Hole",Flag="Det"),"",VertexCalc!Zsag)</f>
      </c>
      <c r="AB2" s="36">
        <f>IF(OR(Flag="Ignore",Flag="Hole",Flag="Det"),"",ACOS(Xsag*Xnorm+Ysag*Ynorm+Zsag*Znorm)*180/PI())</f>
      </c>
    </row>
    <row r="3" spans="3:28" ht="12.75">
      <c r="C3" s="10" t="s">
        <v>122</v>
      </c>
      <c r="D3" s="11" t="s">
        <v>94</v>
      </c>
      <c r="E3" s="11"/>
      <c r="F3" s="13">
        <f ca="1" t="shared" si="5" ref="F3:H22">INDIRECT("RayImpacts!"&amp;F$1)</f>
        <v>1252.600535</v>
      </c>
      <c r="G3" s="13">
        <f ca="1" t="shared" si="0"/>
        <v>12.375513</v>
      </c>
      <c r="H3" s="13">
        <f ca="1" t="shared" si="0"/>
        <v>54.005491</v>
      </c>
      <c r="I3" s="13">
        <f aca="true" t="shared" si="6" ref="I3:I22">IF(Flag="Ignore","",F3-F2)</f>
        <v>-1999.5614649999998</v>
      </c>
      <c r="J3" s="13">
        <f aca="true" t="shared" si="7" ref="J3:J22">IF(Flag="Ignore","",G3-G2)</f>
        <v>-1.4420009999999994</v>
      </c>
      <c r="K3" s="13">
        <f aca="true" t="shared" si="8" ref="K3:K22">IF(Flag="Ignore","",H3-H2)</f>
        <v>-6.292749999999998</v>
      </c>
      <c r="L3" s="12">
        <f t="shared" si="1"/>
        <v>1999.5718867753649</v>
      </c>
      <c r="M3" s="12">
        <f t="shared" si="2"/>
        <v>-0.9999947879966536</v>
      </c>
      <c r="N3" s="12">
        <f t="shared" si="3"/>
        <v>-0.0007211548679679933</v>
      </c>
      <c r="O3" s="12">
        <f t="shared" si="4"/>
        <v>-0.0031470486465720827</v>
      </c>
      <c r="P3" s="12">
        <f aca="true" t="shared" si="9" ref="P3:P22">IF(OR(Flag="Ignore",Flag="Hole",Flag="Det"),"",M4-Xray)</f>
        <v>1.999386328257419</v>
      </c>
      <c r="Q3" s="12">
        <f aca="true" t="shared" si="10" ref="Q3:Q22">IF(OR(Flag="Ignore",Flag="Hole",Flag="Det"),"",N4-Yray)</f>
        <v>-0.007069551056272096</v>
      </c>
      <c r="R3" s="12">
        <f aca="true" t="shared" si="11" ref="R3:R22">IF(OR(Flag="Ignore",Flag="Hole",Flag="Det"),"",O4-Zray)</f>
        <v>-0.03085080652720495</v>
      </c>
      <c r="S3" s="12">
        <f aca="true" t="shared" si="12" ref="S3:S22">IF(OR(Flag="Ignore",Flag="Hole",Flag="Det"),"",SQRT(dXray^2+dYray^2+dZray^2))</f>
        <v>1.9996368271359175</v>
      </c>
      <c r="T3" s="12">
        <f>IF(OR(Flag="Ignore",Flag="Hole",Flag="Det"),"",dXray/drayMod*VertexCalc!NormDirCorr)</f>
        <v>-0.9998747278130212</v>
      </c>
      <c r="U3" s="12">
        <f>IF(OR(Flag="Ignore",Flag="Hole",Flag="Det"),"",dYray/drayMod*VertexCalc!NormDirCorr)</f>
        <v>0.0035354175119878257</v>
      </c>
      <c r="V3" s="12">
        <f>IF(OR(Flag="Ignore",Flag="Hole",Flag="Det"),"",dZray/drayMod*VertexCalc!NormDirCorr)</f>
        <v>0.015428204816267863</v>
      </c>
      <c r="W3" s="54">
        <f>IF(OR(Flag="Ignore",Flag="Hole",Flag="Det"),"",ACOS((Xnorm*VertexCalc!Xnorm*SIGN(VertexCalc!NormDir)+Ynorm*VertexCalc!Ynorm*SIGN(VertexCalc!NormDir))/(SQRT(Xnorm^2+Ynorm^2)*SQRT(VertexCalc!Xnorm^2+VertexCalc!Ynorm^2)))*180/PI()*SIGN(Xnorm*Ynorm))</f>
        <v>-0.20258903685848983</v>
      </c>
      <c r="X3" s="70">
        <f>IF(OR(Flag="Ignore",Flag="Hole",Flag="Det"),"",(1-(Xnorm*GutCalc!Xnorm+Ynorm*GutCalc!Ynorm)/(SQRT(Xnorm^2+Ynorm^2)*SQRT(GutCalc!Xnorm^2+GutCalc!Ynorm^2))))</f>
        <v>1.9999937489040294</v>
      </c>
      <c r="Y3" s="54">
        <f>IF(OR(Flag="Ignore",Flag="Hole",Flag="Det"),"",VertexCalc!Xsag*COS(Theta*PI()/180)-VertexCalc!Ysag*SIN(Theta*PI()/180))</f>
        <v>0.0035358383539847455</v>
      </c>
      <c r="Z3" s="54">
        <f>IF(OR(Flag="Ignore",Flag="Hole",Flag="Det"),"",VertexCalc!Xsag*SIN(Theta*PI()/180)+VertexCalc!Ysag*COS(Theta*PI()/180))</f>
        <v>0.9999937489040291</v>
      </c>
      <c r="AA3" s="54">
        <f>IF(OR(Flag="Ignore",Flag="Hole",Flag="Det"),"",VertexCalc!Zsag)</f>
        <v>0</v>
      </c>
      <c r="AB3" s="55">
        <f aca="true" t="shared" si="13" ref="AB3:AB22">IF(OR(Flag="Ignore",Flag="Hole",Flag="Det"),"",ACOS(Xsag*Xnorm+Ysag*Ynorm+Zsag*Znorm)*180/PI())</f>
        <v>90.00000000000159</v>
      </c>
    </row>
    <row r="4" spans="3:28" ht="13.5" thickBot="1">
      <c r="C4" s="15"/>
      <c r="D4" s="16" t="s">
        <v>95</v>
      </c>
      <c r="E4" s="16"/>
      <c r="F4" s="18">
        <f ca="1" t="shared" si="5"/>
        <v>2840.131</v>
      </c>
      <c r="G4" s="18">
        <f ca="1" t="shared" si="0"/>
        <v>1.78E-15</v>
      </c>
      <c r="H4" s="18">
        <f ca="1" t="shared" si="0"/>
        <v>-7.11E-15</v>
      </c>
      <c r="I4" s="18">
        <f t="shared" si="6"/>
        <v>1587.5304649999998</v>
      </c>
      <c r="J4" s="18">
        <f t="shared" si="7"/>
        <v>-12.375512999999998</v>
      </c>
      <c r="K4" s="18">
        <f t="shared" si="8"/>
        <v>-54.005491000000006</v>
      </c>
      <c r="L4" s="17">
        <f t="shared" si="1"/>
        <v>1588.49700147129</v>
      </c>
      <c r="M4" s="17">
        <f t="shared" si="2"/>
        <v>0.9993915402607654</v>
      </c>
      <c r="N4" s="17">
        <f t="shared" si="3"/>
        <v>-0.007790705924240089</v>
      </c>
      <c r="O4" s="17">
        <f t="shared" si="4"/>
        <v>-0.033997855173777035</v>
      </c>
      <c r="P4" s="17">
        <f t="shared" si="9"/>
        <v>-1.998783080531279</v>
      </c>
      <c r="Q4" s="17">
        <f t="shared" si="10"/>
        <v>1.4851431889839617E-10</v>
      </c>
      <c r="R4" s="17">
        <f t="shared" si="11"/>
        <v>2.5252468172087816E-10</v>
      </c>
      <c r="S4" s="17">
        <f t="shared" si="12"/>
        <v>1.998783080531279</v>
      </c>
      <c r="T4" s="17">
        <f>IF(OR(Flag="Ignore",Flag="Hole",Flag="Det"),"",dXray/drayMod*VertexCalc!NormDirCorr)</f>
        <v>1</v>
      </c>
      <c r="U4" s="17">
        <f>IF(OR(Flag="Ignore",Flag="Hole",Flag="Det"),"",dYray/drayMod*VertexCalc!NormDirCorr)</f>
        <v>-7.430236944917548E-11</v>
      </c>
      <c r="V4" s="17">
        <f>IF(OR(Flag="Ignore",Flag="Hole",Flag="Det"),"",dZray/drayMod*VertexCalc!NormDirCorr)</f>
        <v>-1.2633921318453265E-10</v>
      </c>
      <c r="W4" s="57">
        <f>IF(OR(Flag="Ignore",Flag="Hole",Flag="Det"),"",ACOS((Xnorm*VertexCalc!Xnorm*SIGN(VertexCalc!NormDir)+Ynorm*VertexCalc!Ynorm*SIGN(VertexCalc!NormDir))/(SQRT(Xnorm^2+Ynorm^2)*SQRT(VertexCalc!Xnorm^2+VertexCalc!Ynorm^2)))*180/PI()*SIGN(Xnorm*Ynorm))</f>
        <v>0</v>
      </c>
      <c r="X4" s="71">
        <f>IF(OR(Flag="Ignore",Flag="Hole",Flag="Det"),"",(1-(Xnorm*GutCalc!Xnorm+Ynorm*GutCalc!Ynorm)/(SQRT(Xnorm^2+Ynorm^2)*SQRT(GutCalc!Xnorm^2+GutCalc!Ynorm^2))))</f>
        <v>2</v>
      </c>
      <c r="Y4" s="57">
        <f>IF(OR(Flag="Ignore",Flag="Hole",Flag="Det"),"",VertexCalc!Xsag*COS(Theta*PI()/180)-VertexCalc!Ysag*SIN(Theta*PI()/180))</f>
        <v>0</v>
      </c>
      <c r="Z4" s="57">
        <f>IF(OR(Flag="Ignore",Flag="Hole",Flag="Det"),"",VertexCalc!Xsag*SIN(Theta*PI()/180)+VertexCalc!Ysag*COS(Theta*PI()/180))</f>
        <v>1</v>
      </c>
      <c r="AA4" s="57">
        <f>IF(OR(Flag="Ignore",Flag="Hole",Flag="Det"),"",VertexCalc!Zsag)</f>
        <v>0</v>
      </c>
      <c r="AB4" s="58">
        <f t="shared" si="13"/>
        <v>90.0000000042572</v>
      </c>
    </row>
    <row r="5" spans="1:28" ht="13.5" thickBot="1">
      <c r="A5" s="1" t="s">
        <v>3</v>
      </c>
      <c r="B5" s="27" t="s">
        <v>166</v>
      </c>
      <c r="C5" s="10" t="s">
        <v>123</v>
      </c>
      <c r="D5" s="11" t="s">
        <v>96</v>
      </c>
      <c r="E5" s="11" t="s">
        <v>163</v>
      </c>
      <c r="F5" s="13">
        <f ca="1" t="shared" si="5"/>
        <v>229.022003</v>
      </c>
      <c r="G5" s="13">
        <f ca="1" t="shared" si="0"/>
        <v>-20.354767</v>
      </c>
      <c r="H5" s="13">
        <f ca="1" t="shared" si="0"/>
        <v>-88.826152</v>
      </c>
      <c r="I5" s="13">
        <f t="shared" si="6"/>
        <v>-2611.108997</v>
      </c>
      <c r="J5" s="13">
        <f t="shared" si="7"/>
        <v>-20.354767000000002</v>
      </c>
      <c r="K5" s="13">
        <f t="shared" si="8"/>
        <v>-88.82615199999998</v>
      </c>
      <c r="L5" s="12">
        <f t="shared" si="1"/>
        <v>2612.6987189557653</v>
      </c>
      <c r="M5" s="12">
        <f t="shared" si="2"/>
        <v>-0.9993915402705135</v>
      </c>
      <c r="N5" s="12">
        <f t="shared" si="3"/>
        <v>-0.00779070577572577</v>
      </c>
      <c r="O5" s="12">
        <f t="shared" si="4"/>
        <v>-0.03399785492125235</v>
      </c>
      <c r="P5" s="12">
        <f t="shared" si="9"/>
      </c>
      <c r="Q5" s="12">
        <f t="shared" si="10"/>
      </c>
      <c r="R5" s="12">
        <f t="shared" si="11"/>
      </c>
      <c r="S5" s="12">
        <f t="shared" si="12"/>
      </c>
      <c r="T5" s="12">
        <f>IF(OR(Flag="Ignore",Flag="Hole",Flag="Det"),"",dXray/drayMod*VertexCalc!NormDirCorr)</f>
      </c>
      <c r="U5" s="12">
        <f>IF(OR(Flag="Ignore",Flag="Hole",Flag="Det"),"",dYray/drayMod*VertexCalc!NormDirCorr)</f>
      </c>
      <c r="V5" s="12">
        <f>IF(OR(Flag="Ignore",Flag="Hole",Flag="Det"),"",dZray/drayMod*VertexCalc!NormDirCorr)</f>
      </c>
      <c r="W5" s="54">
        <f>IF(OR(Flag="Ignore",Flag="Hole",Flag="Det"),"",ACOS((Xnorm*VertexCalc!Xnorm*SIGN(VertexCalc!NormDir)+Ynorm*VertexCalc!Ynorm*SIGN(VertexCalc!NormDir))/(SQRT(Xnorm^2+Ynorm^2)*SQRT(VertexCalc!Xnorm^2+VertexCalc!Ynorm^2)))*180/PI()*SIGN(Xnorm*Ynorm))</f>
      </c>
      <c r="X5" s="70">
        <f>IF(OR(Flag="Ignore",Flag="Hole",Flag="Det"),"",(1-(Xnorm*GutCalc!Xnorm+Ynorm*GutCalc!Ynorm)/(SQRT(Xnorm^2+Ynorm^2)*SQRT(GutCalc!Xnorm^2+GutCalc!Ynorm^2))))</f>
      </c>
      <c r="Y5" s="54">
        <f>IF(OR(Flag="Ignore",Flag="Hole",Flag="Det"),"",VertexCalc!Xsag*COS(Theta*PI()/180)-VertexCalc!Ysag*SIN(Theta*PI()/180))</f>
      </c>
      <c r="Z5" s="54">
        <f>IF(OR(Flag="Ignore",Flag="Hole",Flag="Det"),"",VertexCalc!Xsag*SIN(Theta*PI()/180)+VertexCalc!Ysag*COS(Theta*PI()/180))</f>
      </c>
      <c r="AA5" s="54">
        <f>IF(OR(Flag="Ignore",Flag="Hole",Flag="Det"),"",VertexCalc!Zsag)</f>
      </c>
      <c r="AB5" s="55">
        <f t="shared" si="13"/>
      </c>
    </row>
    <row r="6" spans="3:31" ht="12.75">
      <c r="C6" s="20"/>
      <c r="D6" s="21" t="s">
        <v>97</v>
      </c>
      <c r="E6" s="21"/>
      <c r="F6" s="23">
        <f ca="1" t="shared" si="5"/>
        <v>132.089046</v>
      </c>
      <c r="G6" s="23">
        <f ca="1" t="shared" si="0"/>
        <v>-21.110403</v>
      </c>
      <c r="H6" s="23">
        <f ca="1" t="shared" si="0"/>
        <v>-92.123671</v>
      </c>
      <c r="I6" s="23">
        <f t="shared" si="6"/>
        <v>-96.93295700000002</v>
      </c>
      <c r="J6" s="23">
        <f t="shared" si="7"/>
        <v>-0.7556360000000026</v>
      </c>
      <c r="K6" s="23">
        <f t="shared" si="8"/>
        <v>-3.2975190000000083</v>
      </c>
      <c r="L6" s="22">
        <f t="shared" si="1"/>
        <v>96.9919727095171</v>
      </c>
      <c r="M6" s="22">
        <f t="shared" si="2"/>
        <v>-0.9993915402701022</v>
      </c>
      <c r="N6" s="22">
        <f t="shared" si="3"/>
        <v>-0.007790706580049358</v>
      </c>
      <c r="O6" s="22">
        <f t="shared" si="4"/>
        <v>-0.03399785474902963</v>
      </c>
      <c r="P6" s="22">
        <f t="shared" si="9"/>
        <v>1.8576483563603174</v>
      </c>
      <c r="Q6" s="22">
        <f t="shared" si="10"/>
        <v>0.10627744567888708</v>
      </c>
      <c r="R6" s="22">
        <f t="shared" si="11"/>
        <v>-0.4696841876709521</v>
      </c>
      <c r="S6" s="22">
        <f t="shared" si="12"/>
        <v>1.919050689141988</v>
      </c>
      <c r="T6" s="22">
        <f>IF(OR(Flag="Ignore",Flag="Hole",Flag="Det"),"",dXray/drayMod*VertexCalc!NormDirCorr)</f>
        <v>-0.9680037983732864</v>
      </c>
      <c r="U6" s="22">
        <f>IF(OR(Flag="Ignore",Flag="Hole",Flag="Det"),"",dYray/drayMod*VertexCalc!NormDirCorr)</f>
        <v>-0.05538021808397566</v>
      </c>
      <c r="V6" s="22">
        <f>IF(OR(Flag="Ignore",Flag="Hole",Flag="Det"),"",dZray/drayMod*VertexCalc!NormDirCorr)</f>
        <v>0.24474819259774164</v>
      </c>
      <c r="W6" s="51">
        <f>IF(OR(Flag="Ignore",Flag="Hole",Flag="Det"),"",ACOS((Xnorm*VertexCalc!Xnorm*SIGN(VertexCalc!NormDir)+Ynorm*VertexCalc!Ynorm*SIGN(VertexCalc!NormDir))/(SQRT(Xnorm^2+Ynorm^2)*SQRT(VertexCalc!Xnorm^2+VertexCalc!Ynorm^2)))*180/PI()*SIGN(Xnorm*Ynorm))</f>
        <v>3.274364913555407</v>
      </c>
      <c r="X6" s="73">
        <f>IF(OR(Flag="Ignore",Flag="Hole",Flag="Det"),"",(1-(Xnorm*GutCalc!Xnorm+Ynorm*GutCalc!Ynorm)/(SQRT(Xnorm^2+Ynorm^2)*SQRT(GutCalc!Xnorm^2+GutCalc!Ynorm^2))))</f>
        <v>1.9983674717931266</v>
      </c>
      <c r="Y6" s="51">
        <f>IF(OR(Flag="Ignore",Flag="Hole",Flag="Det"),"",VertexCalc!Xsag*COS(Theta*PI()/180)-VertexCalc!Ysag*SIN(Theta*PI()/180))</f>
        <v>-0.05711734644922337</v>
      </c>
      <c r="Z6" s="51">
        <f>IF(OR(Flag="Ignore",Flag="Hole",Flag="Det"),"",VertexCalc!Xsag*SIN(Theta*PI()/180)+VertexCalc!Ysag*COS(Theta*PI()/180))</f>
        <v>0.9983674717931266</v>
      </c>
      <c r="AA6" s="51">
        <f>IF(OR(Flag="Ignore",Flag="Hole",Flag="Det"),"",VertexCalc!Zsag)</f>
        <v>0</v>
      </c>
      <c r="AB6" s="52">
        <f t="shared" si="13"/>
        <v>89.99999999999997</v>
      </c>
      <c r="AD6" s="36"/>
      <c r="AE6" s="36"/>
    </row>
    <row r="7" spans="3:28" ht="12.75">
      <c r="C7" s="20"/>
      <c r="D7" s="21" t="s">
        <v>99</v>
      </c>
      <c r="E7" s="21"/>
      <c r="F7" s="23">
        <f ca="1" t="shared" si="5"/>
        <v>316.115744</v>
      </c>
      <c r="G7" s="23">
        <f ca="1" t="shared" si="0"/>
        <v>0.00704</v>
      </c>
      <c r="H7" s="23">
        <f ca="1" t="shared" si="0"/>
        <v>-200.122747</v>
      </c>
      <c r="I7" s="23">
        <f t="shared" si="6"/>
        <v>184.026698</v>
      </c>
      <c r="J7" s="23">
        <f t="shared" si="7"/>
        <v>21.117443</v>
      </c>
      <c r="K7" s="23">
        <f t="shared" si="8"/>
        <v>-107.999076</v>
      </c>
      <c r="L7" s="22">
        <f t="shared" si="1"/>
        <v>214.41915117940195</v>
      </c>
      <c r="M7" s="22">
        <f t="shared" si="2"/>
        <v>0.8582568160902151</v>
      </c>
      <c r="N7" s="22">
        <f t="shared" si="3"/>
        <v>0.09848673909883772</v>
      </c>
      <c r="O7" s="22">
        <f t="shared" si="4"/>
        <v>-0.5036820424199817</v>
      </c>
      <c r="P7" s="22">
        <f t="shared" si="9"/>
        <v>-1.8488477203500944</v>
      </c>
      <c r="Q7" s="22">
        <f t="shared" si="10"/>
        <v>5.110376843919795E-10</v>
      </c>
      <c r="R7" s="22">
        <f t="shared" si="11"/>
        <v>0.5987084730517365</v>
      </c>
      <c r="S7" s="22">
        <f t="shared" si="12"/>
        <v>1.9433707131547708</v>
      </c>
      <c r="T7" s="22">
        <f>IF(OR(Flag="Ignore",Flag="Hole",Flag="Det"),"",dXray/drayMod*VertexCalc!NormDirCorr)</f>
        <v>0.9513613166212469</v>
      </c>
      <c r="U7" s="22">
        <f>IF(OR(Flag="Ignore",Flag="Hole",Flag="Det"),"",dYray/drayMod*VertexCalc!NormDirCorr)</f>
        <v>-2.629645908177686E-10</v>
      </c>
      <c r="V7" s="22">
        <f>IF(OR(Flag="Ignore",Flag="Hole",Flag="Det"),"",dZray/drayMod*VertexCalc!NormDirCorr)</f>
        <v>-0.3080773364541565</v>
      </c>
      <c r="W7" s="51">
        <f>IF(OR(Flag="Ignore",Flag="Hole",Flag="Det"),"",ACOS((Xnorm*VertexCalc!Xnorm*SIGN(VertexCalc!NormDir)+Ynorm*VertexCalc!Ynorm*SIGN(VertexCalc!NormDir))/(SQRT(Xnorm^2+Ynorm^2)*SQRT(VertexCalc!Xnorm^2+VertexCalc!Ynorm^2)))*180/PI()*SIGN(Xnorm*Ynorm))</f>
        <v>0</v>
      </c>
      <c r="X7" s="73">
        <f>IF(OR(Flag="Ignore",Flag="Hole",Flag="Det"),"",(1-(Xnorm*GutCalc!Xnorm+Ynorm*GutCalc!Ynorm)/(SQRT(Xnorm^2+Ynorm^2)*SQRT(GutCalc!Xnorm^2+GutCalc!Ynorm^2))))</f>
        <v>2</v>
      </c>
      <c r="Y7" s="51">
        <f>IF(OR(Flag="Ignore",Flag="Hole",Flag="Det"),"",VertexCalc!Xsag*COS(Theta*PI()/180)-VertexCalc!Ysag*SIN(Theta*PI()/180))</f>
        <v>0</v>
      </c>
      <c r="Z7" s="51">
        <f>IF(OR(Flag="Ignore",Flag="Hole",Flag="Det"),"",VertexCalc!Xsag*SIN(Theta*PI()/180)+VertexCalc!Ysag*COS(Theta*PI()/180))</f>
        <v>1</v>
      </c>
      <c r="AA7" s="51">
        <f>IF(OR(Flag="Ignore",Flag="Hole",Flag="Det"),"",VertexCalc!Zsag)</f>
        <v>0</v>
      </c>
      <c r="AB7" s="52">
        <f t="shared" si="13"/>
        <v>90.00000001506676</v>
      </c>
    </row>
    <row r="8" spans="3:28" s="5" customFormat="1" ht="13.5" thickBot="1">
      <c r="C8" s="43"/>
      <c r="D8" s="44" t="s">
        <v>100</v>
      </c>
      <c r="E8" s="44"/>
      <c r="F8" s="45">
        <f ca="1" t="shared" si="5"/>
        <v>120.054658</v>
      </c>
      <c r="G8" s="45">
        <f ca="1" t="shared" si="0"/>
        <v>19.499867</v>
      </c>
      <c r="H8" s="45">
        <f ca="1" t="shared" si="0"/>
        <v>-181.314796</v>
      </c>
      <c r="I8" s="45">
        <f t="shared" si="6"/>
        <v>-196.061086</v>
      </c>
      <c r="J8" s="45">
        <f t="shared" si="7"/>
        <v>19.492827</v>
      </c>
      <c r="K8" s="45">
        <f t="shared" si="8"/>
        <v>18.807951000000003</v>
      </c>
      <c r="L8" s="46">
        <f t="shared" si="1"/>
        <v>197.92336589895018</v>
      </c>
      <c r="M8" s="46">
        <f t="shared" si="2"/>
        <v>-0.9905909042598792</v>
      </c>
      <c r="N8" s="46">
        <f t="shared" si="3"/>
        <v>0.0984867396098754</v>
      </c>
      <c r="O8" s="46">
        <f t="shared" si="4"/>
        <v>0.09502643063175475</v>
      </c>
      <c r="P8" s="46">
        <f t="shared" si="9"/>
        <v>1.902079501569418</v>
      </c>
      <c r="Q8" s="46">
        <f t="shared" si="10"/>
        <v>-0.13816254814672796</v>
      </c>
      <c r="R8" s="46">
        <f t="shared" si="11"/>
        <v>-0.5044337671459364</v>
      </c>
      <c r="S8" s="46">
        <f t="shared" si="12"/>
        <v>1.9726755296900713</v>
      </c>
      <c r="T8" s="46">
        <f>IF(OR(Flag="Ignore",Flag="Hole",Flag="Det"),"",dXray/drayMod*VertexCalc!NormDirCorr)</f>
        <v>-0.9642130562993577</v>
      </c>
      <c r="U8" s="46">
        <f>IF(OR(Flag="Ignore",Flag="Hole",Flag="Det"),"",dYray/drayMod*VertexCalc!NormDirCorr)</f>
        <v>0.07003815177270171</v>
      </c>
      <c r="V8" s="46">
        <f>IF(OR(Flag="Ignore",Flag="Hole",Flag="Det"),"",dZray/drayMod*VertexCalc!NormDirCorr)</f>
        <v>0.25571046000919795</v>
      </c>
      <c r="W8" s="74">
        <f>IF(OR(Flag="Ignore",Flag="Hole",Flag="Det"),"",ACOS((Xnorm*VertexCalc!Xnorm*SIGN(VertexCalc!NormDir)+Ynorm*VertexCalc!Ynorm*SIGN(VertexCalc!NormDir))/(SQRT(Xnorm^2+Ynorm^2)*SQRT(VertexCalc!Xnorm^2+VertexCalc!Ynorm^2)))*180/PI()*SIGN(Xnorm*Ynorm))</f>
        <v>-4.154533166530466</v>
      </c>
      <c r="X8" s="75">
        <f>IF(OR(Flag="Ignore",Flag="Hole",Flag="Det"),"",(1-(Xnorm*GutCalc!Xnorm+Ynorm*GutCalc!Ynorm)/(SQRT(Xnorm^2+Ynorm^2)*SQRT(GutCalc!Xnorm^2+GutCalc!Ynorm^2))))</f>
        <v>1.9973722810806622</v>
      </c>
      <c r="Y8" s="74">
        <f>IF(OR(Flag="Ignore",Flag="Hole",Flag="Det"),"",VertexCalc!Xsag*COS(Theta*PI()/180)-VertexCalc!Ysag*SIN(Theta*PI()/180))</f>
        <v>0.07244675929230021</v>
      </c>
      <c r="Z8" s="74">
        <f>IF(OR(Flag="Ignore",Flag="Hole",Flag="Det"),"",VertexCalc!Xsag*SIN(Theta*PI()/180)+VertexCalc!Ysag*COS(Theta*PI()/180))</f>
        <v>0.9973722810806622</v>
      </c>
      <c r="AA8" s="74">
        <f>IF(OR(Flag="Ignore",Flag="Hole",Flag="Det"),"",VertexCalc!Zsag)</f>
        <v>0</v>
      </c>
      <c r="AB8" s="76">
        <f t="shared" si="13"/>
        <v>89.99999999999997</v>
      </c>
    </row>
    <row r="9" spans="3:28" ht="12.75">
      <c r="C9" s="10" t="s">
        <v>124</v>
      </c>
      <c r="D9" s="11" t="s">
        <v>103</v>
      </c>
      <c r="E9" s="11"/>
      <c r="F9" s="13">
        <f ca="1" t="shared" si="5"/>
        <v>296.20107</v>
      </c>
      <c r="G9" s="13">
        <f ca="1" t="shared" si="0"/>
        <v>11.832463</v>
      </c>
      <c r="H9" s="13">
        <f ca="1" t="shared" si="0"/>
        <v>-260.433321</v>
      </c>
      <c r="I9" s="13">
        <f t="shared" si="6"/>
        <v>176.146412</v>
      </c>
      <c r="J9" s="13">
        <f t="shared" si="7"/>
        <v>-7.667403999999998</v>
      </c>
      <c r="K9" s="13">
        <f t="shared" si="8"/>
        <v>-79.11852499999998</v>
      </c>
      <c r="L9" s="12">
        <f t="shared" si="1"/>
        <v>193.25136103724748</v>
      </c>
      <c r="M9" s="12">
        <f t="shared" si="2"/>
        <v>0.911488597309539</v>
      </c>
      <c r="N9" s="12">
        <f t="shared" si="3"/>
        <v>-0.03967580853685255</v>
      </c>
      <c r="O9" s="12">
        <f t="shared" si="4"/>
        <v>-0.4094073365141816</v>
      </c>
      <c r="P9" s="12">
        <f t="shared" si="9"/>
        <v>-1.9060960045783064</v>
      </c>
      <c r="Q9" s="12">
        <f t="shared" si="10"/>
        <v>0.06360154389549083</v>
      </c>
      <c r="R9" s="12">
        <f t="shared" si="11"/>
        <v>0.30849319184829005</v>
      </c>
      <c r="S9" s="12">
        <f t="shared" si="12"/>
        <v>1.9319459579584568</v>
      </c>
      <c r="T9" s="12">
        <f>IF(OR(Flag="Ignore",Flag="Hole",Flag="Det"),"",dXray/drayMod*VertexCalc!NormDirCorr)</f>
        <v>0.9866197326723016</v>
      </c>
      <c r="U9" s="12">
        <f>IF(OR(Flag="Ignore",Flag="Hole",Flag="Det"),"",dYray/drayMod*VertexCalc!NormDirCorr)</f>
        <v>-0.03292097464398042</v>
      </c>
      <c r="V9" s="12">
        <f>IF(OR(Flag="Ignore",Flag="Hole",Flag="Det"),"",dZray/drayMod*VertexCalc!NormDirCorr)</f>
        <v>-0.15968003172008172</v>
      </c>
      <c r="W9" s="54">
        <f>IF(OR(Flag="Ignore",Flag="Hole",Flag="Det"),"",ACOS((Xnorm*VertexCalc!Xnorm*SIGN(VertexCalc!NormDir)+Ynorm*VertexCalc!Ynorm*SIGN(VertexCalc!NormDir))/(SQRT(Xnorm^2+Ynorm^2)*SQRT(VertexCalc!Xnorm^2+VertexCalc!Ynorm^2)))*180/PI()*SIGN(Xnorm*Ynorm))</f>
        <v>-1.9111044247943842</v>
      </c>
      <c r="X9" s="70">
        <f>IF(OR(Flag="Ignore",Flag="Hole",Flag="Det"),"",(1-(Xnorm*GutCalc!Xnorm+Ynorm*GutCalc!Ynorm)/(SQRT(Xnorm^2+Ynorm^2)*SQRT(GutCalc!Xnorm^2+GutCalc!Ynorm^2))))</f>
        <v>1.9994437714067206</v>
      </c>
      <c r="Y9" s="54">
        <f>IF(OR(Flag="Ignore",Flag="Hole",Flag="Det"),"",VertexCalc!Xsag*COS(Theta*PI()/180)-VertexCalc!Ysag*SIN(Theta*PI()/180))</f>
        <v>0.033348879985856575</v>
      </c>
      <c r="Z9" s="54">
        <f>IF(OR(Flag="Ignore",Flag="Hole",Flag="Det"),"",VertexCalc!Xsag*SIN(Theta*PI()/180)+VertexCalc!Ysag*COS(Theta*PI()/180))</f>
        <v>0.9994437714067205</v>
      </c>
      <c r="AA9" s="54">
        <f>IF(OR(Flag="Ignore",Flag="Hole",Flag="Det"),"",VertexCalc!Zsag)</f>
        <v>0</v>
      </c>
      <c r="AB9" s="55">
        <f t="shared" si="13"/>
        <v>89.9999999999999</v>
      </c>
    </row>
    <row r="10" spans="3:28" ht="12.75">
      <c r="C10" s="20"/>
      <c r="D10" s="21" t="s">
        <v>106</v>
      </c>
      <c r="E10" s="21"/>
      <c r="F10" s="23">
        <f ca="1" t="shared" si="5"/>
        <v>94.24581</v>
      </c>
      <c r="G10" s="23">
        <f ca="1" t="shared" si="0"/>
        <v>16.690589</v>
      </c>
      <c r="H10" s="23">
        <f ca="1" t="shared" si="0"/>
        <v>-280.923961</v>
      </c>
      <c r="I10" s="23">
        <f t="shared" si="6"/>
        <v>-201.95526</v>
      </c>
      <c r="J10" s="23">
        <f t="shared" si="7"/>
        <v>4.858125999999999</v>
      </c>
      <c r="K10" s="23">
        <f t="shared" si="8"/>
        <v>-20.49064000000004</v>
      </c>
      <c r="L10" s="22">
        <f t="shared" si="1"/>
        <v>203.05022717916145</v>
      </c>
      <c r="M10" s="22">
        <f t="shared" si="2"/>
        <v>-0.9946074072687675</v>
      </c>
      <c r="N10" s="22">
        <f t="shared" si="3"/>
        <v>0.02392573535863828</v>
      </c>
      <c r="O10" s="22">
        <f t="shared" si="4"/>
        <v>-0.10091414466589155</v>
      </c>
      <c r="P10" s="22">
        <f t="shared" si="9"/>
        <v>1.7735807286435192</v>
      </c>
      <c r="Q10" s="22">
        <f t="shared" si="10"/>
        <v>-0.09343302945652342</v>
      </c>
      <c r="R10" s="22">
        <f t="shared" si="11"/>
        <v>-0.5222786831599573</v>
      </c>
      <c r="S10" s="22">
        <f t="shared" si="12"/>
        <v>1.8512410310093061</v>
      </c>
      <c r="T10" s="22">
        <f>IF(OR(Flag="Ignore",Flag="Hole",Flag="Det"),"",dXray/drayMod*VertexCalc!NormDirCorr)</f>
        <v>-0.9580495996658813</v>
      </c>
      <c r="U10" s="22">
        <f>IF(OR(Flag="Ignore",Flag="Hole",Flag="Det"),"",dYray/drayMod*VertexCalc!NormDirCorr)</f>
        <v>0.05047048325499962</v>
      </c>
      <c r="V10" s="22">
        <f>IF(OR(Flag="Ignore",Flag="Hole",Flag="Det"),"",dZray/drayMod*VertexCalc!NormDirCorr)</f>
        <v>0.2821235454549148</v>
      </c>
      <c r="W10" s="51">
        <f>IF(OR(Flag="Ignore",Flag="Hole",Flag="Det"),"",ACOS((Xnorm*VertexCalc!Xnorm*SIGN(VertexCalc!NormDir)+Ynorm*VertexCalc!Ynorm*SIGN(VertexCalc!NormDir))/(SQRT(Xnorm^2+Ynorm^2)*SQRT(VertexCalc!Xnorm^2+VertexCalc!Ynorm^2)))*180/PI()*SIGN(Xnorm*Ynorm))</f>
        <v>-3.0155798205953874</v>
      </c>
      <c r="X10" s="73">
        <f>IF(OR(Flag="Ignore",Flag="Hole",Flag="Det"),"",(1-(Xnorm*GutCalc!Xnorm+Ynorm*GutCalc!Ynorm)/(SQRT(Xnorm^2+Ynorm^2)*SQRT(GutCalc!Xnorm^2+GutCalc!Ynorm^2))))</f>
        <v>1.998615266685812</v>
      </c>
      <c r="Y10" s="51">
        <f>IF(OR(Flag="Ignore",Flag="Hole",Flag="Det"),"",VertexCalc!Xsag*COS(Theta*PI()/180)-VertexCalc!Ysag*SIN(Theta*PI()/180))</f>
        <v>0.05260750081522893</v>
      </c>
      <c r="Z10" s="51">
        <f>IF(OR(Flag="Ignore",Flag="Hole",Flag="Det"),"",VertexCalc!Xsag*SIN(Theta*PI()/180)+VertexCalc!Ysag*COS(Theta*PI()/180))</f>
        <v>0.9986152666858121</v>
      </c>
      <c r="AA10" s="51">
        <f>IF(OR(Flag="Ignore",Flag="Hole",Flag="Det"),"",VertexCalc!Zsag)</f>
        <v>0</v>
      </c>
      <c r="AB10" s="52">
        <f t="shared" si="13"/>
        <v>89.99999999999997</v>
      </c>
    </row>
    <row r="11" spans="3:28" ht="12.75">
      <c r="C11" s="20"/>
      <c r="D11" s="21" t="s">
        <v>109</v>
      </c>
      <c r="E11" s="21"/>
      <c r="F11" s="23">
        <f ca="1" t="shared" si="5"/>
        <v>240.511584</v>
      </c>
      <c r="G11" s="23">
        <f ca="1" t="shared" si="0"/>
        <v>3.639387</v>
      </c>
      <c r="H11" s="23">
        <f ca="1" t="shared" si="0"/>
        <v>-397.939241</v>
      </c>
      <c r="I11" s="23">
        <f t="shared" si="6"/>
        <v>146.265774</v>
      </c>
      <c r="J11" s="23">
        <f t="shared" si="7"/>
        <v>-13.051202</v>
      </c>
      <c r="K11" s="23">
        <f t="shared" si="8"/>
        <v>-117.01527999999996</v>
      </c>
      <c r="L11" s="22">
        <f t="shared" si="1"/>
        <v>187.76737275400714</v>
      </c>
      <c r="M11" s="22">
        <f t="shared" si="2"/>
        <v>0.7789733213747516</v>
      </c>
      <c r="N11" s="22">
        <f t="shared" si="3"/>
        <v>-0.06950729409788514</v>
      </c>
      <c r="O11" s="22">
        <f t="shared" si="4"/>
        <v>-0.6231928278258488</v>
      </c>
      <c r="P11" s="22">
        <f t="shared" si="9"/>
        <v>-1.4607952516757998</v>
      </c>
      <c r="Q11" s="22">
        <f t="shared" si="10"/>
        <v>0.018597348263609162</v>
      </c>
      <c r="R11" s="22">
        <f t="shared" si="11"/>
        <v>-0.10655167045810798</v>
      </c>
      <c r="S11" s="22">
        <f t="shared" si="12"/>
        <v>1.4647941449768342</v>
      </c>
      <c r="T11" s="22">
        <f>IF(OR(Flag="Ignore",Flag="Hole",Flag="Det"),"",dXray/drayMod*VertexCalc!NormDirCorr)</f>
        <v>0.9972699963918155</v>
      </c>
      <c r="U11" s="22">
        <f>IF(OR(Flag="Ignore",Flag="Hole",Flag="Det"),"",dYray/drayMod*VertexCalc!NormDirCorr)</f>
        <v>-0.012696219688878727</v>
      </c>
      <c r="V11" s="22">
        <f>IF(OR(Flag="Ignore",Flag="Hole",Flag="Det"),"",dZray/drayMod*VertexCalc!NormDirCorr)</f>
        <v>0.07274173700345662</v>
      </c>
      <c r="W11" s="51">
        <f>IF(OR(Flag="Ignore",Flag="Hole",Flag="Det"),"",ACOS((Xnorm*VertexCalc!Xnorm*SIGN(VertexCalc!NormDir)+Ynorm*VertexCalc!Ynorm*SIGN(VertexCalc!NormDir))/(SQRT(Xnorm^2+Ynorm^2)*SQRT(VertexCalc!Xnorm^2+VertexCalc!Ynorm^2)))*180/PI()*SIGN(Xnorm*Ynorm))</f>
        <v>-0.7293917492750611</v>
      </c>
      <c r="X11" s="73">
        <f>IF(OR(Flag="Ignore",Flag="Hole",Flag="Det"),"",(1-(Xnorm*GutCalc!Xnorm+Ynorm*GutCalc!Ynorm)/(SQRT(Xnorm^2+Ynorm^2)*SQRT(GutCalc!Xnorm^2+GutCalc!Ynorm^2))))</f>
        <v>1.9999189709836052</v>
      </c>
      <c r="Y11" s="51">
        <f>IF(OR(Flag="Ignore",Flag="Hole",Flag="Det"),"",VertexCalc!Xsag*COS(Theta*PI()/180)-VertexCalc!Ysag*SIN(Theta*PI()/180))</f>
        <v>0.012729943718980154</v>
      </c>
      <c r="Z11" s="51">
        <f>IF(OR(Flag="Ignore",Flag="Hole",Flag="Det"),"",VertexCalc!Xsag*SIN(Theta*PI()/180)+VertexCalc!Ysag*COS(Theta*PI()/180))</f>
        <v>0.999918970983605</v>
      </c>
      <c r="AA11" s="51">
        <f>IF(OR(Flag="Ignore",Flag="Hole",Flag="Det"),"",VertexCalc!Zsag)</f>
        <v>0</v>
      </c>
      <c r="AB11" s="52">
        <f t="shared" si="13"/>
        <v>89.99999999999942</v>
      </c>
    </row>
    <row r="12" spans="3:28" ht="12.75">
      <c r="C12" s="20"/>
      <c r="D12" s="21" t="s">
        <v>110</v>
      </c>
      <c r="E12" s="21" t="s">
        <v>163</v>
      </c>
      <c r="F12" s="23">
        <f ca="1" t="shared" si="5"/>
        <v>192.85285</v>
      </c>
      <c r="G12" s="23">
        <f ca="1" t="shared" si="0"/>
        <v>0.080828</v>
      </c>
      <c r="H12" s="23">
        <f ca="1" t="shared" si="0"/>
        <v>-448.947719</v>
      </c>
      <c r="I12" s="23">
        <f t="shared" si="6"/>
        <v>-47.65873400000001</v>
      </c>
      <c r="J12" s="23">
        <f t="shared" si="7"/>
        <v>-3.5585590000000002</v>
      </c>
      <c r="K12" s="23">
        <f t="shared" si="8"/>
        <v>-51.008478000000025</v>
      </c>
      <c r="L12" s="22">
        <f t="shared" si="1"/>
        <v>69.89909224386054</v>
      </c>
      <c r="M12" s="22">
        <f t="shared" si="2"/>
        <v>-0.6818219303010481</v>
      </c>
      <c r="N12" s="22">
        <f t="shared" si="3"/>
        <v>-0.05090994583427598</v>
      </c>
      <c r="O12" s="22">
        <f t="shared" si="4"/>
        <v>-0.7297444982839568</v>
      </c>
      <c r="P12" s="22">
        <f t="shared" si="9"/>
      </c>
      <c r="Q12" s="22">
        <f t="shared" si="10"/>
      </c>
      <c r="R12" s="22">
        <f t="shared" si="11"/>
      </c>
      <c r="S12" s="22">
        <f t="shared" si="12"/>
      </c>
      <c r="T12" s="22">
        <f>IF(OR(Flag="Ignore",Flag="Hole",Flag="Det"),"",dXray/drayMod*VertexCalc!NormDirCorr)</f>
      </c>
      <c r="U12" s="22">
        <f>IF(OR(Flag="Ignore",Flag="Hole",Flag="Det"),"",dYray/drayMod*VertexCalc!NormDirCorr)</f>
      </c>
      <c r="V12" s="22">
        <f>IF(OR(Flag="Ignore",Flag="Hole",Flag="Det"),"",dZray/drayMod*VertexCalc!NormDirCorr)</f>
      </c>
      <c r="W12" s="51">
        <f>IF(OR(Flag="Ignore",Flag="Hole",Flag="Det"),"",ACOS((Xnorm*VertexCalc!Xnorm*SIGN(VertexCalc!NormDir)+Ynorm*VertexCalc!Ynorm*SIGN(VertexCalc!NormDir))/(SQRT(Xnorm^2+Ynorm^2)*SQRT(VertexCalc!Xnorm^2+VertexCalc!Ynorm^2)))*180/PI()*SIGN(Xnorm*Ynorm))</f>
      </c>
      <c r="X12" s="73">
        <f>IF(OR(Flag="Ignore",Flag="Hole",Flag="Det"),"",(1-(Xnorm*GutCalc!Xnorm+Ynorm*GutCalc!Ynorm)/(SQRT(Xnorm^2+Ynorm^2)*SQRT(GutCalc!Xnorm^2+GutCalc!Ynorm^2))))</f>
      </c>
      <c r="Y12" s="51">
        <f>IF(OR(Flag="Ignore",Flag="Hole",Flag="Det"),"",VertexCalc!Xsag*COS(Theta*PI()/180)-VertexCalc!Ysag*SIN(Theta*PI()/180))</f>
      </c>
      <c r="Z12" s="51">
        <f>IF(OR(Flag="Ignore",Flag="Hole",Flag="Det"),"",VertexCalc!Xsag*SIN(Theta*PI()/180)+VertexCalc!Ysag*COS(Theta*PI()/180))</f>
      </c>
      <c r="AA12" s="51">
        <f>IF(OR(Flag="Ignore",Flag="Hole",Flag="Det"),"",VertexCalc!Zsag)</f>
      </c>
      <c r="AB12" s="52">
        <f t="shared" si="13"/>
      </c>
    </row>
    <row r="13" spans="3:28" ht="13.5" thickBot="1">
      <c r="C13" s="15"/>
      <c r="D13" s="16" t="s">
        <v>111</v>
      </c>
      <c r="E13" s="16"/>
      <c r="F13" s="18">
        <f ca="1" t="shared" si="5"/>
        <v>104.270608</v>
      </c>
      <c r="G13" s="18">
        <f ca="1" t="shared" si="0"/>
        <v>-6.533386</v>
      </c>
      <c r="H13" s="18">
        <f ca="1" t="shared" si="0"/>
        <v>-543.756057</v>
      </c>
      <c r="I13" s="18">
        <f t="shared" si="6"/>
        <v>-88.582242</v>
      </c>
      <c r="J13" s="18">
        <f t="shared" si="7"/>
        <v>-6.6142140000000005</v>
      </c>
      <c r="K13" s="18">
        <f t="shared" si="8"/>
        <v>-94.80833800000005</v>
      </c>
      <c r="L13" s="17">
        <f t="shared" si="1"/>
        <v>129.91990755425672</v>
      </c>
      <c r="M13" s="17">
        <f t="shared" si="2"/>
        <v>-0.6818219291220368</v>
      </c>
      <c r="N13" s="17">
        <f t="shared" si="3"/>
        <v>-0.050909934624436166</v>
      </c>
      <c r="O13" s="17">
        <f t="shared" si="4"/>
        <v>-0.729744500167586</v>
      </c>
      <c r="P13" s="17">
        <f t="shared" si="9"/>
        <v>1.6737811169087031</v>
      </c>
      <c r="Q13" s="17">
        <f t="shared" si="10"/>
        <v>0.035008029571202304</v>
      </c>
      <c r="R13" s="17">
        <f t="shared" si="11"/>
        <v>0.8552996640649528</v>
      </c>
      <c r="S13" s="17">
        <f t="shared" si="12"/>
        <v>1.8799750808998041</v>
      </c>
      <c r="T13" s="17">
        <f>IF(OR(Flag="Ignore",Flag="Hole",Flag="Det"),"",dXray/drayMod*VertexCalc!NormDirCorr)</f>
        <v>-0.8903209058002985</v>
      </c>
      <c r="U13" s="17">
        <f>IF(OR(Flag="Ignore",Flag="Hole",Flag="Det"),"",dYray/drayMod*VertexCalc!NormDirCorr)</f>
        <v>-0.01862153915063947</v>
      </c>
      <c r="V13" s="17">
        <f>IF(OR(Flag="Ignore",Flag="Hole",Flag="Det"),"",dZray/drayMod*VertexCalc!NormDirCorr)</f>
        <v>-0.45495266014674224</v>
      </c>
      <c r="W13" s="57">
        <f>IF(OR(Flag="Ignore",Flag="Hole",Flag="Det"),"",ACOS((Xnorm*VertexCalc!Xnorm*SIGN(VertexCalc!NormDir)+Ynorm*VertexCalc!Ynorm*SIGN(VertexCalc!NormDir))/(SQRT(Xnorm^2+Ynorm^2)*SQRT(VertexCalc!Xnorm^2+VertexCalc!Ynorm^2)))*180/PI()*SIGN(Xnorm*Ynorm))</f>
        <v>1.198197250919223</v>
      </c>
      <c r="X13" s="71">
        <f>IF(OR(Flag="Ignore",Flag="Hole",Flag="Det"),"",(1-(Xnorm*GutCalc!Xnorm+Ynorm*GutCalc!Ynorm)/(SQRT(Xnorm^2+Ynorm^2)*SQRT(GutCalc!Xnorm^2+GutCalc!Ynorm^2))))</f>
        <v>1.9997813419103179</v>
      </c>
      <c r="Y13" s="57">
        <f>IF(OR(Flag="Ignore",Flag="Hole",Flag="Det"),"",VertexCalc!Xsag*COS(Theta*PI()/180)-VertexCalc!Ysag*SIN(Theta*PI()/180))</f>
        <v>-0.020910962866503787</v>
      </c>
      <c r="Z13" s="57">
        <f>IF(OR(Flag="Ignore",Flag="Hole",Flag="Det"),"",VertexCalc!Xsag*SIN(Theta*PI()/180)+VertexCalc!Ysag*COS(Theta*PI()/180))</f>
        <v>0.9997813419103178</v>
      </c>
      <c r="AA13" s="57">
        <f>IF(OR(Flag="Ignore",Flag="Hole",Flag="Det"),"",VertexCalc!Zsag)</f>
        <v>0</v>
      </c>
      <c r="AB13" s="58">
        <f t="shared" si="13"/>
        <v>89.99999999999999</v>
      </c>
    </row>
    <row r="14" spans="3:28" ht="12.75">
      <c r="C14" s="10" t="s">
        <v>125</v>
      </c>
      <c r="D14" s="11" t="s">
        <v>113</v>
      </c>
      <c r="E14" s="11"/>
      <c r="F14" s="13">
        <f ca="1" t="shared" si="5"/>
        <v>238.116781</v>
      </c>
      <c r="G14" s="13">
        <f ca="1" t="shared" si="0"/>
        <v>-8.679048</v>
      </c>
      <c r="H14" s="13">
        <f ca="1" t="shared" si="0"/>
        <v>-526.814757</v>
      </c>
      <c r="I14" s="13">
        <f t="shared" si="6"/>
        <v>133.84617300000002</v>
      </c>
      <c r="J14" s="13">
        <f t="shared" si="7"/>
        <v>-2.1456619999999997</v>
      </c>
      <c r="K14" s="13">
        <f t="shared" si="8"/>
        <v>16.94130000000007</v>
      </c>
      <c r="L14" s="12">
        <f t="shared" si="1"/>
        <v>134.9311288689685</v>
      </c>
      <c r="M14" s="12">
        <f t="shared" si="2"/>
        <v>0.9919591877866665</v>
      </c>
      <c r="N14" s="12">
        <f t="shared" si="3"/>
        <v>-0.015901905053233863</v>
      </c>
      <c r="O14" s="12">
        <f t="shared" si="4"/>
        <v>0.12555516389736687</v>
      </c>
      <c r="P14" s="12">
        <f t="shared" si="9"/>
        <v>-1.7219878092506353</v>
      </c>
      <c r="Q14" s="12">
        <f t="shared" si="10"/>
        <v>2.6450244841602633E-09</v>
      </c>
      <c r="R14" s="12">
        <f t="shared" si="11"/>
        <v>-0.8087867068922853</v>
      </c>
      <c r="S14" s="12">
        <f t="shared" si="12"/>
        <v>1.9024662815549374</v>
      </c>
      <c r="T14" s="12">
        <f>IF(OR(Flag="Ignore",Flag="Hole",Flag="Det"),"",dXray/drayMod*VertexCalc!NormDirCorr)</f>
        <v>0.9051344698962065</v>
      </c>
      <c r="U14" s="12">
        <f>IF(OR(Flag="Ignore",Flag="Hole",Flag="Det"),"",dYray/drayMod*VertexCalc!NormDirCorr)</f>
        <v>-1.3903134630057217E-09</v>
      </c>
      <c r="V14" s="12">
        <f>IF(OR(Flag="Ignore",Flag="Hole",Flag="Det"),"",dZray/drayMod*VertexCalc!NormDirCorr)</f>
        <v>0.42512538315856085</v>
      </c>
      <c r="W14" s="54">
        <f>IF(OR(Flag="Ignore",Flag="Hole",Flag="Det"),"",ACOS((Xnorm*VertexCalc!Xnorm*SIGN(VertexCalc!NormDir)+Ynorm*VertexCalc!Ynorm*SIGN(VertexCalc!NormDir))/(SQRT(Xnorm^2+Ynorm^2)*SQRT(VertexCalc!Xnorm^2+VertexCalc!Ynorm^2)))*180/PI()*SIGN(Xnorm*Ynorm))</f>
        <v>0</v>
      </c>
      <c r="X14" s="70">
        <f>IF(OR(Flag="Ignore",Flag="Hole",Flag="Det"),"",(1-(Xnorm*GutCalc!Xnorm+Ynorm*GutCalc!Ynorm)/(SQRT(Xnorm^2+Ynorm^2)*SQRT(GutCalc!Xnorm^2+GutCalc!Ynorm^2))))</f>
        <v>2</v>
      </c>
      <c r="Y14" s="54">
        <f>IF(OR(Flag="Ignore",Flag="Hole",Flag="Det"),"",VertexCalc!Xsag*COS(Theta*PI()/180)-VertexCalc!Ysag*SIN(Theta*PI()/180))</f>
        <v>0</v>
      </c>
      <c r="Z14" s="54">
        <f>IF(OR(Flag="Ignore",Flag="Hole",Flag="Det"),"",VertexCalc!Xsag*SIN(Theta*PI()/180)+VertexCalc!Ysag*COS(Theta*PI()/180))</f>
        <v>1</v>
      </c>
      <c r="AA14" s="54">
        <f>IF(OR(Flag="Ignore",Flag="Hole",Flag="Det"),"",VertexCalc!Zsag)</f>
        <v>0</v>
      </c>
      <c r="AB14" s="55">
        <f t="shared" si="13"/>
        <v>90.00000007965909</v>
      </c>
    </row>
    <row r="15" spans="3:28" ht="12.75">
      <c r="C15" s="20"/>
      <c r="D15" s="21" t="s">
        <v>115</v>
      </c>
      <c r="E15" s="21"/>
      <c r="F15" s="23">
        <f ca="1" t="shared" si="5"/>
        <v>131.35487999999998</v>
      </c>
      <c r="G15" s="23">
        <f ca="1" t="shared" si="0"/>
        <v>-11.004597</v>
      </c>
      <c r="H15" s="23">
        <f ca="1" t="shared" si="0"/>
        <v>-626.732892</v>
      </c>
      <c r="I15" s="23">
        <f t="shared" si="6"/>
        <v>-106.76190100000002</v>
      </c>
      <c r="J15" s="23">
        <f t="shared" si="7"/>
        <v>-2.3255490000000005</v>
      </c>
      <c r="K15" s="23">
        <f t="shared" si="8"/>
        <v>-99.918135</v>
      </c>
      <c r="L15" s="22">
        <f t="shared" si="1"/>
        <v>146.2434456143708</v>
      </c>
      <c r="M15" s="22">
        <f t="shared" si="2"/>
        <v>-0.7300286214639689</v>
      </c>
      <c r="N15" s="22">
        <f t="shared" si="3"/>
        <v>-0.01590190240820938</v>
      </c>
      <c r="O15" s="22">
        <f t="shared" si="4"/>
        <v>-0.6832315429949184</v>
      </c>
      <c r="P15" s="22">
        <f t="shared" si="9"/>
        <v>0.7177706296589029</v>
      </c>
      <c r="Q15" s="22">
        <f t="shared" si="10"/>
        <v>-0.9839711912844178</v>
      </c>
      <c r="R15" s="22">
        <f t="shared" si="11"/>
        <v>0.6730561733976289</v>
      </c>
      <c r="S15" s="22">
        <f t="shared" si="12"/>
        <v>1.3915453979756727</v>
      </c>
      <c r="T15" s="22">
        <f>IF(OR(Flag="Ignore",Flag="Hole",Flag="Det"),"",dXray/drayMod*VertexCalc!NormDirCorr)</f>
        <v>-0.5158082738105905</v>
      </c>
      <c r="U15" s="22">
        <f>IF(OR(Flag="Ignore",Flag="Hole",Flag="Det"),"",dYray/drayMod*VertexCalc!NormDirCorr)</f>
        <v>0.7071067840947435</v>
      </c>
      <c r="V15" s="22">
        <f>IF(OR(Flag="Ignore",Flag="Hole",Flag="Det"),"",dZray/drayMod*VertexCalc!NormDirCorr)</f>
        <v>-0.4836753255601622</v>
      </c>
      <c r="W15" s="51">
        <f>IF(OR(Flag="Ignore",Flag="Hole",Flag="Det"),"",ACOS((Xnorm*VertexCalc!Xnorm*SIGN(VertexCalc!NormDir)+Ynorm*VertexCalc!Ynorm*SIGN(VertexCalc!NormDir))/(SQRT(Xnorm^2+Ynorm^2)*SQRT(VertexCalc!Xnorm^2+VertexCalc!Ynorm^2)))*180/PI()*SIGN(Xnorm*Ynorm))</f>
        <v>-8.537736462515939E-07</v>
      </c>
      <c r="X15" s="73">
        <f>IF(OR(Flag="Ignore",Flag="Hole",Flag="Det"),"",(1-(Xnorm*GutCalc!Xnorm+Ynorm*GutCalc!Ynorm)/(SQRT(Xnorm^2+Ynorm^2)*SQRT(GutCalc!Xnorm^2+GutCalc!Ynorm^2))))</f>
        <v>2</v>
      </c>
      <c r="Y15" s="51">
        <f>IF(OR(Flag="Ignore",Flag="Hole",Flag="Det"),"",VertexCalc!Xsag*COS(Theta*PI()/180)-VertexCalc!Ysag*SIN(Theta*PI()/180))</f>
        <v>0.5158082923727847</v>
      </c>
      <c r="Z15" s="51">
        <f>IF(OR(Flag="Ignore",Flag="Hole",Flag="Det"),"",VertexCalc!Xsag*SIN(Theta*PI()/180)+VertexCalc!Ysag*COS(Theta*PI()/180))</f>
        <v>0.7071067735004051</v>
      </c>
      <c r="AA15" s="51">
        <f>IF(OR(Flag="Ignore",Flag="Hole",Flag="Det"),"",VertexCalc!Zsag)</f>
        <v>0.48367532125313006</v>
      </c>
      <c r="AB15" s="52">
        <f t="shared" si="13"/>
        <v>90.00000038714968</v>
      </c>
    </row>
    <row r="16" spans="3:28" ht="13.5" thickBot="1">
      <c r="C16" s="15"/>
      <c r="D16" s="16" t="s">
        <v>117</v>
      </c>
      <c r="E16" s="16" t="s">
        <v>164</v>
      </c>
      <c r="F16" s="18">
        <f ca="1" t="shared" si="5"/>
        <v>130.876814</v>
      </c>
      <c r="G16" s="18">
        <f ca="1" t="shared" si="0"/>
        <v>-50</v>
      </c>
      <c r="H16" s="18">
        <f ca="1" t="shared" si="0"/>
        <v>-627.129735</v>
      </c>
      <c r="I16" s="18">
        <f t="shared" si="6"/>
        <v>-0.4780659999999841</v>
      </c>
      <c r="J16" s="18">
        <f t="shared" si="7"/>
        <v>-38.995402999999996</v>
      </c>
      <c r="K16" s="18">
        <f t="shared" si="8"/>
        <v>-0.39684299999998984</v>
      </c>
      <c r="L16" s="17">
        <f t="shared" si="1"/>
        <v>39.00035239070814</v>
      </c>
      <c r="M16" s="17">
        <f t="shared" si="2"/>
        <v>-0.012257991805065939</v>
      </c>
      <c r="N16" s="17">
        <f t="shared" si="3"/>
        <v>-0.9998730936926272</v>
      </c>
      <c r="O16" s="17">
        <f t="shared" si="4"/>
        <v>-0.010175369597289536</v>
      </c>
      <c r="P16" s="17">
        <f t="shared" si="9"/>
      </c>
      <c r="Q16" s="17">
        <f t="shared" si="10"/>
      </c>
      <c r="R16" s="17">
        <f t="shared" si="11"/>
      </c>
      <c r="S16" s="17">
        <f t="shared" si="12"/>
      </c>
      <c r="T16" s="17">
        <f>IF(OR(Flag="Ignore",Flag="Hole",Flag="Det"),"",dXray/drayMod*VertexCalc!NormDirCorr)</f>
      </c>
      <c r="U16" s="17">
        <f>IF(OR(Flag="Ignore",Flag="Hole",Flag="Det"),"",dYray/drayMod*VertexCalc!NormDirCorr)</f>
      </c>
      <c r="V16" s="17">
        <f>IF(OR(Flag="Ignore",Flag="Hole",Flag="Det"),"",dZray/drayMod*VertexCalc!NormDirCorr)</f>
      </c>
      <c r="W16" s="57">
        <f>IF(OR(Flag="Ignore",Flag="Hole",Flag="Det"),"",ACOS((Xnorm*VertexCalc!Xnorm*SIGN(VertexCalc!NormDir)+Ynorm*VertexCalc!Ynorm*SIGN(VertexCalc!NormDir))/(SQRT(Xnorm^2+Ynorm^2)*SQRT(VertexCalc!Xnorm^2+VertexCalc!Ynorm^2)))*180/PI()*SIGN(Xnorm*Ynorm))</f>
      </c>
      <c r="X16" s="71">
        <f>IF(OR(Flag="Ignore",Flag="Hole",Flag="Det"),"",(1-(Xnorm*GutCalc!Xnorm+Ynorm*GutCalc!Ynorm)/(SQRT(Xnorm^2+Ynorm^2)*SQRT(GutCalc!Xnorm^2+GutCalc!Ynorm^2))))</f>
      </c>
      <c r="Y16" s="57">
        <f>IF(OR(Flag="Ignore",Flag="Hole",Flag="Det"),"",VertexCalc!Xsag*COS(Theta*PI()/180)-VertexCalc!Ysag*SIN(Theta*PI()/180))</f>
      </c>
      <c r="Z16" s="57">
        <f>IF(OR(Flag="Ignore",Flag="Hole",Flag="Det"),"",VertexCalc!Xsag*SIN(Theta*PI()/180)+VertexCalc!Ysag*COS(Theta*PI()/180))</f>
      </c>
      <c r="AA16" s="57">
        <f>IF(OR(Flag="Ignore",Flag="Hole",Flag="Det"),"",VertexCalc!Zsag)</f>
      </c>
      <c r="AB16" s="58">
        <f t="shared" si="13"/>
      </c>
    </row>
    <row r="17" spans="4:28" ht="13.5" thickBot="1">
      <c r="D17" s="1" t="s">
        <v>113</v>
      </c>
      <c r="E17" s="1" t="s">
        <v>128</v>
      </c>
      <c r="F17" s="9">
        <f ca="1" t="shared" si="5"/>
        <v>238.116781</v>
      </c>
      <c r="G17" s="9">
        <f ca="1" t="shared" si="0"/>
        <v>-8.679048</v>
      </c>
      <c r="H17" s="9">
        <f ca="1" t="shared" si="0"/>
        <v>-526.814757</v>
      </c>
      <c r="I17" s="9">
        <f t="shared" si="6"/>
      </c>
      <c r="J17" s="9">
        <f t="shared" si="7"/>
      </c>
      <c r="K17" s="9">
        <f t="shared" si="8"/>
      </c>
      <c r="L17" s="8">
        <f t="shared" si="1"/>
      </c>
      <c r="M17" s="8">
        <f t="shared" si="2"/>
      </c>
      <c r="N17" s="8">
        <f t="shared" si="3"/>
      </c>
      <c r="O17" s="8">
        <f t="shared" si="4"/>
      </c>
      <c r="P17" s="8">
        <f t="shared" si="9"/>
      </c>
      <c r="Q17" s="8">
        <f t="shared" si="10"/>
      </c>
      <c r="R17" s="8">
        <f t="shared" si="11"/>
      </c>
      <c r="S17" s="8">
        <f t="shared" si="12"/>
      </c>
      <c r="T17" s="8">
        <f>IF(OR(Flag="Ignore",Flag="Hole",Flag="Det"),"",dXray/drayMod*VertexCalc!NormDirCorr)</f>
      </c>
      <c r="U17" s="8">
        <f>IF(OR(Flag="Ignore",Flag="Hole",Flag="Det"),"",dYray/drayMod*VertexCalc!NormDirCorr)</f>
      </c>
      <c r="V17" s="8">
        <f>IF(OR(Flag="Ignore",Flag="Hole",Flag="Det"),"",dZray/drayMod*VertexCalc!NormDirCorr)</f>
      </c>
      <c r="W17" s="36">
        <f>IF(OR(Flag="Ignore",Flag="Hole",Flag="Det"),"",ACOS((Xnorm*VertexCalc!Xnorm*SIGN(VertexCalc!NormDir)+Ynorm*VertexCalc!Ynorm*SIGN(VertexCalc!NormDir))/(SQRT(Xnorm^2+Ynorm^2)*SQRT(VertexCalc!Xnorm^2+VertexCalc!Ynorm^2)))*180/PI()*SIGN(Xnorm*Ynorm))</f>
      </c>
      <c r="X17" s="40">
        <f>IF(OR(Flag="Ignore",Flag="Hole",Flag="Det"),"",(1-(Xnorm*GutCalc!Xnorm+Ynorm*GutCalc!Ynorm)/(SQRT(Xnorm^2+Ynorm^2)*SQRT(GutCalc!Xnorm^2+GutCalc!Ynorm^2))))</f>
      </c>
      <c r="Y17" s="36">
        <f>IF(OR(Flag="Ignore",Flag="Hole",Flag="Det"),"",VertexCalc!Xsag*COS(Theta*PI()/180)-VertexCalc!Ysag*SIN(Theta*PI()/180))</f>
      </c>
      <c r="Z17" s="36">
        <f>IF(OR(Flag="Ignore",Flag="Hole",Flag="Det"),"",VertexCalc!Xsag*SIN(Theta*PI()/180)+VertexCalc!Ysag*COS(Theta*PI()/180))</f>
      </c>
      <c r="AA17" s="36">
        <f>IF(OR(Flag="Ignore",Flag="Hole",Flag="Det"),"",VertexCalc!Zsag)</f>
      </c>
      <c r="AB17" s="36">
        <f t="shared" si="13"/>
      </c>
    </row>
    <row r="18" spans="3:28" ht="12.75">
      <c r="C18" s="10" t="s">
        <v>126</v>
      </c>
      <c r="D18" s="11" t="s">
        <v>118</v>
      </c>
      <c r="E18" s="11"/>
      <c r="F18" s="13">
        <f ca="1" t="shared" si="5"/>
        <v>342.331781</v>
      </c>
      <c r="G18" s="13">
        <f ca="1" t="shared" si="5"/>
        <v>-10.349698</v>
      </c>
      <c r="H18" s="13">
        <f ca="1" t="shared" si="5"/>
        <v>-513.62396</v>
      </c>
      <c r="I18" s="13">
        <f t="shared" si="6"/>
        <v>104.21499999999997</v>
      </c>
      <c r="J18" s="13">
        <f t="shared" si="7"/>
        <v>-1.6706500000000002</v>
      </c>
      <c r="K18" s="13">
        <f t="shared" si="8"/>
        <v>13.190796999999975</v>
      </c>
      <c r="L18" s="12">
        <f t="shared" si="1"/>
        <v>105.05976595213652</v>
      </c>
      <c r="M18" s="12">
        <f t="shared" si="2"/>
        <v>0.9919591868068561</v>
      </c>
      <c r="N18" s="12">
        <f t="shared" si="3"/>
        <v>-0.01590190102613707</v>
      </c>
      <c r="O18" s="12">
        <f t="shared" si="4"/>
        <v>0.12555517214848436</v>
      </c>
      <c r="P18" s="12">
        <f t="shared" si="9"/>
        <v>-1.6176886197675606</v>
      </c>
      <c r="Q18" s="12">
        <f t="shared" si="10"/>
        <v>-0.7602668734003933</v>
      </c>
      <c r="R18" s="12">
        <f t="shared" si="11"/>
        <v>-0.20317417969104992</v>
      </c>
      <c r="S18" s="12">
        <f t="shared" si="12"/>
        <v>1.7989446730259984</v>
      </c>
      <c r="T18" s="12">
        <f>IF(OR(Flag="Ignore",Flag="Hole",Flag="Det"),"",dXray/drayMod*VertexCalc!NormDirCorr)</f>
        <v>0.8992431196043692</v>
      </c>
      <c r="U18" s="12">
        <f>IF(OR(Flag="Ignore",Flag="Hole",Flag="Det"),"",dYray/drayMod*VertexCalc!NormDirCorr)</f>
        <v>0.42261826325183816</v>
      </c>
      <c r="V18" s="12">
        <f>IF(OR(Flag="Ignore",Flag="Hole",Flag="Det"),"",dZray/drayMod*VertexCalc!NormDirCorr)</f>
        <v>0.1129407606234445</v>
      </c>
      <c r="W18" s="54">
        <f>IF(OR(Flag="Ignore",Flag="Hole",Flag="Det"),"",ACOS((Xnorm*VertexCalc!Xnorm*SIGN(VertexCalc!NormDir)+Ynorm*VertexCalc!Ynorm*SIGN(VertexCalc!NormDir))/(SQRT(Xnorm^2+Ynorm^2)*SQRT(VertexCalc!Xnorm^2+VertexCalc!Ynorm^2)))*180/PI()*SIGN(Xnorm*Ynorm))</f>
        <v>0</v>
      </c>
      <c r="X18" s="70">
        <f>IF(OR(Flag="Ignore",Flag="Hole",Flag="Det"),"",(1-(Xnorm*GutCalc!Xnorm+Ynorm*GutCalc!Ynorm)/(SQRT(Xnorm^2+Ynorm^2)*SQRT(GutCalc!Xnorm^2+GutCalc!Ynorm^2))))</f>
        <v>2</v>
      </c>
      <c r="Y18" s="54">
        <f>IF(OR(Flag="Ignore",Flag="Hole",Flag="Det"),"",VertexCalc!Xsag*COS(Theta*PI()/180)-VertexCalc!Ysag*SIN(Theta*PI()/180))</f>
        <v>-0.4193239540327994</v>
      </c>
      <c r="Z18" s="54">
        <f>IF(OR(Flag="Ignore",Flag="Hole",Flag="Det"),"",VertexCalc!Xsag*SIN(Theta*PI()/180)+VertexCalc!Ysag*COS(Theta*PI()/180))</f>
        <v>0.9063077870366499</v>
      </c>
      <c r="AA18" s="54">
        <f>IF(OR(Flag="Ignore",Flag="Hole",Flag="Det"),"",VertexCalc!Zsag)</f>
        <v>-0.05266513771964412</v>
      </c>
      <c r="AB18" s="55">
        <f t="shared" si="13"/>
        <v>89.99999990446749</v>
      </c>
    </row>
    <row r="19" spans="3:28" ht="13.5" thickBot="1">
      <c r="C19" s="15"/>
      <c r="D19" s="16" t="s">
        <v>119</v>
      </c>
      <c r="E19" s="16" t="s">
        <v>164</v>
      </c>
      <c r="F19" s="18">
        <f ca="1" t="shared" si="5"/>
        <v>292.158272</v>
      </c>
      <c r="G19" s="18">
        <f ca="1" t="shared" si="5"/>
        <v>-72.58604</v>
      </c>
      <c r="H19" s="18">
        <f ca="1" t="shared" si="5"/>
        <v>-519.847765</v>
      </c>
      <c r="I19" s="18">
        <f t="shared" si="6"/>
        <v>-50.17350899999997</v>
      </c>
      <c r="J19" s="18">
        <f t="shared" si="7"/>
        <v>-62.23634199999999</v>
      </c>
      <c r="K19" s="18">
        <f t="shared" si="8"/>
        <v>-6.22380499999997</v>
      </c>
      <c r="L19" s="17">
        <f t="shared" si="1"/>
        <v>80.18403219838764</v>
      </c>
      <c r="M19" s="17">
        <f t="shared" si="2"/>
        <v>-0.6257294329607045</v>
      </c>
      <c r="N19" s="17">
        <f t="shared" si="3"/>
        <v>-0.7761687744265304</v>
      </c>
      <c r="O19" s="17">
        <f t="shared" si="4"/>
        <v>-0.07761900754256557</v>
      </c>
      <c r="P19" s="17">
        <f t="shared" si="9"/>
      </c>
      <c r="Q19" s="17">
        <f t="shared" si="10"/>
      </c>
      <c r="R19" s="17">
        <f t="shared" si="11"/>
      </c>
      <c r="S19" s="17">
        <f t="shared" si="12"/>
      </c>
      <c r="T19" s="17">
        <f>IF(OR(Flag="Ignore",Flag="Hole",Flag="Det"),"",dXray/drayMod*VertexCalc!NormDirCorr)</f>
      </c>
      <c r="U19" s="17">
        <f>IF(OR(Flag="Ignore",Flag="Hole",Flag="Det"),"",dYray/drayMod*VertexCalc!NormDirCorr)</f>
      </c>
      <c r="V19" s="17">
        <f>IF(OR(Flag="Ignore",Flag="Hole",Flag="Det"),"",dZray/drayMod*VertexCalc!NormDirCorr)</f>
      </c>
      <c r="W19" s="57">
        <f>IF(OR(Flag="Ignore",Flag="Hole",Flag="Det"),"",ACOS((Xnorm*VertexCalc!Xnorm*SIGN(VertexCalc!NormDir)+Ynorm*VertexCalc!Ynorm*SIGN(VertexCalc!NormDir))/(SQRT(Xnorm^2+Ynorm^2)*SQRT(VertexCalc!Xnorm^2+VertexCalc!Ynorm^2)))*180/PI()*SIGN(Xnorm*Ynorm))</f>
      </c>
      <c r="X19" s="71">
        <f>IF(OR(Flag="Ignore",Flag="Hole",Flag="Det"),"",(1-(Xnorm*GutCalc!Xnorm+Ynorm*GutCalc!Ynorm)/(SQRT(Xnorm^2+Ynorm^2)*SQRT(GutCalc!Xnorm^2+GutCalc!Ynorm^2))))</f>
      </c>
      <c r="Y19" s="57">
        <f>IF(OR(Flag="Ignore",Flag="Hole",Flag="Det"),"",VertexCalc!Xsag*COS(Theta*PI()/180)-VertexCalc!Ysag*SIN(Theta*PI()/180))</f>
      </c>
      <c r="Z19" s="57">
        <f>IF(OR(Flag="Ignore",Flag="Hole",Flag="Det"),"",VertexCalc!Xsag*SIN(Theta*PI()/180)+VertexCalc!Ysag*COS(Theta*PI()/180))</f>
      </c>
      <c r="AA19" s="57">
        <f>IF(OR(Flag="Ignore",Flag="Hole",Flag="Det"),"",VertexCalc!Zsag)</f>
      </c>
      <c r="AB19" s="58">
        <f t="shared" si="13"/>
      </c>
    </row>
    <row r="20" spans="4:28" ht="13.5" thickBot="1">
      <c r="D20" s="1" t="s">
        <v>118</v>
      </c>
      <c r="E20" s="1" t="s">
        <v>128</v>
      </c>
      <c r="F20" s="9">
        <f ca="1" t="shared" si="5"/>
        <v>342.331781</v>
      </c>
      <c r="G20" s="9">
        <f ca="1" t="shared" si="5"/>
        <v>-10.349698</v>
      </c>
      <c r="H20" s="9">
        <f ca="1" t="shared" si="5"/>
        <v>-513.62396</v>
      </c>
      <c r="I20" s="9">
        <f t="shared" si="6"/>
      </c>
      <c r="J20" s="9">
        <f t="shared" si="7"/>
      </c>
      <c r="K20" s="9">
        <f t="shared" si="8"/>
      </c>
      <c r="L20" s="8">
        <f t="shared" si="1"/>
      </c>
      <c r="M20" s="8">
        <f t="shared" si="2"/>
      </c>
      <c r="N20" s="8">
        <f t="shared" si="3"/>
      </c>
      <c r="O20" s="8">
        <f t="shared" si="4"/>
      </c>
      <c r="P20" s="8">
        <f t="shared" si="9"/>
      </c>
      <c r="Q20" s="8">
        <f t="shared" si="10"/>
      </c>
      <c r="R20" s="8">
        <f t="shared" si="11"/>
      </c>
      <c r="S20" s="8">
        <f t="shared" si="12"/>
      </c>
      <c r="T20" s="8">
        <f>IF(OR(Flag="Ignore",Flag="Hole",Flag="Det"),"",dXray/drayMod*VertexCalc!NormDirCorr)</f>
      </c>
      <c r="U20" s="8">
        <f>IF(OR(Flag="Ignore",Flag="Hole",Flag="Det"),"",dYray/drayMod*VertexCalc!NormDirCorr)</f>
      </c>
      <c r="V20" s="8">
        <f>IF(OR(Flag="Ignore",Flag="Hole",Flag="Det"),"",dZray/drayMod*VertexCalc!NormDirCorr)</f>
      </c>
      <c r="W20" s="36">
        <f>IF(OR(Flag="Ignore",Flag="Hole",Flag="Det"),"",ACOS((Xnorm*VertexCalc!Xnorm*SIGN(VertexCalc!NormDir)+Ynorm*VertexCalc!Ynorm*SIGN(VertexCalc!NormDir))/(SQRT(Xnorm^2+Ynorm^2)*SQRT(VertexCalc!Xnorm^2+VertexCalc!Ynorm^2)))*180/PI()*SIGN(Xnorm*Ynorm))</f>
      </c>
      <c r="X20" s="40">
        <f>IF(OR(Flag="Ignore",Flag="Hole",Flag="Det"),"",(1-(Xnorm*GutCalc!Xnorm+Ynorm*GutCalc!Ynorm)/(SQRT(Xnorm^2+Ynorm^2)*SQRT(GutCalc!Xnorm^2+GutCalc!Ynorm^2))))</f>
      </c>
      <c r="Y20" s="36">
        <f>IF(OR(Flag="Ignore",Flag="Hole",Flag="Det"),"",VertexCalc!Xsag*COS(Theta*PI()/180)-VertexCalc!Ysag*SIN(Theta*PI()/180))</f>
      </c>
      <c r="Z20" s="36">
        <f>IF(OR(Flag="Ignore",Flag="Hole",Flag="Det"),"",VertexCalc!Xsag*SIN(Theta*PI()/180)+VertexCalc!Ysag*COS(Theta*PI()/180))</f>
      </c>
      <c r="AA20" s="36">
        <f>IF(OR(Flag="Ignore",Flag="Hole",Flag="Det"),"",VertexCalc!Zsag)</f>
      </c>
      <c r="AB20" s="36">
        <f t="shared" si="13"/>
      </c>
    </row>
    <row r="21" spans="3:28" ht="12.75">
      <c r="C21" s="10" t="s">
        <v>127</v>
      </c>
      <c r="D21" s="11" t="s">
        <v>120</v>
      </c>
      <c r="E21" s="11"/>
      <c r="F21" s="13">
        <f ca="1" t="shared" si="5"/>
        <v>382.11503500000003</v>
      </c>
      <c r="G21" s="13">
        <f ca="1" t="shared" si="5"/>
        <v>-10.987456</v>
      </c>
      <c r="H21" s="13">
        <f ca="1" t="shared" si="5"/>
        <v>-508.588478</v>
      </c>
      <c r="I21" s="13">
        <f t="shared" si="6"/>
        <v>39.783254000000056</v>
      </c>
      <c r="J21" s="13">
        <f t="shared" si="7"/>
        <v>-0.6377579999999998</v>
      </c>
      <c r="K21" s="13">
        <f t="shared" si="8"/>
        <v>5.035482000000002</v>
      </c>
      <c r="L21" s="12">
        <f t="shared" si="1"/>
        <v>40.105736660325896</v>
      </c>
      <c r="M21" s="12">
        <f t="shared" si="2"/>
        <v>0.9919591887051696</v>
      </c>
      <c r="N21" s="12">
        <f t="shared" si="3"/>
        <v>-0.015901914616391875</v>
      </c>
      <c r="O21" s="12">
        <f t="shared" si="4"/>
        <v>0.1255551554294548</v>
      </c>
      <c r="P21" s="12">
        <f t="shared" si="9"/>
        <v>-0.9909726197938077</v>
      </c>
      <c r="Q21" s="12">
        <f t="shared" si="10"/>
        <v>1.5649312130883164E-08</v>
      </c>
      <c r="R21" s="12">
        <f t="shared" si="11"/>
        <v>0.874317914660456</v>
      </c>
      <c r="S21" s="12">
        <f t="shared" si="12"/>
        <v>1.321536435016913</v>
      </c>
      <c r="T21" s="12">
        <f>IF(OR(Flag="Ignore",Flag="Hole",Flag="Det"),"",dXray/drayMod*VertexCalc!NormDirCorr)</f>
        <v>0.7498640170152594</v>
      </c>
      <c r="U21" s="12">
        <f>IF(OR(Flag="Ignore",Flag="Hole",Flag="Det"),"",dYray/drayMod*VertexCalc!NormDirCorr)</f>
        <v>-1.1841756092546086E-08</v>
      </c>
      <c r="V21" s="12">
        <f>IF(OR(Flag="Ignore",Flag="Hole",Flag="Det"),"",dZray/drayMod*VertexCalc!NormDirCorr)</f>
        <v>-0.6615919860350021</v>
      </c>
      <c r="W21" s="54">
        <f>IF(OR(Flag="Ignore",Flag="Hole",Flag="Det"),"",ACOS((Xnorm*VertexCalc!Xnorm*SIGN(VertexCalc!NormDir)+Ynorm*VertexCalc!Ynorm*SIGN(VertexCalc!NormDir))/(SQRT(Xnorm^2+Ynorm^2)*SQRT(VertexCalc!Xnorm^2+VertexCalc!Ynorm^2)))*180/PI()*SIGN(Xnorm*Ynorm))</f>
        <v>-1.2074182617838684E-06</v>
      </c>
      <c r="X21" s="70">
        <f>IF(OR(Flag="Ignore",Flag="Hole",Flag="Det"),"",(1-(Xnorm*GutCalc!Xnorm+Ynorm*GutCalc!Ynorm)/(SQRT(Xnorm^2+Ynorm^2)*SQRT(GutCalc!Xnorm^2+GutCalc!Ynorm^2))))</f>
        <v>1.9999999999999998</v>
      </c>
      <c r="Y21" s="54">
        <f>IF(OR(Flag="Ignore",Flag="Hole",Flag="Det"),"",VertexCalc!Xsag*COS(Theta*PI()/180)-VertexCalc!Ysag*SIN(Theta*PI()/180))</f>
        <v>2.1073424116835323E-08</v>
      </c>
      <c r="Z21" s="54">
        <f>IF(OR(Flag="Ignore",Flag="Hole",Flag="Det"),"",VertexCalc!Xsag*SIN(Theta*PI()/180)+VertexCalc!Ysag*COS(Theta*PI()/180))</f>
        <v>0.9999999999999998</v>
      </c>
      <c r="AA21" s="54">
        <f>IF(OR(Flag="Ignore",Flag="Hole",Flag="Det"),"",VertexCalc!Zsag)</f>
        <v>0</v>
      </c>
      <c r="AB21" s="55">
        <f t="shared" si="13"/>
        <v>89.99999977308313</v>
      </c>
    </row>
    <row r="22" spans="3:28" ht="13.5" thickBot="1">
      <c r="C22" s="15"/>
      <c r="D22" s="16" t="s">
        <v>121</v>
      </c>
      <c r="E22" s="16" t="s">
        <v>164</v>
      </c>
      <c r="F22" s="18">
        <f ca="1" t="shared" si="5"/>
        <v>382.154575</v>
      </c>
      <c r="G22" s="18">
        <f ca="1" t="shared" si="5"/>
        <v>-11.624777</v>
      </c>
      <c r="H22" s="18">
        <f ca="1" t="shared" si="5"/>
        <v>-468.51527</v>
      </c>
      <c r="I22" s="18">
        <f t="shared" si="6"/>
        <v>0.03953999999998814</v>
      </c>
      <c r="J22" s="18">
        <f t="shared" si="7"/>
        <v>-0.637321</v>
      </c>
      <c r="K22" s="18">
        <f t="shared" si="8"/>
        <v>40.07320800000002</v>
      </c>
      <c r="L22" s="17">
        <f t="shared" si="1"/>
        <v>40.078295134397955</v>
      </c>
      <c r="M22" s="17">
        <f t="shared" si="2"/>
        <v>0.0009865689113620051</v>
      </c>
      <c r="N22" s="17">
        <f t="shared" si="3"/>
        <v>-0.015901898967079744</v>
      </c>
      <c r="O22" s="17">
        <f t="shared" si="4"/>
        <v>0.9998730700899109</v>
      </c>
      <c r="P22" s="17">
        <f t="shared" si="9"/>
      </c>
      <c r="Q22" s="17">
        <f t="shared" si="10"/>
      </c>
      <c r="R22" s="17">
        <f t="shared" si="11"/>
      </c>
      <c r="S22" s="17">
        <f t="shared" si="12"/>
      </c>
      <c r="T22" s="17">
        <f>IF(OR(Flag="Ignore",Flag="Hole",Flag="Det"),"",dXray/drayMod*VertexCalc!NormDirCorr)</f>
      </c>
      <c r="U22" s="17">
        <f>IF(OR(Flag="Ignore",Flag="Hole",Flag="Det"),"",dYray/drayMod*VertexCalc!NormDirCorr)</f>
      </c>
      <c r="V22" s="17">
        <f>IF(OR(Flag="Ignore",Flag="Hole",Flag="Det"),"",dZray/drayMod*VertexCalc!NormDirCorr)</f>
      </c>
      <c r="W22" s="57">
        <f>IF(OR(Flag="Ignore",Flag="Hole",Flag="Det"),"",ACOS((Xnorm*VertexCalc!Xnorm*SIGN(VertexCalc!NormDir)+Ynorm*VertexCalc!Ynorm*SIGN(VertexCalc!NormDir))/(SQRT(Xnorm^2+Ynorm^2)*SQRT(VertexCalc!Xnorm^2+VertexCalc!Ynorm^2)))*180/PI()*SIGN(Xnorm*Ynorm))</f>
      </c>
      <c r="X22" s="71"/>
      <c r="Y22" s="57">
        <f>IF(OR(Flag="Ignore",Flag="Hole",Flag="Det"),"",VertexCalc!Xsag*COS(Theta*PI()/180)-VertexCalc!Ysag*SIN(Theta*PI()/180))</f>
      </c>
      <c r="Z22" s="57">
        <f>IF(OR(Flag="Ignore",Flag="Hole",Flag="Det"),"",VertexCalc!Xsag*SIN(Theta*PI()/180)+VertexCalc!Ysag*COS(Theta*PI()/180))</f>
      </c>
      <c r="AA22" s="57">
        <f>IF(OR(Flag="Ignore",Flag="Hole",Flag="Det"),"",VertexCalc!Zsag)</f>
      </c>
      <c r="AB22" s="58">
        <f t="shared" si="13"/>
      </c>
    </row>
    <row r="23" spans="1:26" ht="12.75">
      <c r="A23" s="26" t="s">
        <v>140</v>
      </c>
      <c r="I23" s="9"/>
      <c r="J23" s="9"/>
      <c r="K23" s="9"/>
      <c r="X23" s="40"/>
      <c r="Y23" s="9"/>
      <c r="Z23" s="9"/>
    </row>
    <row r="24" spans="1:26" ht="12.75">
      <c r="A24" s="1" t="s">
        <v>17</v>
      </c>
      <c r="B24" s="1" t="str">
        <f>"-Zsyno"</f>
        <v>-Zsyno</v>
      </c>
      <c r="C24" s="1" t="s">
        <v>130</v>
      </c>
      <c r="I24" s="9"/>
      <c r="J24" s="9"/>
      <c r="K24" s="9"/>
      <c r="X24" s="40"/>
      <c r="Y24" s="9"/>
      <c r="Z24" s="9"/>
    </row>
    <row r="25" spans="1:3" ht="12.75">
      <c r="A25" s="1" t="s">
        <v>81</v>
      </c>
      <c r="B25" s="1" t="s">
        <v>136</v>
      </c>
      <c r="C25" s="1" t="s">
        <v>131</v>
      </c>
    </row>
    <row r="26" spans="1:3" ht="12.75">
      <c r="A26" s="1" t="s">
        <v>82</v>
      </c>
      <c r="B26" s="1" t="s">
        <v>137</v>
      </c>
      <c r="C26" s="1" t="s">
        <v>132</v>
      </c>
    </row>
  </sheetData>
  <printOptions/>
  <pageMargins left="0.25" right="0.34"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X29"/>
  <sheetViews>
    <sheetView zoomScale="70" zoomScaleNormal="70" workbookViewId="0" topLeftCell="A1">
      <selection activeCell="L2" sqref="L2:L22"/>
    </sheetView>
  </sheetViews>
  <sheetFormatPr defaultColWidth="12" defaultRowHeight="12.75"/>
  <cols>
    <col min="1" max="2" width="12" style="21" customWidth="1"/>
    <col min="3" max="3" width="20.16015625" style="21" customWidth="1"/>
    <col min="4" max="4" width="12" style="21" customWidth="1"/>
    <col min="5" max="5" width="12" style="1" customWidth="1"/>
    <col min="6" max="8" width="10.83203125" style="23" customWidth="1"/>
    <col min="9" max="18" width="12" style="1" customWidth="1"/>
    <col min="19" max="19" width="12" style="36" customWidth="1"/>
    <col min="20" max="20" width="12" style="37" customWidth="1"/>
    <col min="21" max="21" width="12" style="36" customWidth="1"/>
    <col min="22" max="22" width="12" style="37" customWidth="1"/>
    <col min="23" max="23" width="12" style="36" customWidth="1"/>
    <col min="24" max="24" width="12" style="37" customWidth="1"/>
    <col min="25" max="16384" width="12" style="21" customWidth="1"/>
  </cols>
  <sheetData>
    <row r="1" spans="3:24" s="31" customFormat="1" ht="12.75">
      <c r="C1" s="31" t="s">
        <v>129</v>
      </c>
      <c r="D1" s="31" t="s">
        <v>2</v>
      </c>
      <c r="E1" s="5" t="s">
        <v>162</v>
      </c>
      <c r="F1" s="33" t="s">
        <v>462</v>
      </c>
      <c r="G1" s="33" t="s">
        <v>463</v>
      </c>
      <c r="H1" s="33" t="s">
        <v>464</v>
      </c>
      <c r="I1" s="7" t="s">
        <v>14</v>
      </c>
      <c r="J1" s="7" t="s">
        <v>15</v>
      </c>
      <c r="K1" s="7" t="s">
        <v>16</v>
      </c>
      <c r="L1" s="33" t="s">
        <v>466</v>
      </c>
      <c r="M1" s="7" t="s">
        <v>21</v>
      </c>
      <c r="N1" s="7" t="s">
        <v>22</v>
      </c>
      <c r="O1" s="7" t="s">
        <v>23</v>
      </c>
      <c r="P1" s="7" t="s">
        <v>363</v>
      </c>
      <c r="Q1" s="7" t="s">
        <v>362</v>
      </c>
      <c r="R1" s="7" t="s">
        <v>364</v>
      </c>
      <c r="S1" s="36" t="s">
        <v>389</v>
      </c>
      <c r="T1" s="37"/>
      <c r="U1" s="36" t="s">
        <v>390</v>
      </c>
      <c r="V1" s="37"/>
      <c r="W1" s="36" t="s">
        <v>391</v>
      </c>
      <c r="X1" s="37"/>
    </row>
    <row r="2" spans="1:24" ht="13.5" thickBot="1">
      <c r="A2" s="21" t="s">
        <v>44</v>
      </c>
      <c r="B2" s="21" t="str">
        <f>SpecGlob!J4</f>
        <v>(BOLPHT154B)</v>
      </c>
      <c r="D2" s="21" t="s">
        <v>93</v>
      </c>
      <c r="E2" s="1" t="s">
        <v>128</v>
      </c>
      <c r="F2" s="9">
        <f>X0-VerticesSyno!Zvert</f>
        <v>3252.162</v>
      </c>
      <c r="G2" s="9">
        <f>Y0+VerticesSyno!Xvert</f>
        <v>0</v>
      </c>
      <c r="H2" s="9">
        <f>Z0+VerticesSyno!Yvert</f>
        <v>0</v>
      </c>
      <c r="I2" s="9">
        <f>IF(Flag="Ignore","",LeftHandCorr*VerticesSyno!zNorm)</f>
      </c>
      <c r="J2" s="9">
        <f>IF(Flag="Ignore","",VerticesSyno!xNorm)</f>
      </c>
      <c r="K2" s="9">
        <f>IF(Flag="Ignore","",VerticesSyno!yNorm)</f>
      </c>
      <c r="L2" s="9">
        <f>IF(Flag="Ignore","",IF(OR(Flag="Hole",Flag="Det"),1,(Xnorm*GutCalc!Xnorm+Ynorm*GutCalc!Ynorm+Znorm*GutCalc!Znorm)*NormDirCorr))</f>
      </c>
      <c r="M2" s="9">
        <f>LeftHandCorr*VerticesSyno!zSag</f>
        <v>0</v>
      </c>
      <c r="N2" s="9">
        <f>VerticesSyno!xSag</f>
        <v>1</v>
      </c>
      <c r="O2" s="9">
        <f>VerticesSyno!ySag</f>
        <v>0</v>
      </c>
      <c r="P2" s="9">
        <f>IF(OR(Flag="Ignore",Flag="Hole",Flag="det"),1,GutCalc!UpFlag)*LeftHandCorr*VerticesSyno!zTang</f>
        <v>0</v>
      </c>
      <c r="Q2" s="9">
        <f>IF(OR(Flag="Ignore",Flag="Hole",Flag="det"),1,GutCalc!UpFlag)*VerticesSyno!xTang</f>
        <v>0</v>
      </c>
      <c r="R2" s="9">
        <f>IF(OR(Flag="Ignore",Flag="Hole",Flag="det"),1,GutCalc!UpFlag)*VerticesSyno!yTang</f>
        <v>1</v>
      </c>
      <c r="S2" s="36" t="e">
        <f>Xtang*Xnorm+Ytang*Ynorm+Ztang*Znorm</f>
        <v>#VALUE!</v>
      </c>
      <c r="T2" s="37" t="e">
        <f>ACOS(S2)*180/PI()</f>
        <v>#VALUE!</v>
      </c>
      <c r="U2" s="36" t="e">
        <f>Xsag*Xnorm+Ysag*Ynorm+Zsag*Znorm</f>
        <v>#VALUE!</v>
      </c>
      <c r="V2" s="37" t="e">
        <f>ACOS(U2)*180/PI()</f>
        <v>#VALUE!</v>
      </c>
      <c r="W2" s="36">
        <f>Xsag*Xtang+Ysag*Ytang+Zsag*Ztang</f>
        <v>0</v>
      </c>
      <c r="X2" s="37">
        <f aca="true" t="shared" si="0" ref="X2:X22">ACOS(W2)*180/PI()</f>
        <v>90</v>
      </c>
    </row>
    <row r="3" spans="3:24" ht="12.75">
      <c r="C3" s="10" t="s">
        <v>122</v>
      </c>
      <c r="D3" s="11" t="s">
        <v>94</v>
      </c>
      <c r="E3" s="11"/>
      <c r="F3" s="13">
        <f>X0-VerticesSyno!Zvert</f>
        <v>1252.162</v>
      </c>
      <c r="G3" s="13">
        <f>Y0+VerticesSyno!Xvert</f>
        <v>0</v>
      </c>
      <c r="H3" s="13">
        <f>Z0+VerticesSyno!Yvert</f>
        <v>0</v>
      </c>
      <c r="I3" s="13">
        <f>IF(Flag="Ignore","",LeftHandCorr*VerticesSyno!zNorm)</f>
        <v>-1</v>
      </c>
      <c r="J3" s="13">
        <f>IF(Flag="Ignore","",VerticesSyno!xNorm)</f>
        <v>0</v>
      </c>
      <c r="K3" s="13">
        <f>IF(Flag="Ignore","",VerticesSyno!yNorm)</f>
        <v>0</v>
      </c>
      <c r="L3" s="13">
        <f>IF(Flag="Ignore","",IF(OR(Flag="Hole",Flag="Det"),1,(Xnorm*GutCalc!Xnorm+Ynorm*GutCalc!Ynorm+Znorm*GutCalc!Znorm)*NormDirCorr))</f>
        <v>0.9998774963300073</v>
      </c>
      <c r="M3" s="13">
        <f>LeftHandCorr*VerticesSyno!zSag</f>
        <v>0</v>
      </c>
      <c r="N3" s="13">
        <f>VerticesSyno!xSag</f>
        <v>1</v>
      </c>
      <c r="O3" s="13">
        <f>VerticesSyno!ySag</f>
        <v>0</v>
      </c>
      <c r="P3" s="13">
        <f>IF(OR(Flag="Ignore",Flag="Hole",Flag="det"),1,GutCalc!UpFlag)*LeftHandCorr*VerticesSyno!zTang</f>
        <v>0</v>
      </c>
      <c r="Q3" s="13">
        <f>IF(OR(Flag="Ignore",Flag="Hole",Flag="det"),1,GutCalc!UpFlag)*VerticesSyno!xTang</f>
        <v>0</v>
      </c>
      <c r="R3" s="13">
        <f>IF(OR(Flag="Ignore",Flag="Hole",Flag="det"),1,GutCalc!UpFlag)*VerticesSyno!yTang</f>
        <v>1</v>
      </c>
      <c r="S3" s="54">
        <f aca="true" t="shared" si="1" ref="S3:S22">Xtang*Xnorm+Ytang*Ynorm+Ztang*Znorm</f>
        <v>0</v>
      </c>
      <c r="T3" s="77">
        <f aca="true" t="shared" si="2" ref="T3:T22">ACOS(S3)*180/PI()</f>
        <v>90</v>
      </c>
      <c r="U3" s="54">
        <f aca="true" t="shared" si="3" ref="U3:U22">Xsag*Xnorm+Ysag*Ynorm+Zsag*Znorm</f>
        <v>0</v>
      </c>
      <c r="V3" s="77">
        <f aca="true" t="shared" si="4" ref="V3:V22">ACOS(U3)*180/PI()</f>
        <v>90</v>
      </c>
      <c r="W3" s="54">
        <f aca="true" t="shared" si="5" ref="W3:W22">Xsag*Xtang+Ysag*Ytang+Zsag*Ztang</f>
        <v>0</v>
      </c>
      <c r="X3" s="78">
        <f t="shared" si="0"/>
        <v>90</v>
      </c>
    </row>
    <row r="4" spans="3:24" ht="13.5" thickBot="1">
      <c r="C4" s="15"/>
      <c r="D4" s="16" t="s">
        <v>95</v>
      </c>
      <c r="E4" s="16"/>
      <c r="F4" s="18">
        <f>X0-VerticesSyno!Zvert</f>
        <v>2840.131</v>
      </c>
      <c r="G4" s="18">
        <f>Y0+VerticesSyno!Xvert</f>
        <v>0</v>
      </c>
      <c r="H4" s="18">
        <f>Z0+VerticesSyno!Yvert</f>
        <v>0</v>
      </c>
      <c r="I4" s="18">
        <f>IF(Flag="Ignore","",LeftHandCorr*VerticesSyno!zNorm)</f>
        <v>-1</v>
      </c>
      <c r="J4" s="18">
        <f>IF(Flag="Ignore","",VerticesSyno!xNorm)</f>
        <v>0</v>
      </c>
      <c r="K4" s="18">
        <f>IF(Flag="Ignore","",VerticesSyno!yNorm)</f>
        <v>0</v>
      </c>
      <c r="L4" s="18">
        <f>IF(Flag="Ignore","",IF(OR(Flag="Hole",Flag="Det"),1,(Xnorm*GutCalc!Xnorm+Ynorm*GutCalc!Ynorm+Znorm*GutCalc!Znorm)*NormDirCorr))</f>
        <v>-1</v>
      </c>
      <c r="M4" s="18">
        <f>LeftHandCorr*VerticesSyno!zSag</f>
        <v>0</v>
      </c>
      <c r="N4" s="18">
        <f>VerticesSyno!xSag</f>
        <v>1</v>
      </c>
      <c r="O4" s="18">
        <f>VerticesSyno!ySag</f>
        <v>0</v>
      </c>
      <c r="P4" s="18">
        <f>IF(OR(Flag="Ignore",Flag="Hole",Flag="det"),1,GutCalc!UpFlag)*LeftHandCorr*VerticesSyno!zTang</f>
        <v>0</v>
      </c>
      <c r="Q4" s="18">
        <f>IF(OR(Flag="Ignore",Flag="Hole",Flag="det"),1,GutCalc!UpFlag)*VerticesSyno!xTang</f>
        <v>0</v>
      </c>
      <c r="R4" s="18">
        <f>IF(OR(Flag="Ignore",Flag="Hole",Flag="det"),1,GutCalc!UpFlag)*VerticesSyno!yTang</f>
        <v>-1</v>
      </c>
      <c r="S4" s="57">
        <f t="shared" si="1"/>
        <v>0</v>
      </c>
      <c r="T4" s="79">
        <f t="shared" si="2"/>
        <v>90</v>
      </c>
      <c r="U4" s="57">
        <f t="shared" si="3"/>
        <v>0</v>
      </c>
      <c r="V4" s="79">
        <f t="shared" si="4"/>
        <v>90</v>
      </c>
      <c r="W4" s="57">
        <f t="shared" si="5"/>
        <v>0</v>
      </c>
      <c r="X4" s="80">
        <f t="shared" si="0"/>
        <v>90</v>
      </c>
    </row>
    <row r="5" spans="3:24" ht="12.75">
      <c r="C5" s="10" t="s">
        <v>123</v>
      </c>
      <c r="D5" s="11" t="s">
        <v>96</v>
      </c>
      <c r="E5" s="11" t="s">
        <v>163</v>
      </c>
      <c r="F5" s="13">
        <f>X0-VerticesSyno!Zvert</f>
        <v>202</v>
      </c>
      <c r="G5" s="13">
        <f>Y0+VerticesSyno!Xvert</f>
        <v>0</v>
      </c>
      <c r="H5" s="13">
        <f>Z0+VerticesSyno!Yvert</f>
        <v>0</v>
      </c>
      <c r="I5" s="13">
        <f>IF(Flag="Ignore","",LeftHandCorr*VerticesSyno!zNorm)</f>
        <v>-1</v>
      </c>
      <c r="J5" s="13">
        <f>IF(Flag="Ignore","",VerticesSyno!xNorm)</f>
        <v>0</v>
      </c>
      <c r="K5" s="13">
        <f>IF(Flag="Ignore","",VerticesSyno!yNorm)</f>
        <v>0</v>
      </c>
      <c r="L5" s="13">
        <f>IF(Flag="Ignore","",IF(OR(Flag="Hole",Flag="Det"),1,(Xnorm*GutCalc!Xnorm+Ynorm*GutCalc!Ynorm+Znorm*GutCalc!Znorm)*NormDirCorr))</f>
        <v>1</v>
      </c>
      <c r="M5" s="13">
        <f>LeftHandCorr*VerticesSyno!zSag</f>
        <v>0</v>
      </c>
      <c r="N5" s="13">
        <f>VerticesSyno!xSag</f>
        <v>1</v>
      </c>
      <c r="O5" s="13">
        <f>VerticesSyno!ySag</f>
        <v>0</v>
      </c>
      <c r="P5" s="13">
        <f>IF(OR(Flag="Ignore",Flag="Hole",Flag="det"),1,GutCalc!UpFlag)*LeftHandCorr*VerticesSyno!zTang</f>
        <v>0</v>
      </c>
      <c r="Q5" s="13">
        <f>IF(OR(Flag="Ignore",Flag="Hole",Flag="det"),1,GutCalc!UpFlag)*VerticesSyno!xTang</f>
        <v>0</v>
      </c>
      <c r="R5" s="13">
        <f>IF(OR(Flag="Ignore",Flag="Hole",Flag="det"),1,GutCalc!UpFlag)*VerticesSyno!yTang</f>
        <v>1</v>
      </c>
      <c r="S5" s="54">
        <f t="shared" si="1"/>
        <v>0</v>
      </c>
      <c r="T5" s="77">
        <f t="shared" si="2"/>
        <v>90</v>
      </c>
      <c r="U5" s="54">
        <f t="shared" si="3"/>
        <v>0</v>
      </c>
      <c r="V5" s="77">
        <f t="shared" si="4"/>
        <v>90</v>
      </c>
      <c r="W5" s="54">
        <f t="shared" si="5"/>
        <v>0</v>
      </c>
      <c r="X5" s="78">
        <f t="shared" si="0"/>
        <v>90</v>
      </c>
    </row>
    <row r="6" spans="1:24" ht="12.75">
      <c r="A6" s="26" t="s">
        <v>138</v>
      </c>
      <c r="B6" s="1"/>
      <c r="C6" s="20"/>
      <c r="D6" s="21" t="s">
        <v>97</v>
      </c>
      <c r="E6" s="21"/>
      <c r="F6" s="23">
        <f>X0-VerticesSyno!Zvert</f>
        <v>123.620663</v>
      </c>
      <c r="G6" s="23">
        <f>Y0+VerticesSyno!Xvert</f>
        <v>0</v>
      </c>
      <c r="H6" s="23">
        <f>Z0+VerticesSyno!Yvert</f>
        <v>-243.065859</v>
      </c>
      <c r="I6" s="23">
        <f>IF(Flag="Ignore","",LeftHandCorr*VerticesSyno!zNorm)</f>
        <v>-0.9885381963040137</v>
      </c>
      <c r="J6" s="23">
        <f>IF(Flag="Ignore","",VerticesSyno!xNorm)</f>
        <v>0</v>
      </c>
      <c r="K6" s="23">
        <f>IF(Flag="Ignore","",VerticesSyno!yNorm)</f>
        <v>-0.15097097220329236</v>
      </c>
      <c r="L6" s="23">
        <f>IF(Flag="Ignore","",IF(OR(Flag="Hole",Flag="Det"),1,(Xnorm*GutCalc!Xnorm+Ynorm*GutCalc!Ynorm+Znorm*GutCalc!Znorm)*NormDirCorr))</f>
        <v>0.9227289004976345</v>
      </c>
      <c r="M6" s="23">
        <f>LeftHandCorr*VerticesSyno!zSag</f>
        <v>0</v>
      </c>
      <c r="N6" s="23">
        <f>VerticesSyno!xSag</f>
        <v>1</v>
      </c>
      <c r="O6" s="23">
        <f>VerticesSyno!ySag</f>
        <v>0</v>
      </c>
      <c r="P6" s="23">
        <f>IF(OR(Flag="Ignore",Flag="Hole",Flag="det"),1,GutCalc!UpFlag)*LeftHandCorr*VerticesSyno!zTang</f>
        <v>-0.15097097220329236</v>
      </c>
      <c r="Q6" s="23">
        <f>IF(OR(Flag="Ignore",Flag="Hole",Flag="det"),1,GutCalc!UpFlag)*VerticesSyno!xTang</f>
        <v>0</v>
      </c>
      <c r="R6" s="23">
        <f>IF(OR(Flag="Ignore",Flag="Hole",Flag="det"),1,GutCalc!UpFlag)*VerticesSyno!yTang</f>
        <v>0.9885381963040137</v>
      </c>
      <c r="S6" s="51">
        <f t="shared" si="1"/>
        <v>0</v>
      </c>
      <c r="T6" s="81">
        <f t="shared" si="2"/>
        <v>90</v>
      </c>
      <c r="U6" s="51">
        <f t="shared" si="3"/>
        <v>0</v>
      </c>
      <c r="V6" s="81">
        <f t="shared" si="4"/>
        <v>90</v>
      </c>
      <c r="W6" s="51">
        <f t="shared" si="5"/>
        <v>0</v>
      </c>
      <c r="X6" s="82">
        <f t="shared" si="0"/>
        <v>90</v>
      </c>
    </row>
    <row r="7" spans="1:24" ht="12.75">
      <c r="A7" s="1" t="s">
        <v>133</v>
      </c>
      <c r="B7" s="1"/>
      <c r="C7" s="20"/>
      <c r="D7" s="21" t="s">
        <v>99</v>
      </c>
      <c r="E7" s="21"/>
      <c r="F7" s="23">
        <f>X0-VerticesSyno!Zvert</f>
        <v>316.125371</v>
      </c>
      <c r="G7" s="23">
        <f>Y0+VerticesSyno!Xvert</f>
        <v>0</v>
      </c>
      <c r="H7" s="23">
        <f>Z0+VerticesSyno!Yvert</f>
        <v>-200.09302</v>
      </c>
      <c r="I7" s="23">
        <f>IF(Flag="Ignore","",LeftHandCorr*VerticesSyno!zNorm)</f>
        <v>-0.9513613165986495</v>
      </c>
      <c r="J7" s="23">
        <f>IF(Flag="Ignore","",VerticesSyno!xNorm)</f>
        <v>0</v>
      </c>
      <c r="K7" s="23">
        <f>IF(Flag="Ignore","",VerticesSyno!yNorm)</f>
        <v>0.3080773365239388</v>
      </c>
      <c r="L7" s="23">
        <f>IF(Flag="Ignore","",IF(OR(Flag="Hole",Flag="Det"),1,(Xnorm*GutCalc!Xnorm+Ynorm*GutCalc!Ynorm+Znorm*GutCalc!Znorm)*NormDirCorr))</f>
        <v>-1</v>
      </c>
      <c r="M7" s="23">
        <f>LeftHandCorr*VerticesSyno!zSag</f>
        <v>0</v>
      </c>
      <c r="N7" s="23">
        <f>VerticesSyno!xSag</f>
        <v>1</v>
      </c>
      <c r="O7" s="23">
        <f>VerticesSyno!ySag</f>
        <v>0</v>
      </c>
      <c r="P7" s="23">
        <f>IF(OR(Flag="Ignore",Flag="Hole",Flag="det"),1,GutCalc!UpFlag)*LeftHandCorr*VerticesSyno!zTang</f>
        <v>-0.3080773365239388</v>
      </c>
      <c r="Q7" s="23">
        <f>IF(OR(Flag="Ignore",Flag="Hole",Flag="det"),1,GutCalc!UpFlag)*VerticesSyno!xTang</f>
        <v>0</v>
      </c>
      <c r="R7" s="23">
        <f>IF(OR(Flag="Ignore",Flag="Hole",Flag="det"),1,GutCalc!UpFlag)*VerticesSyno!yTang</f>
        <v>-0.9513613165986495</v>
      </c>
      <c r="S7" s="51">
        <f t="shared" si="1"/>
        <v>0</v>
      </c>
      <c r="T7" s="81">
        <f t="shared" si="2"/>
        <v>90</v>
      </c>
      <c r="U7" s="51">
        <f t="shared" si="3"/>
        <v>0</v>
      </c>
      <c r="V7" s="81">
        <f t="shared" si="4"/>
        <v>90</v>
      </c>
      <c r="W7" s="51">
        <f t="shared" si="5"/>
        <v>0</v>
      </c>
      <c r="X7" s="82">
        <f t="shared" si="0"/>
        <v>90</v>
      </c>
    </row>
    <row r="8" spans="1:24" ht="13.5" thickBot="1">
      <c r="A8" s="1" t="s">
        <v>135</v>
      </c>
      <c r="B8" s="1"/>
      <c r="C8" s="15"/>
      <c r="D8" s="16" t="s">
        <v>100</v>
      </c>
      <c r="E8" s="16"/>
      <c r="F8" s="18">
        <f>X0-VerticesSyno!Zvert</f>
        <v>119.782896</v>
      </c>
      <c r="G8" s="18">
        <f>Y0+VerticesSyno!Xvert</f>
        <v>0</v>
      </c>
      <c r="H8" s="18">
        <f>Z0+VerticesSyno!Yvert</f>
        <v>-179.687314</v>
      </c>
      <c r="I8" s="18">
        <f>IF(Flag="Ignore","",LeftHandCorr*VerticesSyno!zNorm)</f>
        <v>-0.9652659093802869</v>
      </c>
      <c r="J8" s="18">
        <f>IF(Flag="Ignore","",VerticesSyno!xNorm)</f>
        <v>0</v>
      </c>
      <c r="K8" s="18">
        <f>IF(Flag="Ignore","",VerticesSyno!yNorm)</f>
        <v>0.26126944748333636</v>
      </c>
      <c r="L8" s="18">
        <f>IF(Flag="Ignore","",IF(OR(Flag="Hole",Flag="Det"),1,(Xnorm*GutCalc!Xnorm+Ynorm*GutCalc!Ynorm+Znorm*GutCalc!Znorm)*NormDirCorr))</f>
        <v>0.9999999999947956</v>
      </c>
      <c r="M8" s="18">
        <f>LeftHandCorr*VerticesSyno!zSag</f>
        <v>0</v>
      </c>
      <c r="N8" s="18">
        <f>VerticesSyno!xSag</f>
        <v>1</v>
      </c>
      <c r="O8" s="18">
        <f>VerticesSyno!ySag</f>
        <v>0</v>
      </c>
      <c r="P8" s="18">
        <f>IF(OR(Flag="Ignore",Flag="Hole",Flag="det"),1,GutCalc!UpFlag)*LeftHandCorr*VerticesSyno!zTang</f>
        <v>0.26126944748333636</v>
      </c>
      <c r="Q8" s="18">
        <f>IF(OR(Flag="Ignore",Flag="Hole",Flag="det"),1,GutCalc!UpFlag)*VerticesSyno!xTang</f>
        <v>0</v>
      </c>
      <c r="R8" s="18">
        <f>IF(OR(Flag="Ignore",Flag="Hole",Flag="det"),1,GutCalc!UpFlag)*VerticesSyno!yTang</f>
        <v>0.9652659093802869</v>
      </c>
      <c r="S8" s="57">
        <f t="shared" si="1"/>
        <v>0</v>
      </c>
      <c r="T8" s="79">
        <f t="shared" si="2"/>
        <v>90</v>
      </c>
      <c r="U8" s="57">
        <f t="shared" si="3"/>
        <v>0</v>
      </c>
      <c r="V8" s="79">
        <f t="shared" si="4"/>
        <v>90</v>
      </c>
      <c r="W8" s="57">
        <f t="shared" si="5"/>
        <v>0</v>
      </c>
      <c r="X8" s="80">
        <f t="shared" si="0"/>
        <v>90</v>
      </c>
    </row>
    <row r="9" spans="1:24" ht="12.75">
      <c r="A9" s="1" t="s">
        <v>134</v>
      </c>
      <c r="B9" s="1"/>
      <c r="C9" s="10" t="s">
        <v>124</v>
      </c>
      <c r="D9" s="11" t="s">
        <v>103</v>
      </c>
      <c r="E9" s="11"/>
      <c r="F9" s="13">
        <f>X0-VerticesSyno!Zvert</f>
        <v>296.150668</v>
      </c>
      <c r="G9" s="13">
        <f>Y0+VerticesSyno!Xvert</f>
        <v>0</v>
      </c>
      <c r="H9" s="13">
        <f>Z0+VerticesSyno!Yvert</f>
        <v>-259.533222</v>
      </c>
      <c r="I9" s="13">
        <f>IF(Flag="Ignore","",LeftHandCorr*VerticesSyno!zNorm)</f>
        <v>-0.9866933234324157</v>
      </c>
      <c r="J9" s="13">
        <f>IF(Flag="Ignore","",VerticesSyno!xNorm)</f>
        <v>0</v>
      </c>
      <c r="K9" s="13">
        <f>IF(Flag="Ignore","",VerticesSyno!yNorm)</f>
        <v>0.16259239063958172</v>
      </c>
      <c r="L9" s="13">
        <f>IF(Flag="Ignore","",IF(OR(Flag="Hole",Flag="Det"),1,(Xnorm*GutCalc!Xnorm+Ynorm*GutCalc!Ynorm+Znorm*GutCalc!Znorm)*NormDirCorr))</f>
        <v>-0.9999999999999221</v>
      </c>
      <c r="M9" s="13">
        <f>LeftHandCorr*VerticesSyno!zSag</f>
        <v>0</v>
      </c>
      <c r="N9" s="13">
        <f>VerticesSyno!xSag</f>
        <v>1</v>
      </c>
      <c r="O9" s="13">
        <f>VerticesSyno!ySag</f>
        <v>0</v>
      </c>
      <c r="P9" s="13">
        <f>IF(OR(Flag="Ignore",Flag="Hole",Flag="det"),1,GutCalc!UpFlag)*LeftHandCorr*VerticesSyno!zTang</f>
        <v>-0.16259239063958172</v>
      </c>
      <c r="Q9" s="13">
        <f>IF(OR(Flag="Ignore",Flag="Hole",Flag="det"),1,GutCalc!UpFlag)*VerticesSyno!xTang</f>
        <v>0</v>
      </c>
      <c r="R9" s="13">
        <f>IF(OR(Flag="Ignore",Flag="Hole",Flag="det"),1,GutCalc!UpFlag)*VerticesSyno!yTang</f>
        <v>-0.9866933234324157</v>
      </c>
      <c r="S9" s="54">
        <f t="shared" si="1"/>
        <v>0</v>
      </c>
      <c r="T9" s="77">
        <f t="shared" si="2"/>
        <v>90</v>
      </c>
      <c r="U9" s="54">
        <f t="shared" si="3"/>
        <v>0</v>
      </c>
      <c r="V9" s="77">
        <f t="shared" si="4"/>
        <v>90</v>
      </c>
      <c r="W9" s="54">
        <f t="shared" si="5"/>
        <v>0</v>
      </c>
      <c r="X9" s="78">
        <f t="shared" si="0"/>
        <v>90</v>
      </c>
    </row>
    <row r="10" spans="1:24" ht="12.75">
      <c r="A10" s="26" t="s">
        <v>139</v>
      </c>
      <c r="B10" s="1"/>
      <c r="C10" s="20"/>
      <c r="D10" s="21" t="s">
        <v>106</v>
      </c>
      <c r="E10" s="21"/>
      <c r="F10" s="23">
        <f>X0-VerticesSyno!Zvert</f>
        <v>94.233806</v>
      </c>
      <c r="G10" s="23">
        <f>Y0+VerticesSyno!Xvert</f>
        <v>0</v>
      </c>
      <c r="H10" s="23">
        <f>Z0+VerticesSyno!Yvert</f>
        <v>-279.482925</v>
      </c>
      <c r="I10" s="23">
        <f>IF(Flag="Ignore","",LeftHandCorr*VerticesSyno!zNorm)</f>
        <v>-0.9580859005476418</v>
      </c>
      <c r="J10" s="23">
        <f>IF(Flag="Ignore","",VerticesSyno!xNorm)</f>
        <v>0</v>
      </c>
      <c r="K10" s="23">
        <f>IF(Flag="Ignore","",VerticesSyno!yNorm)</f>
        <v>0.2864810764637242</v>
      </c>
      <c r="L10" s="23">
        <f>IF(Flag="Ignore","",IF(OR(Flag="Hole",Flag="Det"),1,(Xnorm*GutCalc!Xnorm+Ynorm*GutCalc!Ynorm+Znorm*GutCalc!Znorm)*NormDirCorr))</f>
        <v>0.9999999999981763</v>
      </c>
      <c r="M10" s="23">
        <f>LeftHandCorr*VerticesSyno!zSag</f>
        <v>0</v>
      </c>
      <c r="N10" s="23">
        <f>VerticesSyno!xSag</f>
        <v>1</v>
      </c>
      <c r="O10" s="23">
        <f>VerticesSyno!ySag</f>
        <v>0</v>
      </c>
      <c r="P10" s="23">
        <f>IF(OR(Flag="Ignore",Flag="Hole",Flag="det"),1,GutCalc!UpFlag)*LeftHandCorr*VerticesSyno!zTang</f>
        <v>0.2864810764637242</v>
      </c>
      <c r="Q10" s="23">
        <f>IF(OR(Flag="Ignore",Flag="Hole",Flag="det"),1,GutCalc!UpFlag)*VerticesSyno!xTang</f>
        <v>0</v>
      </c>
      <c r="R10" s="23">
        <f>IF(OR(Flag="Ignore",Flag="Hole",Flag="det"),1,GutCalc!UpFlag)*VerticesSyno!yTang</f>
        <v>0.9580859005476418</v>
      </c>
      <c r="S10" s="51">
        <f t="shared" si="1"/>
        <v>0</v>
      </c>
      <c r="T10" s="81">
        <f t="shared" si="2"/>
        <v>90</v>
      </c>
      <c r="U10" s="51">
        <f t="shared" si="3"/>
        <v>0</v>
      </c>
      <c r="V10" s="81">
        <f t="shared" si="4"/>
        <v>90</v>
      </c>
      <c r="W10" s="51">
        <f t="shared" si="5"/>
        <v>0</v>
      </c>
      <c r="X10" s="82">
        <f t="shared" si="0"/>
        <v>90</v>
      </c>
    </row>
    <row r="11" spans="1:24" ht="12.75">
      <c r="A11" s="25" t="s">
        <v>112</v>
      </c>
      <c r="B11" s="25">
        <v>202</v>
      </c>
      <c r="C11" s="20"/>
      <c r="D11" s="21" t="s">
        <v>109</v>
      </c>
      <c r="E11" s="21"/>
      <c r="F11" s="23">
        <f>X0-VerticesSyno!Zvert</f>
        <v>240.46642400000002</v>
      </c>
      <c r="G11" s="23">
        <f>Y0+VerticesSyno!Xvert</f>
        <v>0</v>
      </c>
      <c r="H11" s="23">
        <f>Z0+VerticesSyno!Yvert</f>
        <v>-397.635459</v>
      </c>
      <c r="I11" s="23">
        <f>IF(Flag="Ignore","",LeftHandCorr*VerticesSyno!zNorm)</f>
        <v>-0.9974275384838198</v>
      </c>
      <c r="J11" s="23">
        <f>IF(Flag="Ignore","",VerticesSyno!xNorm)</f>
        <v>0</v>
      </c>
      <c r="K11" s="23">
        <f>IF(Flag="Ignore","",VerticesSyno!yNorm)</f>
        <v>-0.07168197454108007</v>
      </c>
      <c r="L11" s="23">
        <f>IF(Flag="Ignore","",IF(OR(Flag="Hole",Flag="Det"),1,(Xnorm*GutCalc!Xnorm+Ynorm*GutCalc!Ynorm+Znorm*GutCalc!Znorm)*NormDirCorr))</f>
        <v>-0.9999999999969534</v>
      </c>
      <c r="M11" s="23">
        <f>LeftHandCorr*VerticesSyno!zSag</f>
        <v>0</v>
      </c>
      <c r="N11" s="23">
        <f>VerticesSyno!xSag</f>
        <v>1</v>
      </c>
      <c r="O11" s="23">
        <f>VerticesSyno!ySag</f>
        <v>0</v>
      </c>
      <c r="P11" s="23">
        <f>IF(OR(Flag="Ignore",Flag="Hole",Flag="det"),1,GutCalc!UpFlag)*LeftHandCorr*VerticesSyno!zTang</f>
        <v>0.07168197454108007</v>
      </c>
      <c r="Q11" s="23">
        <f>IF(OR(Flag="Ignore",Flag="Hole",Flag="det"),1,GutCalc!UpFlag)*VerticesSyno!xTang</f>
        <v>0</v>
      </c>
      <c r="R11" s="23">
        <f>IF(OR(Flag="Ignore",Flag="Hole",Flag="det"),1,GutCalc!UpFlag)*VerticesSyno!yTang</f>
        <v>-0.9974275384838198</v>
      </c>
      <c r="S11" s="51">
        <f t="shared" si="1"/>
        <v>0</v>
      </c>
      <c r="T11" s="81">
        <f t="shared" si="2"/>
        <v>90</v>
      </c>
      <c r="U11" s="51">
        <f t="shared" si="3"/>
        <v>0</v>
      </c>
      <c r="V11" s="81">
        <f t="shared" si="4"/>
        <v>90</v>
      </c>
      <c r="W11" s="51">
        <f t="shared" si="5"/>
        <v>0</v>
      </c>
      <c r="X11" s="82">
        <f t="shared" si="0"/>
        <v>90</v>
      </c>
    </row>
    <row r="12" spans="1:24" ht="12.75">
      <c r="A12" s="25" t="s">
        <v>114</v>
      </c>
      <c r="B12" s="25">
        <v>0</v>
      </c>
      <c r="C12" s="20"/>
      <c r="D12" s="21" t="s">
        <v>110</v>
      </c>
      <c r="E12" s="21" t="s">
        <v>163</v>
      </c>
      <c r="F12" s="23">
        <f>X0-VerticesSyno!Zvert</f>
        <v>192.868434</v>
      </c>
      <c r="G12" s="23">
        <f>Y0+VerticesSyno!Xvert</f>
        <v>0</v>
      </c>
      <c r="H12" s="23">
        <f>Z0+VerticesSyno!Yvert</f>
        <v>-448.96217</v>
      </c>
      <c r="I12" s="23">
        <f>IF(Flag="Ignore","",LeftHandCorr*VerticesSyno!zNorm)</f>
        <v>-0.6799712953275036</v>
      </c>
      <c r="J12" s="23">
        <f>IF(Flag="Ignore","",VerticesSyno!xNorm)</f>
        <v>0</v>
      </c>
      <c r="K12" s="23">
        <f>IF(Flag="Ignore","",VerticesSyno!yNorm)</f>
        <v>-0.7332387316083603</v>
      </c>
      <c r="L12" s="23">
        <f>IF(Flag="Ignore","",IF(OR(Flag="Hole",Flag="Det"),1,(Xnorm*GutCalc!Xnorm+Ynorm*GutCalc!Ynorm+Znorm*GutCalc!Znorm)*NormDirCorr))</f>
        <v>1</v>
      </c>
      <c r="M12" s="23">
        <f>LeftHandCorr*VerticesSyno!zSag</f>
        <v>0</v>
      </c>
      <c r="N12" s="23">
        <f>VerticesSyno!xSag</f>
        <v>1</v>
      </c>
      <c r="O12" s="23">
        <f>VerticesSyno!ySag</f>
        <v>0</v>
      </c>
      <c r="P12" s="23">
        <f>IF(OR(Flag="Ignore",Flag="Hole",Flag="det"),1,GutCalc!UpFlag)*LeftHandCorr*VerticesSyno!zTang</f>
        <v>-0.7332387316083603</v>
      </c>
      <c r="Q12" s="23">
        <f>IF(OR(Flag="Ignore",Flag="Hole",Flag="det"),1,GutCalc!UpFlag)*VerticesSyno!xTang</f>
        <v>0</v>
      </c>
      <c r="R12" s="23">
        <f>IF(OR(Flag="Ignore",Flag="Hole",Flag="det"),1,GutCalc!UpFlag)*VerticesSyno!yTang</f>
        <v>0.6799712953275036</v>
      </c>
      <c r="S12" s="51">
        <f t="shared" si="1"/>
        <v>0</v>
      </c>
      <c r="T12" s="81">
        <f t="shared" si="2"/>
        <v>90</v>
      </c>
      <c r="U12" s="51">
        <f t="shared" si="3"/>
        <v>0</v>
      </c>
      <c r="V12" s="81">
        <f t="shared" si="4"/>
        <v>90</v>
      </c>
      <c r="W12" s="51">
        <f t="shared" si="5"/>
        <v>0</v>
      </c>
      <c r="X12" s="82">
        <f t="shared" si="0"/>
        <v>90</v>
      </c>
    </row>
    <row r="13" spans="1:24" ht="13.5" thickBot="1">
      <c r="A13" s="25" t="s">
        <v>116</v>
      </c>
      <c r="B13" s="25">
        <v>0</v>
      </c>
      <c r="C13" s="15"/>
      <c r="D13" s="16" t="s">
        <v>111</v>
      </c>
      <c r="E13" s="16"/>
      <c r="F13" s="18">
        <f>X0-VerticesSyno!Zvert</f>
        <v>104.472165</v>
      </c>
      <c r="G13" s="18">
        <f>Y0+VerticesSyno!Xvert</f>
        <v>0</v>
      </c>
      <c r="H13" s="18">
        <f>Z0+VerticesSyno!Yvert</f>
        <v>-544.283205</v>
      </c>
      <c r="I13" s="18">
        <f>IF(Flag="Ignore","",LeftHandCorr*VerticesSyno!zNorm)</f>
        <v>-0.8897464246421136</v>
      </c>
      <c r="J13" s="18">
        <f>IF(Flag="Ignore","",VerticesSyno!xNorm)</f>
        <v>0</v>
      </c>
      <c r="K13" s="18">
        <f>IF(Flag="Ignore","",VerticesSyno!yNorm)</f>
        <v>-0.4564551454815419</v>
      </c>
      <c r="L13" s="18">
        <f>IF(Flag="Ignore","",IF(OR(Flag="Hole",Flag="Det"),1,(Xnorm*GutCalc!Xnorm+Ynorm*GutCalc!Ynorm+Znorm*GutCalc!Znorm)*NormDirCorr))</f>
        <v>0.9999999999906202</v>
      </c>
      <c r="M13" s="18">
        <f>LeftHandCorr*VerticesSyno!zSag</f>
        <v>0</v>
      </c>
      <c r="N13" s="18">
        <f>VerticesSyno!xSag</f>
        <v>1</v>
      </c>
      <c r="O13" s="18">
        <f>VerticesSyno!ySag</f>
        <v>0</v>
      </c>
      <c r="P13" s="18">
        <f>IF(OR(Flag="Ignore",Flag="Hole",Flag="det"),1,GutCalc!UpFlag)*LeftHandCorr*VerticesSyno!zTang</f>
        <v>-0.4564551454815419</v>
      </c>
      <c r="Q13" s="18">
        <f>IF(OR(Flag="Ignore",Flag="Hole",Flag="det"),1,GutCalc!UpFlag)*VerticesSyno!xTang</f>
        <v>0</v>
      </c>
      <c r="R13" s="18">
        <f>IF(OR(Flag="Ignore",Flag="Hole",Flag="det"),1,GutCalc!UpFlag)*VerticesSyno!yTang</f>
        <v>0.8897464246421136</v>
      </c>
      <c r="S13" s="57">
        <f t="shared" si="1"/>
        <v>0</v>
      </c>
      <c r="T13" s="79">
        <f t="shared" si="2"/>
        <v>90</v>
      </c>
      <c r="U13" s="57">
        <f t="shared" si="3"/>
        <v>0</v>
      </c>
      <c r="V13" s="79">
        <f t="shared" si="4"/>
        <v>90</v>
      </c>
      <c r="W13" s="57">
        <f t="shared" si="5"/>
        <v>0</v>
      </c>
      <c r="X13" s="80">
        <f t="shared" si="0"/>
        <v>90</v>
      </c>
    </row>
    <row r="14" spans="1:24" ht="12.75">
      <c r="A14" s="34"/>
      <c r="B14" s="34"/>
      <c r="C14" s="10" t="s">
        <v>125</v>
      </c>
      <c r="D14" s="11" t="s">
        <v>113</v>
      </c>
      <c r="E14" s="11"/>
      <c r="F14" s="13">
        <f>X0-VerticesSyno!Zvert</f>
        <v>238.419841</v>
      </c>
      <c r="G14" s="13">
        <f>Y0+VerticesSyno!Xvert</f>
        <v>0</v>
      </c>
      <c r="H14" s="13">
        <f>Z0+VerticesSyno!Yvert</f>
        <v>-527.460001</v>
      </c>
      <c r="I14" s="13">
        <f>IF(Flag="Ignore","",LeftHandCorr*VerticesSyno!zNorm)</f>
        <v>-0.9051344700049381</v>
      </c>
      <c r="J14" s="13">
        <f>IF(Flag="Ignore","",VerticesSyno!xNorm)</f>
        <v>0</v>
      </c>
      <c r="K14" s="13">
        <f>IF(Flag="Ignore","",VerticesSyno!yNorm)</f>
        <v>-0.4251253829270604</v>
      </c>
      <c r="L14" s="13">
        <f>IF(Flag="Ignore","",IF(OR(Flag="Hole",Flag="Det"),1,(Xnorm*GutCalc!Xnorm+Ynorm*GutCalc!Ynorm+Znorm*GutCalc!Znorm)*NormDirCorr))</f>
        <v>-1</v>
      </c>
      <c r="M14" s="13">
        <f>LeftHandCorr*VerticesSyno!zSag</f>
        <v>0</v>
      </c>
      <c r="N14" s="13">
        <f>VerticesSyno!xSag</f>
        <v>1</v>
      </c>
      <c r="O14" s="13">
        <f>VerticesSyno!ySag</f>
        <v>0</v>
      </c>
      <c r="P14" s="13">
        <f>IF(OR(Flag="Ignore",Flag="Hole",Flag="det"),1,GutCalc!UpFlag)*LeftHandCorr*VerticesSyno!zTang</f>
        <v>0.4251253829270604</v>
      </c>
      <c r="Q14" s="13">
        <f>IF(OR(Flag="Ignore",Flag="Hole",Flag="det"),1,GutCalc!UpFlag)*VerticesSyno!xTang</f>
        <v>0</v>
      </c>
      <c r="R14" s="13">
        <f>IF(OR(Flag="Ignore",Flag="Hole",Flag="det"),1,GutCalc!UpFlag)*VerticesSyno!yTang</f>
        <v>-0.9051344700049381</v>
      </c>
      <c r="S14" s="54">
        <f t="shared" si="1"/>
        <v>0</v>
      </c>
      <c r="T14" s="77">
        <f t="shared" si="2"/>
        <v>90</v>
      </c>
      <c r="U14" s="54">
        <f t="shared" si="3"/>
        <v>0</v>
      </c>
      <c r="V14" s="77">
        <f t="shared" si="4"/>
        <v>90</v>
      </c>
      <c r="W14" s="54">
        <f t="shared" si="5"/>
        <v>0</v>
      </c>
      <c r="X14" s="78">
        <f t="shared" si="0"/>
        <v>90</v>
      </c>
    </row>
    <row r="15" spans="1:24" ht="12.75">
      <c r="A15" s="35"/>
      <c r="C15" s="20"/>
      <c r="D15" s="21" t="s">
        <v>115</v>
      </c>
      <c r="E15" s="21"/>
      <c r="F15" s="23">
        <f>X0-VerticesSyno!Zvert</f>
        <v>139.942327</v>
      </c>
      <c r="G15" s="23">
        <f>Y0+VerticesSyno!Xvert</f>
        <v>1.82E-14</v>
      </c>
      <c r="H15" s="23">
        <f>Z0+VerticesSyno!Yvert</f>
        <v>-619.802728</v>
      </c>
      <c r="I15" s="23">
        <f>IF(Flag="Ignore","",LeftHandCorr*VerticesSyno!zNorm)</f>
        <v>-0.5158082818360727</v>
      </c>
      <c r="J15" s="23">
        <f>IF(Flag="Ignore","",VerticesSyno!xNorm)</f>
        <v>0.7071067811865475</v>
      </c>
      <c r="K15" s="23">
        <f>IF(Flag="Ignore","",VerticesSyno!yNorm)</f>
        <v>-0.4836753212531301</v>
      </c>
      <c r="L15" s="23">
        <f>IF(Flag="Ignore","",IF(OR(Flag="Hole",Flag="Det"),1,(Xnorm*GutCalc!Xnorm+Ynorm*GutCalc!Ynorm+Znorm*GutCalc!Znorm)*NormDirCorr))</f>
        <v>0.9999999999999999</v>
      </c>
      <c r="M15" s="23">
        <f>LeftHandCorr*VerticesSyno!zSag</f>
        <v>0.5158082818360726</v>
      </c>
      <c r="N15" s="23">
        <f>VerticesSyno!xSag</f>
        <v>0.7071067811865476</v>
      </c>
      <c r="O15" s="23">
        <f>VerticesSyno!ySag</f>
        <v>0.48367532125313006</v>
      </c>
      <c r="P15" s="23">
        <f>IF(OR(Flag="Ignore",Flag="Hole",Flag="det"),1,GutCalc!UpFlag)*LeftHandCorr*VerticesSyno!zTang</f>
        <v>-0.6840201991013403</v>
      </c>
      <c r="Q15" s="23">
        <f>IF(OR(Flag="Ignore",Flag="Hole",Flag="det"),1,GutCalc!UpFlag)*VerticesSyno!xTang</f>
        <v>0</v>
      </c>
      <c r="R15" s="23">
        <f>IF(OR(Flag="Ignore",Flag="Hole",Flag="det"),1,GutCalc!UpFlag)*VerticesSyno!yTang</f>
        <v>0.7294630677569378</v>
      </c>
      <c r="S15" s="51">
        <f t="shared" si="1"/>
        <v>0</v>
      </c>
      <c r="T15" s="81">
        <f t="shared" si="2"/>
        <v>90</v>
      </c>
      <c r="U15" s="51">
        <f t="shared" si="3"/>
        <v>0</v>
      </c>
      <c r="V15" s="81">
        <f t="shared" si="4"/>
        <v>90</v>
      </c>
      <c r="W15" s="51">
        <f t="shared" si="5"/>
        <v>0</v>
      </c>
      <c r="X15" s="82">
        <f t="shared" si="0"/>
        <v>90</v>
      </c>
    </row>
    <row r="16" spans="3:24" ht="13.5" thickBot="1">
      <c r="C16" s="15"/>
      <c r="D16" s="16" t="s">
        <v>117</v>
      </c>
      <c r="E16" s="16" t="s">
        <v>164</v>
      </c>
      <c r="F16" s="18">
        <f>X0-VerticesSyno!Zvert</f>
        <v>139.942327</v>
      </c>
      <c r="G16" s="18">
        <f>Y0+VerticesSyno!Xvert</f>
        <v>-50</v>
      </c>
      <c r="H16" s="18">
        <f>Z0+VerticesSyno!Yvert</f>
        <v>-619.802728</v>
      </c>
      <c r="I16" s="18">
        <f>IF(Flag="Ignore","",LeftHandCorr*VerticesSyno!zNorm)</f>
        <v>-6.1257422745431E-17</v>
      </c>
      <c r="J16" s="18">
        <f>IF(Flag="Ignore","",VerticesSyno!xNorm)</f>
        <v>1</v>
      </c>
      <c r="K16" s="18">
        <f>IF(Flag="Ignore","",VerticesSyno!yNorm)</f>
        <v>0</v>
      </c>
      <c r="L16" s="18">
        <f>IF(Flag="Ignore","",IF(OR(Flag="Hole",Flag="Det"),1,(Xnorm*GutCalc!Xnorm+Ynorm*GutCalc!Ynorm+Znorm*GutCalc!Znorm)*NormDirCorr))</f>
        <v>1</v>
      </c>
      <c r="M16" s="18">
        <f>LeftHandCorr*VerticesSyno!zSag</f>
        <v>1</v>
      </c>
      <c r="N16" s="18">
        <f>VerticesSyno!xSag</f>
        <v>6.1257422745431E-17</v>
      </c>
      <c r="O16" s="18">
        <f>VerticesSyno!ySag</f>
        <v>0</v>
      </c>
      <c r="P16" s="18">
        <f>IF(OR(Flag="Ignore",Flag="Hole",Flag="det"),1,GutCalc!UpFlag)*LeftHandCorr*VerticesSyno!zTang</f>
        <v>0</v>
      </c>
      <c r="Q16" s="18">
        <f>IF(OR(Flag="Ignore",Flag="Hole",Flag="det"),1,GutCalc!UpFlag)*VerticesSyno!xTang</f>
        <v>0</v>
      </c>
      <c r="R16" s="18">
        <f>IF(OR(Flag="Ignore",Flag="Hole",Flag="det"),1,GutCalc!UpFlag)*VerticesSyno!yTang</f>
        <v>1</v>
      </c>
      <c r="S16" s="57">
        <f t="shared" si="1"/>
        <v>0</v>
      </c>
      <c r="T16" s="79">
        <f t="shared" si="2"/>
        <v>90</v>
      </c>
      <c r="U16" s="57">
        <f t="shared" si="3"/>
        <v>0</v>
      </c>
      <c r="V16" s="79">
        <f t="shared" si="4"/>
        <v>90</v>
      </c>
      <c r="W16" s="57">
        <f t="shared" si="5"/>
        <v>0</v>
      </c>
      <c r="X16" s="80">
        <f t="shared" si="0"/>
        <v>90</v>
      </c>
    </row>
    <row r="17" spans="4:24" ht="13.5" thickBot="1">
      <c r="D17" s="21" t="s">
        <v>113</v>
      </c>
      <c r="E17" s="1" t="s">
        <v>128</v>
      </c>
      <c r="F17" s="9">
        <f>X0-VerticesSyno!Zvert</f>
        <v>238.419841</v>
      </c>
      <c r="G17" s="9">
        <f>Y0+VerticesSyno!Xvert</f>
        <v>0</v>
      </c>
      <c r="H17" s="9">
        <f>Z0+VerticesSyno!Yvert</f>
        <v>-527.460001</v>
      </c>
      <c r="I17" s="9">
        <f>IF(Flag="Ignore","",LeftHandCorr*VerticesSyno!zNorm)</f>
      </c>
      <c r="J17" s="9">
        <f>IF(Flag="Ignore","",VerticesSyno!xNorm)</f>
      </c>
      <c r="K17" s="9">
        <f>IF(Flag="Ignore","",VerticesSyno!yNorm)</f>
      </c>
      <c r="L17" s="9">
        <f>IF(Flag="Ignore","",IF(OR(Flag="Hole",Flag="Det"),1,(Xnorm*GutCalc!Xnorm+Ynorm*GutCalc!Ynorm+Znorm*GutCalc!Znorm)*NormDirCorr))</f>
      </c>
      <c r="M17" s="9">
        <f>LeftHandCorr*VerticesSyno!zSag</f>
        <v>0</v>
      </c>
      <c r="N17" s="9">
        <f>VerticesSyno!xSag</f>
        <v>1</v>
      </c>
      <c r="O17" s="9">
        <f>VerticesSyno!ySag</f>
        <v>0</v>
      </c>
      <c r="P17" s="9">
        <f>IF(OR(Flag="Ignore",Flag="Hole",Flag="det"),1,GutCalc!UpFlag)*LeftHandCorr*VerticesSyno!zTang</f>
        <v>-0.4251253829270604</v>
      </c>
      <c r="Q17" s="9">
        <f>IF(OR(Flag="Ignore",Flag="Hole",Flag="det"),1,GutCalc!UpFlag)*VerticesSyno!xTang</f>
        <v>0</v>
      </c>
      <c r="R17" s="9">
        <f>IF(OR(Flag="Ignore",Flag="Hole",Flag="det"),1,GutCalc!UpFlag)*VerticesSyno!yTang</f>
        <v>0.9051344700049381</v>
      </c>
      <c r="S17" s="36" t="e">
        <f t="shared" si="1"/>
        <v>#VALUE!</v>
      </c>
      <c r="T17" s="37" t="e">
        <f t="shared" si="2"/>
        <v>#VALUE!</v>
      </c>
      <c r="U17" s="36" t="e">
        <f t="shared" si="3"/>
        <v>#VALUE!</v>
      </c>
      <c r="V17" s="37" t="e">
        <f t="shared" si="4"/>
        <v>#VALUE!</v>
      </c>
      <c r="W17" s="36">
        <f t="shared" si="5"/>
        <v>0</v>
      </c>
      <c r="X17" s="37">
        <f t="shared" si="0"/>
        <v>90</v>
      </c>
    </row>
    <row r="18" spans="3:24" ht="12.75">
      <c r="C18" s="10" t="s">
        <v>126</v>
      </c>
      <c r="D18" s="11" t="s">
        <v>118</v>
      </c>
      <c r="E18" s="11"/>
      <c r="F18" s="13">
        <f>X0-VerticesSyno!Zvert</f>
        <v>337.64034100000003</v>
      </c>
      <c r="G18" s="13">
        <f>Y0+VerticesSyno!Xvert</f>
        <v>7.15E-15</v>
      </c>
      <c r="H18" s="13">
        <f>Z0+VerticesSyno!Yvert</f>
        <v>-514.998367</v>
      </c>
      <c r="I18" s="13">
        <f>IF(Flag="Ignore","",LeftHandCorr*VerticesSyno!zNorm)</f>
        <v>-0.8992431213587703</v>
      </c>
      <c r="J18" s="13">
        <f>IF(Flag="Ignore","",VerticesSyno!xNorm)</f>
        <v>-0.42261826174069944</v>
      </c>
      <c r="K18" s="13">
        <f>IF(Flag="Ignore","",VerticesSyno!yNorm)</f>
        <v>-0.1129407523093658</v>
      </c>
      <c r="L18" s="13">
        <f>IF(Flag="Ignore","",IF(OR(Flag="Hole",Flag="Det"),1,(Xnorm*GutCalc!Xnorm+Ynorm*GutCalc!Ynorm+Znorm*GutCalc!Znorm)*NormDirCorr))</f>
        <v>-0.9999999999999999</v>
      </c>
      <c r="M18" s="13">
        <f>LeftHandCorr*VerticesSyno!zSag</f>
        <v>-0.4193239540327994</v>
      </c>
      <c r="N18" s="13">
        <f>VerticesSyno!xSag</f>
        <v>0.9063077870366499</v>
      </c>
      <c r="O18" s="13">
        <f>VerticesSyno!ySag</f>
        <v>-0.05266513771964412</v>
      </c>
      <c r="P18" s="13">
        <f>IF(OR(Flag="Ignore",Flag="Hole",Flag="det"),1,GutCalc!UpFlag)*LeftHandCorr*VerticesSyno!zTang</f>
        <v>0.12461633224916628</v>
      </c>
      <c r="Q18" s="13">
        <f>IF(OR(Flag="Ignore",Flag="Hole",Flag="det"),1,GutCalc!UpFlag)*VerticesSyno!xTang</f>
        <v>0</v>
      </c>
      <c r="R18" s="13">
        <f>IF(OR(Flag="Ignore",Flag="Hole",Flag="det"),1,GutCalc!UpFlag)*VerticesSyno!yTang</f>
        <v>-0.9922050038861754</v>
      </c>
      <c r="S18" s="54">
        <f t="shared" si="1"/>
        <v>0</v>
      </c>
      <c r="T18" s="77">
        <f t="shared" si="2"/>
        <v>90</v>
      </c>
      <c r="U18" s="54">
        <f t="shared" si="3"/>
        <v>-3.0357660829594124E-17</v>
      </c>
      <c r="V18" s="77">
        <f t="shared" si="4"/>
        <v>90</v>
      </c>
      <c r="W18" s="54">
        <f t="shared" si="5"/>
        <v>0</v>
      </c>
      <c r="X18" s="78">
        <f t="shared" si="0"/>
        <v>90</v>
      </c>
    </row>
    <row r="19" spans="3:24" ht="13.5" thickBot="1">
      <c r="C19" s="15"/>
      <c r="D19" s="16" t="s">
        <v>119</v>
      </c>
      <c r="E19" s="16" t="s">
        <v>164</v>
      </c>
      <c r="F19" s="18">
        <f>X0-VerticesSyno!Zvert</f>
        <v>283.429289</v>
      </c>
      <c r="G19" s="18">
        <f>Y0+VerticesSyno!Xvert</f>
        <v>-65.113778</v>
      </c>
      <c r="H19" s="18">
        <f>Z0+VerticesSyno!Yvert</f>
        <v>-521.807023</v>
      </c>
      <c r="I19" s="18">
        <f>IF(Flag="Ignore","",LeftHandCorr*VerticesSyno!zNorm)</f>
        <v>-0.6377770827670182</v>
      </c>
      <c r="J19" s="18">
        <f>IF(Flag="Ignore","",VerticesSyno!xNorm)</f>
        <v>-0.766044443118978</v>
      </c>
      <c r="K19" s="18">
        <f>IF(Flag="Ignore","",VerticesSyno!yNorm)</f>
        <v>-0.0801018343343452</v>
      </c>
      <c r="L19" s="18">
        <f>IF(Flag="Ignore","",IF(OR(Flag="Hole",Flag="Det"),1,(Xnorm*GutCalc!Xnorm+Ynorm*GutCalc!Ynorm+Znorm*GutCalc!Znorm)*NormDirCorr))</f>
        <v>1</v>
      </c>
      <c r="M19" s="18">
        <f>LeftHandCorr*VerticesSyno!zSag</f>
        <v>-0.7600731296618486</v>
      </c>
      <c r="N19" s="18">
        <f>VerticesSyno!xSag</f>
        <v>0.6427876096865394</v>
      </c>
      <c r="O19" s="18">
        <f>VerticesSyno!ySag</f>
        <v>-0.09546164884134213</v>
      </c>
      <c r="P19" s="18">
        <f>IF(OR(Flag="Ignore",Flag="Hole",Flag="det"),1,GutCalc!UpFlag)*LeftHandCorr*VerticesSyno!zTang</f>
        <v>-0.12461633224916628</v>
      </c>
      <c r="Q19" s="18">
        <f>IF(OR(Flag="Ignore",Flag="Hole",Flag="det"),1,GutCalc!UpFlag)*VerticesSyno!xTang</f>
        <v>0</v>
      </c>
      <c r="R19" s="18">
        <f>IF(OR(Flag="Ignore",Flag="Hole",Flag="det"),1,GutCalc!UpFlag)*VerticesSyno!yTang</f>
        <v>0.9922050038861754</v>
      </c>
      <c r="S19" s="57">
        <f t="shared" si="1"/>
        <v>0</v>
      </c>
      <c r="T19" s="79">
        <f t="shared" si="2"/>
        <v>90</v>
      </c>
      <c r="U19" s="57">
        <f t="shared" si="3"/>
        <v>-1.0928757898653885E-16</v>
      </c>
      <c r="V19" s="79">
        <f t="shared" si="4"/>
        <v>90</v>
      </c>
      <c r="W19" s="57">
        <f t="shared" si="5"/>
        <v>0</v>
      </c>
      <c r="X19" s="80">
        <f t="shared" si="0"/>
        <v>90</v>
      </c>
    </row>
    <row r="20" spans="4:24" ht="13.5" thickBot="1">
      <c r="D20" s="21" t="s">
        <v>118</v>
      </c>
      <c r="E20" s="1" t="s">
        <v>128</v>
      </c>
      <c r="F20" s="9">
        <f>X0-VerticesSyno!Zvert</f>
        <v>337.64034100000003</v>
      </c>
      <c r="G20" s="9">
        <f>Y0+VerticesSyno!Xvert</f>
        <v>7.15E-15</v>
      </c>
      <c r="H20" s="9">
        <f>Z0+VerticesSyno!Yvert</f>
        <v>-514.998367</v>
      </c>
      <c r="I20" s="9">
        <f>IF(Flag="Ignore","",LeftHandCorr*VerticesSyno!zNorm)</f>
      </c>
      <c r="J20" s="9">
        <f>IF(Flag="Ignore","",VerticesSyno!xNorm)</f>
      </c>
      <c r="K20" s="9">
        <f>IF(Flag="Ignore","",VerticesSyno!yNorm)</f>
      </c>
      <c r="L20" s="9">
        <f>IF(Flag="Ignore","",IF(OR(Flag="Hole",Flag="Det"),1,(Xnorm*GutCalc!Xnorm+Ynorm*GutCalc!Ynorm+Znorm*GutCalc!Znorm)*NormDirCorr))</f>
      </c>
      <c r="M20" s="9">
        <f>LeftHandCorr*VerticesSyno!zSag</f>
        <v>-0.4193239540327994</v>
      </c>
      <c r="N20" s="9">
        <f>VerticesSyno!xSag</f>
        <v>0.9063077870366499</v>
      </c>
      <c r="O20" s="9">
        <f>VerticesSyno!ySag</f>
        <v>-0.05266513771964412</v>
      </c>
      <c r="P20" s="9">
        <f>IF(OR(Flag="Ignore",Flag="Hole",Flag="det"),1,GutCalc!UpFlag)*LeftHandCorr*VerticesSyno!zTang</f>
        <v>-0.12461633224916628</v>
      </c>
      <c r="Q20" s="9">
        <f>IF(OR(Flag="Ignore",Flag="Hole",Flag="det"),1,GutCalc!UpFlag)*VerticesSyno!xTang</f>
        <v>0</v>
      </c>
      <c r="R20" s="9">
        <f>IF(OR(Flag="Ignore",Flag="Hole",Flag="det"),1,GutCalc!UpFlag)*VerticesSyno!yTang</f>
        <v>0.9922050038861754</v>
      </c>
      <c r="S20" s="36" t="e">
        <f t="shared" si="1"/>
        <v>#VALUE!</v>
      </c>
      <c r="T20" s="37" t="e">
        <f t="shared" si="2"/>
        <v>#VALUE!</v>
      </c>
      <c r="U20" s="36" t="e">
        <f t="shared" si="3"/>
        <v>#VALUE!</v>
      </c>
      <c r="V20" s="37" t="e">
        <f t="shared" si="4"/>
        <v>#VALUE!</v>
      </c>
      <c r="W20" s="36">
        <f t="shared" si="5"/>
        <v>0</v>
      </c>
      <c r="X20" s="37">
        <f t="shared" si="0"/>
        <v>90</v>
      </c>
    </row>
    <row r="21" spans="3:24" ht="12.75">
      <c r="C21" s="10" t="s">
        <v>127</v>
      </c>
      <c r="D21" s="11" t="s">
        <v>120</v>
      </c>
      <c r="E21" s="11"/>
      <c r="F21" s="13">
        <f>X0-VerticesSyno!Zvert</f>
        <v>381.297361</v>
      </c>
      <c r="G21" s="13">
        <f>Y0+VerticesSyno!Xvert</f>
        <v>-1.28E-14</v>
      </c>
      <c r="H21" s="13">
        <f>Z0+VerticesSyno!Yvert</f>
        <v>-509.515249</v>
      </c>
      <c r="I21" s="13">
        <f>IF(Flag="Ignore","",LeftHandCorr*VerticesSyno!zNorm)</f>
        <v>-0.7498640170291299</v>
      </c>
      <c r="J21" s="13">
        <f>IF(Flag="Ignore","",VerticesSyno!xNorm)</f>
        <v>0</v>
      </c>
      <c r="K21" s="13">
        <f>IF(Flag="Ignore","",VerticesSyno!yNorm)</f>
        <v>0.6615919860192813</v>
      </c>
      <c r="L21" s="13">
        <f>IF(Flag="Ignore","",IF(OR(Flag="Hole",Flag="Det"),1,(Xnorm*GutCalc!Xnorm+Ynorm*GutCalc!Ynorm+Znorm*GutCalc!Znorm)*NormDirCorr))</f>
        <v>-1</v>
      </c>
      <c r="M21" s="13">
        <f>LeftHandCorr*VerticesSyno!zSag</f>
        <v>0</v>
      </c>
      <c r="N21" s="13">
        <f>VerticesSyno!xSag</f>
        <v>1</v>
      </c>
      <c r="O21" s="13">
        <f>VerticesSyno!ySag</f>
        <v>0</v>
      </c>
      <c r="P21" s="13">
        <f>IF(OR(Flag="Ignore",Flag="Hole",Flag="det"),1,GutCalc!UpFlag)*LeftHandCorr*VerticesSyno!zTang</f>
        <v>-0.6615919860192813</v>
      </c>
      <c r="Q21" s="13">
        <f>IF(OR(Flag="Ignore",Flag="Hole",Flag="det"),1,GutCalc!UpFlag)*VerticesSyno!xTang</f>
        <v>0</v>
      </c>
      <c r="R21" s="13">
        <f>IF(OR(Flag="Ignore",Flag="Hole",Flag="det"),1,GutCalc!UpFlag)*VerticesSyno!yTang</f>
        <v>-0.7498640170291299</v>
      </c>
      <c r="S21" s="54">
        <f t="shared" si="1"/>
        <v>0</v>
      </c>
      <c r="T21" s="77">
        <f t="shared" si="2"/>
        <v>90</v>
      </c>
      <c r="U21" s="54">
        <f t="shared" si="3"/>
        <v>0</v>
      </c>
      <c r="V21" s="77">
        <f t="shared" si="4"/>
        <v>90</v>
      </c>
      <c r="W21" s="54">
        <f t="shared" si="5"/>
        <v>0</v>
      </c>
      <c r="X21" s="78">
        <f t="shared" si="0"/>
        <v>90</v>
      </c>
    </row>
    <row r="22" spans="3:24" ht="13.5" thickBot="1">
      <c r="C22" s="15"/>
      <c r="D22" s="16" t="s">
        <v>121</v>
      </c>
      <c r="E22" s="16" t="s">
        <v>164</v>
      </c>
      <c r="F22" s="18">
        <f>X0-VerticesSyno!Zvert</f>
        <v>381.298363</v>
      </c>
      <c r="G22" s="18">
        <f>Y0+VerticesSyno!Xvert</f>
        <v>-1.34E-14</v>
      </c>
      <c r="H22" s="18">
        <f>Z0+VerticesSyno!Yvert</f>
        <v>-468.515249</v>
      </c>
      <c r="I22" s="18">
        <f>IF(Flag="Ignore","",LeftHandCorr*VerticesSyno!zNorm)</f>
        <v>2.4434609525453033E-05</v>
      </c>
      <c r="J22" s="18">
        <f>IF(Flag="Ignore","",VerticesSyno!xNorm)</f>
        <v>0</v>
      </c>
      <c r="K22" s="18">
        <f>IF(Flag="Ignore","",VerticesSyno!yNorm)</f>
        <v>0.9999999997014749</v>
      </c>
      <c r="L22" s="18">
        <f>IF(Flag="Ignore","",IF(OR(Flag="Hole",Flag="Det"),1,(Xnorm*GutCalc!Xnorm+Ynorm*GutCalc!Ynorm+Znorm*GutCalc!Znorm)*NormDirCorr))</f>
        <v>1</v>
      </c>
      <c r="M22" s="18">
        <f>LeftHandCorr*VerticesSyno!zSag</f>
        <v>0</v>
      </c>
      <c r="N22" s="18">
        <f>VerticesSyno!xSag</f>
        <v>1</v>
      </c>
      <c r="O22" s="18">
        <f>VerticesSyno!ySag</f>
        <v>0</v>
      </c>
      <c r="P22" s="18">
        <f>IF(OR(Flag="Ignore",Flag="Hole",Flag="det"),1,GutCalc!UpFlag)*LeftHandCorr*VerticesSyno!zTang</f>
        <v>0.9999999997014749</v>
      </c>
      <c r="Q22" s="18">
        <f>IF(OR(Flag="Ignore",Flag="Hole",Flag="det"),1,GutCalc!UpFlag)*VerticesSyno!xTang</f>
        <v>0</v>
      </c>
      <c r="R22" s="18">
        <f>IF(OR(Flag="Ignore",Flag="Hole",Flag="det"),1,GutCalc!UpFlag)*VerticesSyno!yTang</f>
        <v>-2.4434609525453033E-05</v>
      </c>
      <c r="S22" s="57">
        <f t="shared" si="1"/>
        <v>0</v>
      </c>
      <c r="T22" s="79">
        <f t="shared" si="2"/>
        <v>90</v>
      </c>
      <c r="U22" s="57">
        <f t="shared" si="3"/>
        <v>0</v>
      </c>
      <c r="V22" s="79">
        <f t="shared" si="4"/>
        <v>90</v>
      </c>
      <c r="W22" s="57">
        <f t="shared" si="5"/>
        <v>0</v>
      </c>
      <c r="X22" s="80">
        <f t="shared" si="0"/>
        <v>90</v>
      </c>
    </row>
    <row r="23" spans="1:18" ht="12.75">
      <c r="A23" s="35" t="s">
        <v>46</v>
      </c>
      <c r="B23" s="35" t="s">
        <v>415</v>
      </c>
      <c r="C23" s="35" t="s">
        <v>308</v>
      </c>
      <c r="D23" s="35" t="s">
        <v>416</v>
      </c>
      <c r="E23" s="35"/>
      <c r="I23" s="9"/>
      <c r="J23" s="9"/>
      <c r="K23" s="9"/>
      <c r="L23" s="9"/>
      <c r="M23" s="9"/>
      <c r="N23" s="9"/>
      <c r="O23" s="9"/>
      <c r="P23" s="9"/>
      <c r="Q23" s="9"/>
      <c r="R23" s="9"/>
    </row>
    <row r="24" spans="1:18" ht="12.75">
      <c r="A24" s="21" t="s">
        <v>17</v>
      </c>
      <c r="B24" s="21" t="str">
        <f>"-Zsyno"</f>
        <v>-Zsyno</v>
      </c>
      <c r="C24" s="21" t="s">
        <v>412</v>
      </c>
      <c r="D24" s="21" t="s">
        <v>130</v>
      </c>
      <c r="E24" s="21"/>
      <c r="I24" s="9"/>
      <c r="J24" s="9"/>
      <c r="K24" s="9"/>
      <c r="L24" s="9"/>
      <c r="M24" s="9"/>
      <c r="N24" s="9"/>
      <c r="O24" s="9"/>
      <c r="P24" s="9"/>
      <c r="Q24" s="9"/>
      <c r="R24" s="9"/>
    </row>
    <row r="25" spans="1:5" ht="12.75">
      <c r="A25" s="21" t="s">
        <v>81</v>
      </c>
      <c r="B25" s="21" t="s">
        <v>136</v>
      </c>
      <c r="C25" s="21" t="s">
        <v>413</v>
      </c>
      <c r="D25" s="21" t="s">
        <v>131</v>
      </c>
      <c r="E25" s="21"/>
    </row>
    <row r="26" spans="1:5" ht="12.75">
      <c r="A26" s="21" t="s">
        <v>82</v>
      </c>
      <c r="B26" s="21" t="s">
        <v>137</v>
      </c>
      <c r="C26" s="21" t="s">
        <v>414</v>
      </c>
      <c r="D26" s="21" t="s">
        <v>132</v>
      </c>
      <c r="E26" s="21"/>
    </row>
    <row r="28" spans="1:2" ht="12.75">
      <c r="A28" s="21" t="s">
        <v>406</v>
      </c>
      <c r="B28" s="21">
        <v>-1</v>
      </c>
    </row>
    <row r="29" spans="1:2" ht="12.75">
      <c r="A29" s="21" t="s">
        <v>407</v>
      </c>
      <c r="B29" s="21">
        <v>-1</v>
      </c>
    </row>
  </sheetData>
  <printOptions/>
  <pageMargins left="0.7874015748031497" right="0.7874015748031497"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AB26"/>
  <sheetViews>
    <sheetView workbookViewId="0" topLeftCell="A1">
      <selection activeCell="K2" sqref="K2"/>
    </sheetView>
  </sheetViews>
  <sheetFormatPr defaultColWidth="12" defaultRowHeight="12.75"/>
  <cols>
    <col min="1" max="1" width="7.83203125" style="21" customWidth="1"/>
    <col min="2" max="2" width="7.5" style="21" customWidth="1"/>
    <col min="3" max="3" width="18.66015625" style="21" customWidth="1"/>
    <col min="4" max="4" width="12" style="21" customWidth="1"/>
    <col min="5" max="5" width="8.83203125" style="1" customWidth="1"/>
    <col min="6" max="6" width="11.16015625" style="22" customWidth="1"/>
    <col min="7" max="7" width="8.16015625" style="22" customWidth="1"/>
    <col min="8" max="13" width="10" style="51" customWidth="1"/>
    <col min="14" max="22" width="10" style="61" customWidth="1"/>
    <col min="23" max="23" width="10" style="36" customWidth="1"/>
    <col min="24" max="24" width="10" style="37" customWidth="1"/>
    <col min="25" max="25" width="10" style="36" customWidth="1"/>
    <col min="26" max="26" width="10" style="37" customWidth="1"/>
    <col min="27" max="27" width="10" style="36" customWidth="1"/>
    <col min="28" max="28" width="10" style="37" customWidth="1"/>
    <col min="29" max="16384" width="12" style="21" customWidth="1"/>
  </cols>
  <sheetData>
    <row r="1" spans="3:28" s="31" customFormat="1" ht="12.75">
      <c r="C1" s="31" t="s">
        <v>129</v>
      </c>
      <c r="D1" s="31" t="s">
        <v>2</v>
      </c>
      <c r="E1" s="5" t="s">
        <v>162</v>
      </c>
      <c r="F1" s="32" t="s">
        <v>91</v>
      </c>
      <c r="G1" s="32" t="s">
        <v>92</v>
      </c>
      <c r="H1" s="60" t="s">
        <v>7</v>
      </c>
      <c r="I1" s="60" t="s">
        <v>8</v>
      </c>
      <c r="J1" s="60" t="s">
        <v>9</v>
      </c>
      <c r="K1" s="60" t="s">
        <v>371</v>
      </c>
      <c r="L1" s="60" t="s">
        <v>372</v>
      </c>
      <c r="M1" s="60" t="s">
        <v>373</v>
      </c>
      <c r="N1" s="38" t="s">
        <v>381</v>
      </c>
      <c r="O1" s="38" t="s">
        <v>382</v>
      </c>
      <c r="P1" s="38" t="s">
        <v>383</v>
      </c>
      <c r="Q1" s="38" t="s">
        <v>361</v>
      </c>
      <c r="R1" s="38" t="s">
        <v>384</v>
      </c>
      <c r="S1" s="38" t="s">
        <v>385</v>
      </c>
      <c r="T1" s="38" t="s">
        <v>386</v>
      </c>
      <c r="U1" s="38" t="s">
        <v>387</v>
      </c>
      <c r="V1" s="38" t="s">
        <v>388</v>
      </c>
      <c r="W1" s="36" t="s">
        <v>389</v>
      </c>
      <c r="X1" s="37"/>
      <c r="Y1" s="36" t="s">
        <v>390</v>
      </c>
      <c r="Z1" s="37"/>
      <c r="AA1" s="36" t="s">
        <v>391</v>
      </c>
      <c r="AB1" s="37"/>
    </row>
    <row r="2" spans="4:28" ht="13.5" thickBot="1">
      <c r="D2" s="21" t="s">
        <v>93</v>
      </c>
      <c r="E2" s="1" t="s">
        <v>128</v>
      </c>
      <c r="F2" s="22">
        <v>5</v>
      </c>
      <c r="G2" s="22">
        <f>SurfNum+Line0</f>
        <v>246</v>
      </c>
      <c r="H2" s="51">
        <f ca="1">INDIRECT("SpecGlob!"&amp;Xcol&amp;FIXED(Line,0))</f>
        <v>0</v>
      </c>
      <c r="I2" s="51">
        <f ca="1">INDIRECT("SpecGlob!"&amp;Ycol&amp;FIXED(Line,0))</f>
        <v>0</v>
      </c>
      <c r="J2" s="51">
        <f ca="1">INDIRECT("SpecGlob!"&amp;Zcol&amp;FIXED(Line,0))</f>
        <v>-3050.162</v>
      </c>
      <c r="K2" s="51">
        <f ca="1">INDIRECT("SpecGlob!"&amp;aCol&amp;FIXED(Line,0))</f>
        <v>0</v>
      </c>
      <c r="L2" s="51">
        <f ca="1">INDIRECT("SpecGlob!"&amp;bCol&amp;FIXED(Line,0))</f>
        <v>0</v>
      </c>
      <c r="M2" s="51">
        <f ca="1">INDIRECT("SpecGlob!"&amp;cCol&amp;FIXED(Line,0))</f>
        <v>0</v>
      </c>
      <c r="N2" s="36">
        <f>-SIN(bEuler*PI()/180)</f>
        <v>0</v>
      </c>
      <c r="O2" s="36">
        <f>SIN(aEuler*PI()/180)*COS(bEuler*PI()/180)</f>
        <v>0</v>
      </c>
      <c r="P2" s="36">
        <f>COS(aEuler*PI()/180)*COS(bEuler*PI()/180)</f>
        <v>1</v>
      </c>
      <c r="Q2" s="36">
        <f>(COS(bEuler*PI()/180)*SIN(-cEuler*PI()/180))</f>
        <v>0</v>
      </c>
      <c r="R2" s="36">
        <f>(SIN(aEuler*PI()/180)*SIN(bEuler*PI()/180)*SIN(-cEuler*PI()/180)+COS(aEuler*PI()/180)*COS(-cEuler*PI()/180))</f>
        <v>1</v>
      </c>
      <c r="S2" s="36">
        <f>(COS(aEuler*PI()/180)*SIN(bEuler*PI()/180)*SIN(-cEuler*PI()/180)-SIN(aEuler*PI()/180)*COS(-cEuler*PI()/180))</f>
        <v>0</v>
      </c>
      <c r="T2" s="36">
        <f>COS(bEuler*PI()/180)*COS(-cEuler*PI()/180)</f>
        <v>1</v>
      </c>
      <c r="U2" s="36">
        <f>(SIN(aEuler*PI()/180)*SIN(bEuler*PI()/180)*COS(-cEuler*PI()/180)-COS(aEuler*PI()/180)*SIN(-cEuler*PI()/180))</f>
        <v>0</v>
      </c>
      <c r="V2" s="36">
        <f>(COS(aEuler*PI()/180)*SIN(bEuler*PI()/180)*COS(-cEuler*PI()/180)+SIN(aEuler*PI()/180)*SIN(-cEuler*PI()/180))</f>
        <v>0</v>
      </c>
      <c r="W2" s="36">
        <f>xTang*xNorm+yTang*yNorm+zTang*zNorm</f>
        <v>0</v>
      </c>
      <c r="X2" s="37">
        <f>ACOS(W2)*180/PI()</f>
        <v>90</v>
      </c>
      <c r="Y2" s="36">
        <f>xSag*xNorm+ySag*yNorm+zSag*zNorm</f>
        <v>0</v>
      </c>
      <c r="Z2" s="37">
        <f>ACOS(Y2)*180/PI()</f>
        <v>90</v>
      </c>
      <c r="AA2" s="36">
        <f>xSag*xTang+ySag*yTang+zSag*zTang</f>
        <v>0</v>
      </c>
      <c r="AB2" s="37">
        <f aca="true" t="shared" si="0" ref="AB2:AB22">ACOS(AA2)*180/PI()</f>
        <v>90</v>
      </c>
    </row>
    <row r="3" spans="3:28" ht="12.75">
      <c r="C3" s="10" t="s">
        <v>122</v>
      </c>
      <c r="D3" s="11" t="s">
        <v>94</v>
      </c>
      <c r="E3" s="11"/>
      <c r="F3" s="12">
        <v>6</v>
      </c>
      <c r="G3" s="12">
        <f>SurfNum+Line0</f>
        <v>247</v>
      </c>
      <c r="H3" s="54">
        <f ca="1" t="shared" si="1" ref="H3:H22">INDIRECT("SpecGlob!"&amp;Xcol&amp;FIXED(Line,0))</f>
        <v>0</v>
      </c>
      <c r="I3" s="54">
        <f ca="1" t="shared" si="2" ref="I3:I22">INDIRECT("SpecGlob!"&amp;Ycol&amp;FIXED(Line,0))</f>
        <v>0</v>
      </c>
      <c r="J3" s="54">
        <f ca="1" t="shared" si="3" ref="J3:J22">INDIRECT("SpecGlob!"&amp;Zcol&amp;FIXED(Line,0))</f>
        <v>-1050.162</v>
      </c>
      <c r="K3" s="54">
        <f ca="1" t="shared" si="4" ref="K3:K22">INDIRECT("SpecGlob!"&amp;aCol&amp;FIXED(Line,0))</f>
        <v>0</v>
      </c>
      <c r="L3" s="54">
        <f ca="1" t="shared" si="5" ref="L3:L22">INDIRECT("SpecGlob!"&amp;bCol&amp;FIXED(Line,0))</f>
        <v>0</v>
      </c>
      <c r="M3" s="55">
        <f ca="1" t="shared" si="6" ref="M3:M22">INDIRECT("SpecGlob!"&amp;cCol&amp;FIXED(Line,0))</f>
        <v>0</v>
      </c>
      <c r="N3" s="36">
        <f aca="true" t="shared" si="7" ref="N3:N22">-SIN(bEuler*PI()/180)</f>
        <v>0</v>
      </c>
      <c r="O3" s="36">
        <f aca="true" t="shared" si="8" ref="O3:O22">SIN(aEuler*PI()/180)*COS(bEuler*PI()/180)</f>
        <v>0</v>
      </c>
      <c r="P3" s="36">
        <f aca="true" t="shared" si="9" ref="P3:P22">COS(aEuler*PI()/180)*COS(bEuler*PI()/180)</f>
        <v>1</v>
      </c>
      <c r="Q3" s="36">
        <f aca="true" t="shared" si="10" ref="Q3:Q22">(COS(bEuler*PI()/180)*SIN(-cEuler*PI()/180))</f>
        <v>0</v>
      </c>
      <c r="R3" s="36">
        <f aca="true" t="shared" si="11" ref="R3:R22">(SIN(aEuler*PI()/180)*SIN(bEuler*PI()/180)*SIN(-cEuler*PI()/180)+COS(aEuler*PI()/180)*COS(-cEuler*PI()/180))</f>
        <v>1</v>
      </c>
      <c r="S3" s="36">
        <f aca="true" t="shared" si="12" ref="S3:S22">(COS(aEuler*PI()/180)*SIN(bEuler*PI()/180)*SIN(-cEuler*PI()/180)-SIN(aEuler*PI()/180)*COS(-cEuler*PI()/180))</f>
        <v>0</v>
      </c>
      <c r="T3" s="36">
        <f aca="true" t="shared" si="13" ref="T3:T22">COS(bEuler*PI()/180)*COS(-cEuler*PI()/180)</f>
        <v>1</v>
      </c>
      <c r="U3" s="36">
        <f aca="true" t="shared" si="14" ref="U3:U22">(SIN(aEuler*PI()/180)*SIN(bEuler*PI()/180)*COS(-cEuler*PI()/180)-COS(aEuler*PI()/180)*SIN(-cEuler*PI()/180))</f>
        <v>0</v>
      </c>
      <c r="V3" s="36">
        <f aca="true" t="shared" si="15" ref="V3:V22">(COS(aEuler*PI()/180)*SIN(bEuler*PI()/180)*COS(-cEuler*PI()/180)+SIN(aEuler*PI()/180)*SIN(-cEuler*PI()/180))</f>
        <v>0</v>
      </c>
      <c r="W3" s="36">
        <f aca="true" t="shared" si="16" ref="W3:W22">xTang*xNorm+yTang*yNorm+zTang*zNorm</f>
        <v>0</v>
      </c>
      <c r="X3" s="37">
        <f aca="true" t="shared" si="17" ref="X3:X22">ACOS(W3)*180/PI()</f>
        <v>90</v>
      </c>
      <c r="Y3" s="36">
        <f aca="true" t="shared" si="18" ref="Y3:Y22">xSag*xNorm+ySag*yNorm+zSag*zNorm</f>
        <v>0</v>
      </c>
      <c r="Z3" s="37">
        <f aca="true" t="shared" si="19" ref="Z3:Z22">ACOS(Y3)*180/PI()</f>
        <v>90</v>
      </c>
      <c r="AA3" s="36">
        <f aca="true" t="shared" si="20" ref="AA3:AA22">xSag*xTang+ySag*yTang+zSag*zTang</f>
        <v>0</v>
      </c>
      <c r="AB3" s="37">
        <f t="shared" si="0"/>
        <v>90</v>
      </c>
    </row>
    <row r="4" spans="3:28" ht="13.5" thickBot="1">
      <c r="C4" s="15"/>
      <c r="D4" s="16" t="s">
        <v>95</v>
      </c>
      <c r="E4" s="16"/>
      <c r="F4" s="17">
        <v>7</v>
      </c>
      <c r="G4" s="17">
        <f aca="true" t="shared" si="21" ref="G4:G22">SurfNum+Line0</f>
        <v>248</v>
      </c>
      <c r="H4" s="57">
        <f ca="1" t="shared" si="1"/>
        <v>0</v>
      </c>
      <c r="I4" s="57">
        <f ca="1" t="shared" si="2"/>
        <v>0</v>
      </c>
      <c r="J4" s="57">
        <f ca="1" t="shared" si="3"/>
        <v>-2638.131</v>
      </c>
      <c r="K4" s="57">
        <f ca="1" t="shared" si="4"/>
        <v>0</v>
      </c>
      <c r="L4" s="57">
        <f ca="1" t="shared" si="5"/>
        <v>0</v>
      </c>
      <c r="M4" s="58">
        <f ca="1" t="shared" si="6"/>
        <v>0</v>
      </c>
      <c r="N4" s="36">
        <f t="shared" si="7"/>
        <v>0</v>
      </c>
      <c r="O4" s="36">
        <f t="shared" si="8"/>
        <v>0</v>
      </c>
      <c r="P4" s="36">
        <f t="shared" si="9"/>
        <v>1</v>
      </c>
      <c r="Q4" s="36">
        <f t="shared" si="10"/>
        <v>0</v>
      </c>
      <c r="R4" s="36">
        <f t="shared" si="11"/>
        <v>1</v>
      </c>
      <c r="S4" s="36">
        <f t="shared" si="12"/>
        <v>0</v>
      </c>
      <c r="T4" s="36">
        <f t="shared" si="13"/>
        <v>1</v>
      </c>
      <c r="U4" s="36">
        <f t="shared" si="14"/>
        <v>0</v>
      </c>
      <c r="V4" s="36">
        <f t="shared" si="15"/>
        <v>0</v>
      </c>
      <c r="W4" s="36">
        <f t="shared" si="16"/>
        <v>0</v>
      </c>
      <c r="X4" s="37">
        <f t="shared" si="17"/>
        <v>90</v>
      </c>
      <c r="Y4" s="36">
        <f t="shared" si="18"/>
        <v>0</v>
      </c>
      <c r="Z4" s="37">
        <f t="shared" si="19"/>
        <v>90</v>
      </c>
      <c r="AA4" s="36">
        <f t="shared" si="20"/>
        <v>0</v>
      </c>
      <c r="AB4" s="37">
        <f t="shared" si="0"/>
        <v>90</v>
      </c>
    </row>
    <row r="5" spans="3:28" ht="12.75">
      <c r="C5" s="10" t="s">
        <v>123</v>
      </c>
      <c r="D5" s="11" t="s">
        <v>96</v>
      </c>
      <c r="E5" s="11" t="s">
        <v>163</v>
      </c>
      <c r="F5" s="12">
        <v>9</v>
      </c>
      <c r="G5" s="12">
        <f t="shared" si="21"/>
        <v>250</v>
      </c>
      <c r="H5" s="54">
        <f ca="1" t="shared" si="1"/>
        <v>0</v>
      </c>
      <c r="I5" s="54">
        <f ca="1" t="shared" si="2"/>
        <v>0</v>
      </c>
      <c r="J5" s="54">
        <f ca="1" t="shared" si="3"/>
        <v>0</v>
      </c>
      <c r="K5" s="54">
        <f ca="1" t="shared" si="4"/>
        <v>0</v>
      </c>
      <c r="L5" s="54">
        <f ca="1" t="shared" si="5"/>
        <v>0</v>
      </c>
      <c r="M5" s="55">
        <f ca="1" t="shared" si="6"/>
        <v>0</v>
      </c>
      <c r="N5" s="36">
        <f t="shared" si="7"/>
        <v>0</v>
      </c>
      <c r="O5" s="36">
        <f t="shared" si="8"/>
        <v>0</v>
      </c>
      <c r="P5" s="36">
        <f t="shared" si="9"/>
        <v>1</v>
      </c>
      <c r="Q5" s="36">
        <f t="shared" si="10"/>
        <v>0</v>
      </c>
      <c r="R5" s="36">
        <f t="shared" si="11"/>
        <v>1</v>
      </c>
      <c r="S5" s="36">
        <f t="shared" si="12"/>
        <v>0</v>
      </c>
      <c r="T5" s="36">
        <f t="shared" si="13"/>
        <v>1</v>
      </c>
      <c r="U5" s="36">
        <f t="shared" si="14"/>
        <v>0</v>
      </c>
      <c r="V5" s="36">
        <f t="shared" si="15"/>
        <v>0</v>
      </c>
      <c r="W5" s="36">
        <f t="shared" si="16"/>
        <v>0</v>
      </c>
      <c r="X5" s="37">
        <f t="shared" si="17"/>
        <v>90</v>
      </c>
      <c r="Y5" s="36">
        <f t="shared" si="18"/>
        <v>0</v>
      </c>
      <c r="Z5" s="37">
        <f t="shared" si="19"/>
        <v>90</v>
      </c>
      <c r="AA5" s="36">
        <f t="shared" si="20"/>
        <v>0</v>
      </c>
      <c r="AB5" s="37">
        <f t="shared" si="0"/>
        <v>90</v>
      </c>
    </row>
    <row r="6" spans="3:28" ht="12.75">
      <c r="C6" s="20"/>
      <c r="D6" s="21" t="s">
        <v>97</v>
      </c>
      <c r="E6" s="21"/>
      <c r="F6" s="22">
        <v>11</v>
      </c>
      <c r="G6" s="22">
        <f t="shared" si="21"/>
        <v>252</v>
      </c>
      <c r="H6" s="51">
        <f ca="1" t="shared" si="1"/>
        <v>0</v>
      </c>
      <c r="I6" s="51">
        <f ca="1" t="shared" si="2"/>
        <v>-243.065859</v>
      </c>
      <c r="J6" s="51">
        <f ca="1" t="shared" si="3"/>
        <v>78.379337</v>
      </c>
      <c r="K6" s="51">
        <f ca="1" t="shared" si="4"/>
        <v>-8.6832</v>
      </c>
      <c r="L6" s="51">
        <f ca="1" t="shared" si="5"/>
        <v>0</v>
      </c>
      <c r="M6" s="52">
        <f ca="1" t="shared" si="6"/>
        <v>0</v>
      </c>
      <c r="N6" s="36">
        <f t="shared" si="7"/>
        <v>0</v>
      </c>
      <c r="O6" s="36">
        <f t="shared" si="8"/>
        <v>-0.15097097220329236</v>
      </c>
      <c r="P6" s="36">
        <f t="shared" si="9"/>
        <v>0.9885381963040137</v>
      </c>
      <c r="Q6" s="36">
        <f t="shared" si="10"/>
        <v>0</v>
      </c>
      <c r="R6" s="36">
        <f t="shared" si="11"/>
        <v>0.9885381963040137</v>
      </c>
      <c r="S6" s="36">
        <f t="shared" si="12"/>
        <v>0.15097097220329236</v>
      </c>
      <c r="T6" s="36">
        <f t="shared" si="13"/>
        <v>1</v>
      </c>
      <c r="U6" s="36">
        <f t="shared" si="14"/>
        <v>0</v>
      </c>
      <c r="V6" s="36">
        <f t="shared" si="15"/>
        <v>0</v>
      </c>
      <c r="W6" s="36">
        <f t="shared" si="16"/>
        <v>0</v>
      </c>
      <c r="X6" s="37">
        <f t="shared" si="17"/>
        <v>90</v>
      </c>
      <c r="Y6" s="36">
        <f t="shared" si="18"/>
        <v>0</v>
      </c>
      <c r="Z6" s="37">
        <f t="shared" si="19"/>
        <v>90</v>
      </c>
      <c r="AA6" s="36">
        <f t="shared" si="20"/>
        <v>0</v>
      </c>
      <c r="AB6" s="37">
        <f t="shared" si="0"/>
        <v>90</v>
      </c>
    </row>
    <row r="7" spans="1:28" ht="12.75">
      <c r="A7" s="34" t="s">
        <v>98</v>
      </c>
      <c r="B7" s="34">
        <v>241</v>
      </c>
      <c r="C7" s="20"/>
      <c r="D7" s="21" t="s">
        <v>99</v>
      </c>
      <c r="E7" s="21"/>
      <c r="F7" s="22">
        <v>14</v>
      </c>
      <c r="G7" s="22">
        <f t="shared" si="21"/>
        <v>255</v>
      </c>
      <c r="H7" s="51">
        <f ca="1" t="shared" si="1"/>
        <v>0</v>
      </c>
      <c r="I7" s="51">
        <f ca="1" t="shared" si="2"/>
        <v>-200.09302</v>
      </c>
      <c r="J7" s="51">
        <f ca="1" t="shared" si="3"/>
        <v>-114.125371</v>
      </c>
      <c r="K7" s="51">
        <f ca="1" t="shared" si="4"/>
        <v>17.9434</v>
      </c>
      <c r="L7" s="51">
        <f ca="1" t="shared" si="5"/>
        <v>0</v>
      </c>
      <c r="M7" s="52">
        <f ca="1" t="shared" si="6"/>
        <v>0</v>
      </c>
      <c r="N7" s="36">
        <f t="shared" si="7"/>
        <v>0</v>
      </c>
      <c r="O7" s="36">
        <f t="shared" si="8"/>
        <v>0.3080773365239388</v>
      </c>
      <c r="P7" s="36">
        <f t="shared" si="9"/>
        <v>0.9513613165986495</v>
      </c>
      <c r="Q7" s="36">
        <f t="shared" si="10"/>
        <v>0</v>
      </c>
      <c r="R7" s="36">
        <f t="shared" si="11"/>
        <v>0.9513613165986495</v>
      </c>
      <c r="S7" s="36">
        <f t="shared" si="12"/>
        <v>-0.3080773365239388</v>
      </c>
      <c r="T7" s="36">
        <f t="shared" si="13"/>
        <v>1</v>
      </c>
      <c r="U7" s="36">
        <f t="shared" si="14"/>
        <v>0</v>
      </c>
      <c r="V7" s="36">
        <f t="shared" si="15"/>
        <v>0</v>
      </c>
      <c r="W7" s="36">
        <f t="shared" si="16"/>
        <v>0</v>
      </c>
      <c r="X7" s="37">
        <f t="shared" si="17"/>
        <v>90</v>
      </c>
      <c r="Y7" s="36">
        <f t="shared" si="18"/>
        <v>0</v>
      </c>
      <c r="Z7" s="37">
        <f t="shared" si="19"/>
        <v>90</v>
      </c>
      <c r="AA7" s="36">
        <f t="shared" si="20"/>
        <v>0</v>
      </c>
      <c r="AB7" s="37">
        <f t="shared" si="0"/>
        <v>90</v>
      </c>
    </row>
    <row r="8" spans="1:28" ht="13.5" thickBot="1">
      <c r="A8" s="34"/>
      <c r="B8" s="34"/>
      <c r="C8" s="15"/>
      <c r="D8" s="16" t="s">
        <v>100</v>
      </c>
      <c r="E8" s="16"/>
      <c r="F8" s="17">
        <v>17</v>
      </c>
      <c r="G8" s="17">
        <f t="shared" si="21"/>
        <v>258</v>
      </c>
      <c r="H8" s="57">
        <f ca="1" t="shared" si="1"/>
        <v>0</v>
      </c>
      <c r="I8" s="57">
        <f ca="1" t="shared" si="2"/>
        <v>-179.687314</v>
      </c>
      <c r="J8" s="57">
        <f ca="1" t="shared" si="3"/>
        <v>82.217104</v>
      </c>
      <c r="K8" s="57">
        <f ca="1" t="shared" si="4"/>
        <v>15.1454</v>
      </c>
      <c r="L8" s="57">
        <f ca="1" t="shared" si="5"/>
        <v>0</v>
      </c>
      <c r="M8" s="58">
        <f ca="1" t="shared" si="6"/>
        <v>0</v>
      </c>
      <c r="N8" s="36">
        <f t="shared" si="7"/>
        <v>0</v>
      </c>
      <c r="O8" s="36">
        <f t="shared" si="8"/>
        <v>0.26126944748333636</v>
      </c>
      <c r="P8" s="36">
        <f t="shared" si="9"/>
        <v>0.9652659093802869</v>
      </c>
      <c r="Q8" s="36">
        <f t="shared" si="10"/>
        <v>0</v>
      </c>
      <c r="R8" s="36">
        <f t="shared" si="11"/>
        <v>0.9652659093802869</v>
      </c>
      <c r="S8" s="36">
        <f t="shared" si="12"/>
        <v>-0.26126944748333636</v>
      </c>
      <c r="T8" s="36">
        <f t="shared" si="13"/>
        <v>1</v>
      </c>
      <c r="U8" s="36">
        <f t="shared" si="14"/>
        <v>0</v>
      </c>
      <c r="V8" s="36">
        <f t="shared" si="15"/>
        <v>0</v>
      </c>
      <c r="W8" s="36">
        <f t="shared" si="16"/>
        <v>0</v>
      </c>
      <c r="X8" s="37">
        <f t="shared" si="17"/>
        <v>90</v>
      </c>
      <c r="Y8" s="36">
        <f t="shared" si="18"/>
        <v>0</v>
      </c>
      <c r="Z8" s="37">
        <f t="shared" si="19"/>
        <v>90</v>
      </c>
      <c r="AA8" s="36">
        <f t="shared" si="20"/>
        <v>0</v>
      </c>
      <c r="AB8" s="37">
        <f t="shared" si="0"/>
        <v>90</v>
      </c>
    </row>
    <row r="9" spans="1:28" ht="12.75">
      <c r="A9" s="34" t="s">
        <v>101</v>
      </c>
      <c r="B9" s="34" t="s">
        <v>102</v>
      </c>
      <c r="C9" s="10" t="s">
        <v>124</v>
      </c>
      <c r="D9" s="11" t="s">
        <v>103</v>
      </c>
      <c r="E9" s="11"/>
      <c r="F9" s="12">
        <v>20</v>
      </c>
      <c r="G9" s="12">
        <f t="shared" si="21"/>
        <v>261</v>
      </c>
      <c r="H9" s="54">
        <f ca="1" t="shared" si="1"/>
        <v>0</v>
      </c>
      <c r="I9" s="54">
        <f ca="1" t="shared" si="2"/>
        <v>-259.533222</v>
      </c>
      <c r="J9" s="54">
        <f ca="1" t="shared" si="3"/>
        <v>-94.150668</v>
      </c>
      <c r="K9" s="54">
        <f ca="1" t="shared" si="4"/>
        <v>9.3574</v>
      </c>
      <c r="L9" s="54">
        <f ca="1" t="shared" si="5"/>
        <v>0</v>
      </c>
      <c r="M9" s="55">
        <f ca="1" t="shared" si="6"/>
        <v>0</v>
      </c>
      <c r="N9" s="36">
        <f t="shared" si="7"/>
        <v>0</v>
      </c>
      <c r="O9" s="36">
        <f t="shared" si="8"/>
        <v>0.16259239063958172</v>
      </c>
      <c r="P9" s="36">
        <f t="shared" si="9"/>
        <v>0.9866933234324157</v>
      </c>
      <c r="Q9" s="36">
        <f t="shared" si="10"/>
        <v>0</v>
      </c>
      <c r="R9" s="36">
        <f t="shared" si="11"/>
        <v>0.9866933234324157</v>
      </c>
      <c r="S9" s="36">
        <f t="shared" si="12"/>
        <v>-0.16259239063958172</v>
      </c>
      <c r="T9" s="36">
        <f t="shared" si="13"/>
        <v>1</v>
      </c>
      <c r="U9" s="36">
        <f t="shared" si="14"/>
        <v>0</v>
      </c>
      <c r="V9" s="36">
        <f t="shared" si="15"/>
        <v>0</v>
      </c>
      <c r="W9" s="36">
        <f t="shared" si="16"/>
        <v>0</v>
      </c>
      <c r="X9" s="37">
        <f t="shared" si="17"/>
        <v>90</v>
      </c>
      <c r="Y9" s="36">
        <f t="shared" si="18"/>
        <v>0</v>
      </c>
      <c r="Z9" s="37">
        <f t="shared" si="19"/>
        <v>90</v>
      </c>
      <c r="AA9" s="36">
        <f t="shared" si="20"/>
        <v>0</v>
      </c>
      <c r="AB9" s="37">
        <f t="shared" si="0"/>
        <v>90</v>
      </c>
    </row>
    <row r="10" spans="1:28" ht="12.75">
      <c r="A10" s="34" t="s">
        <v>104</v>
      </c>
      <c r="B10" s="34" t="s">
        <v>105</v>
      </c>
      <c r="C10" s="20"/>
      <c r="D10" s="21" t="s">
        <v>106</v>
      </c>
      <c r="E10" s="21"/>
      <c r="F10" s="22">
        <v>22</v>
      </c>
      <c r="G10" s="22">
        <f t="shared" si="21"/>
        <v>263</v>
      </c>
      <c r="H10" s="51">
        <f ca="1" t="shared" si="1"/>
        <v>0</v>
      </c>
      <c r="I10" s="51">
        <f ca="1" t="shared" si="2"/>
        <v>-279.482925</v>
      </c>
      <c r="J10" s="51">
        <f ca="1" t="shared" si="3"/>
        <v>107.766194</v>
      </c>
      <c r="K10" s="51">
        <f ca="1" t="shared" si="4"/>
        <v>16.6474</v>
      </c>
      <c r="L10" s="51">
        <f ca="1" t="shared" si="5"/>
        <v>0</v>
      </c>
      <c r="M10" s="52">
        <f ca="1" t="shared" si="6"/>
        <v>0</v>
      </c>
      <c r="N10" s="36">
        <f t="shared" si="7"/>
        <v>0</v>
      </c>
      <c r="O10" s="36">
        <f t="shared" si="8"/>
        <v>0.2864810764637242</v>
      </c>
      <c r="P10" s="36">
        <f t="shared" si="9"/>
        <v>0.9580859005476418</v>
      </c>
      <c r="Q10" s="36">
        <f t="shared" si="10"/>
        <v>0</v>
      </c>
      <c r="R10" s="36">
        <f t="shared" si="11"/>
        <v>0.9580859005476418</v>
      </c>
      <c r="S10" s="36">
        <f t="shared" si="12"/>
        <v>-0.2864810764637242</v>
      </c>
      <c r="T10" s="36">
        <f t="shared" si="13"/>
        <v>1</v>
      </c>
      <c r="U10" s="36">
        <f t="shared" si="14"/>
        <v>0</v>
      </c>
      <c r="V10" s="36">
        <f t="shared" si="15"/>
        <v>0</v>
      </c>
      <c r="W10" s="36">
        <f t="shared" si="16"/>
        <v>0</v>
      </c>
      <c r="X10" s="37">
        <f t="shared" si="17"/>
        <v>90</v>
      </c>
      <c r="Y10" s="36">
        <f t="shared" si="18"/>
        <v>0</v>
      </c>
      <c r="Z10" s="37">
        <f t="shared" si="19"/>
        <v>90</v>
      </c>
      <c r="AA10" s="36">
        <f t="shared" si="20"/>
        <v>0</v>
      </c>
      <c r="AB10" s="37">
        <f t="shared" si="0"/>
        <v>90</v>
      </c>
    </row>
    <row r="11" spans="1:28" ht="12.75">
      <c r="A11" s="34" t="s">
        <v>107</v>
      </c>
      <c r="B11" s="34" t="s">
        <v>108</v>
      </c>
      <c r="C11" s="20"/>
      <c r="D11" s="21" t="s">
        <v>109</v>
      </c>
      <c r="E11" s="21"/>
      <c r="F11" s="22">
        <v>24</v>
      </c>
      <c r="G11" s="22">
        <f t="shared" si="21"/>
        <v>265</v>
      </c>
      <c r="H11" s="51">
        <f ca="1" t="shared" si="1"/>
        <v>0</v>
      </c>
      <c r="I11" s="51">
        <f ca="1" t="shared" si="2"/>
        <v>-397.635459</v>
      </c>
      <c r="J11" s="51">
        <f ca="1" t="shared" si="3"/>
        <v>-38.466424</v>
      </c>
      <c r="K11" s="51">
        <f ca="1" t="shared" si="4"/>
        <v>-4.1106</v>
      </c>
      <c r="L11" s="51">
        <f ca="1" t="shared" si="5"/>
        <v>0</v>
      </c>
      <c r="M11" s="52">
        <f ca="1" t="shared" si="6"/>
        <v>0</v>
      </c>
      <c r="N11" s="36">
        <f t="shared" si="7"/>
        <v>0</v>
      </c>
      <c r="O11" s="36">
        <f t="shared" si="8"/>
        <v>-0.07168197454108007</v>
      </c>
      <c r="P11" s="36">
        <f t="shared" si="9"/>
        <v>0.9974275384838198</v>
      </c>
      <c r="Q11" s="36">
        <f t="shared" si="10"/>
        <v>0</v>
      </c>
      <c r="R11" s="36">
        <f t="shared" si="11"/>
        <v>0.9974275384838198</v>
      </c>
      <c r="S11" s="36">
        <f t="shared" si="12"/>
        <v>0.07168197454108007</v>
      </c>
      <c r="T11" s="36">
        <f t="shared" si="13"/>
        <v>1</v>
      </c>
      <c r="U11" s="36">
        <f t="shared" si="14"/>
        <v>0</v>
      </c>
      <c r="V11" s="36">
        <f t="shared" si="15"/>
        <v>0</v>
      </c>
      <c r="W11" s="36">
        <f t="shared" si="16"/>
        <v>0</v>
      </c>
      <c r="X11" s="37">
        <f t="shared" si="17"/>
        <v>90</v>
      </c>
      <c r="Y11" s="36">
        <f t="shared" si="18"/>
        <v>0</v>
      </c>
      <c r="Z11" s="37">
        <f t="shared" si="19"/>
        <v>90</v>
      </c>
      <c r="AA11" s="36">
        <f t="shared" si="20"/>
        <v>0</v>
      </c>
      <c r="AB11" s="37">
        <f t="shared" si="0"/>
        <v>90</v>
      </c>
    </row>
    <row r="12" spans="1:28" ht="12.75">
      <c r="A12" s="34" t="s">
        <v>375</v>
      </c>
      <c r="B12" s="34" t="s">
        <v>378</v>
      </c>
      <c r="C12" s="20"/>
      <c r="D12" s="21" t="s">
        <v>110</v>
      </c>
      <c r="E12" s="21" t="s">
        <v>163</v>
      </c>
      <c r="F12" s="22">
        <v>26</v>
      </c>
      <c r="G12" s="22">
        <f t="shared" si="21"/>
        <v>267</v>
      </c>
      <c r="H12" s="51">
        <f ca="1" t="shared" si="1"/>
        <v>0</v>
      </c>
      <c r="I12" s="51">
        <f ca="1" t="shared" si="2"/>
        <v>-448.96217</v>
      </c>
      <c r="J12" s="51">
        <f ca="1" t="shared" si="3"/>
        <v>9.131566</v>
      </c>
      <c r="K12" s="51">
        <f ca="1" t="shared" si="4"/>
        <v>-47.1586</v>
      </c>
      <c r="L12" s="51">
        <f ca="1" t="shared" si="5"/>
        <v>0</v>
      </c>
      <c r="M12" s="52">
        <f ca="1" t="shared" si="6"/>
        <v>0</v>
      </c>
      <c r="N12" s="36">
        <f t="shared" si="7"/>
        <v>0</v>
      </c>
      <c r="O12" s="36">
        <f t="shared" si="8"/>
        <v>-0.7332387316083603</v>
      </c>
      <c r="P12" s="36">
        <f t="shared" si="9"/>
        <v>0.6799712953275036</v>
      </c>
      <c r="Q12" s="36">
        <f t="shared" si="10"/>
        <v>0</v>
      </c>
      <c r="R12" s="36">
        <f t="shared" si="11"/>
        <v>0.6799712953275036</v>
      </c>
      <c r="S12" s="36">
        <f t="shared" si="12"/>
        <v>0.7332387316083603</v>
      </c>
      <c r="T12" s="36">
        <f t="shared" si="13"/>
        <v>1</v>
      </c>
      <c r="U12" s="36">
        <f t="shared" si="14"/>
        <v>0</v>
      </c>
      <c r="V12" s="36">
        <f t="shared" si="15"/>
        <v>0</v>
      </c>
      <c r="W12" s="36">
        <f t="shared" si="16"/>
        <v>0</v>
      </c>
      <c r="X12" s="37">
        <f t="shared" si="17"/>
        <v>90</v>
      </c>
      <c r="Y12" s="36">
        <f t="shared" si="18"/>
        <v>0</v>
      </c>
      <c r="Z12" s="37">
        <f t="shared" si="19"/>
        <v>90</v>
      </c>
      <c r="AA12" s="36">
        <f t="shared" si="20"/>
        <v>0</v>
      </c>
      <c r="AB12" s="37">
        <f t="shared" si="0"/>
        <v>90</v>
      </c>
    </row>
    <row r="13" spans="1:28" ht="13.5" thickBot="1">
      <c r="A13" s="34" t="s">
        <v>376</v>
      </c>
      <c r="B13" s="34" t="s">
        <v>379</v>
      </c>
      <c r="C13" s="15"/>
      <c r="D13" s="16" t="s">
        <v>111</v>
      </c>
      <c r="E13" s="16"/>
      <c r="F13" s="17">
        <v>27</v>
      </c>
      <c r="G13" s="17">
        <f t="shared" si="21"/>
        <v>268</v>
      </c>
      <c r="H13" s="57">
        <f ca="1" t="shared" si="1"/>
        <v>0</v>
      </c>
      <c r="I13" s="57">
        <f ca="1" t="shared" si="2"/>
        <v>-544.283205</v>
      </c>
      <c r="J13" s="57">
        <f ca="1" t="shared" si="3"/>
        <v>97.527835</v>
      </c>
      <c r="K13" s="57">
        <f ca="1" t="shared" si="4"/>
        <v>-27.1586</v>
      </c>
      <c r="L13" s="57">
        <f ca="1" t="shared" si="5"/>
        <v>0</v>
      </c>
      <c r="M13" s="58">
        <f ca="1" t="shared" si="6"/>
        <v>0</v>
      </c>
      <c r="N13" s="36">
        <f t="shared" si="7"/>
        <v>0</v>
      </c>
      <c r="O13" s="36">
        <f t="shared" si="8"/>
        <v>-0.4564551454815419</v>
      </c>
      <c r="P13" s="36">
        <f t="shared" si="9"/>
        <v>0.8897464246421136</v>
      </c>
      <c r="Q13" s="36">
        <f t="shared" si="10"/>
        <v>0</v>
      </c>
      <c r="R13" s="36">
        <f t="shared" si="11"/>
        <v>0.8897464246421136</v>
      </c>
      <c r="S13" s="36">
        <f t="shared" si="12"/>
        <v>0.4564551454815419</v>
      </c>
      <c r="T13" s="36">
        <f t="shared" si="13"/>
        <v>1</v>
      </c>
      <c r="U13" s="36">
        <f t="shared" si="14"/>
        <v>0</v>
      </c>
      <c r="V13" s="36">
        <f t="shared" si="15"/>
        <v>0</v>
      </c>
      <c r="W13" s="36">
        <f t="shared" si="16"/>
        <v>0</v>
      </c>
      <c r="X13" s="37">
        <f t="shared" si="17"/>
        <v>90</v>
      </c>
      <c r="Y13" s="36">
        <f t="shared" si="18"/>
        <v>0</v>
      </c>
      <c r="Z13" s="37">
        <f t="shared" si="19"/>
        <v>90</v>
      </c>
      <c r="AA13" s="36">
        <f t="shared" si="20"/>
        <v>0</v>
      </c>
      <c r="AB13" s="37">
        <f t="shared" si="0"/>
        <v>90</v>
      </c>
    </row>
    <row r="14" spans="1:28" ht="12.75">
      <c r="A14" s="34" t="s">
        <v>377</v>
      </c>
      <c r="B14" s="34" t="s">
        <v>380</v>
      </c>
      <c r="C14" s="10" t="s">
        <v>125</v>
      </c>
      <c r="D14" s="11" t="s">
        <v>113</v>
      </c>
      <c r="E14" s="11"/>
      <c r="F14" s="12">
        <v>31</v>
      </c>
      <c r="G14" s="12">
        <f t="shared" si="21"/>
        <v>272</v>
      </c>
      <c r="H14" s="54">
        <f ca="1" t="shared" si="1"/>
        <v>0</v>
      </c>
      <c r="I14" s="54">
        <f ca="1" t="shared" si="2"/>
        <v>-527.460001</v>
      </c>
      <c r="J14" s="54">
        <f ca="1" t="shared" si="3"/>
        <v>-36.419841</v>
      </c>
      <c r="K14" s="54">
        <f ca="1" t="shared" si="4"/>
        <v>-25.1586</v>
      </c>
      <c r="L14" s="54">
        <f ca="1" t="shared" si="5"/>
        <v>0</v>
      </c>
      <c r="M14" s="55">
        <f ca="1" t="shared" si="6"/>
        <v>0</v>
      </c>
      <c r="N14" s="36">
        <f t="shared" si="7"/>
        <v>0</v>
      </c>
      <c r="O14" s="36">
        <f t="shared" si="8"/>
        <v>-0.4251253829270604</v>
      </c>
      <c r="P14" s="36">
        <f t="shared" si="9"/>
        <v>0.9051344700049381</v>
      </c>
      <c r="Q14" s="36">
        <f t="shared" si="10"/>
        <v>0</v>
      </c>
      <c r="R14" s="36">
        <f t="shared" si="11"/>
        <v>0.9051344700049381</v>
      </c>
      <c r="S14" s="36">
        <f t="shared" si="12"/>
        <v>0.4251253829270604</v>
      </c>
      <c r="T14" s="36">
        <f t="shared" si="13"/>
        <v>1</v>
      </c>
      <c r="U14" s="36">
        <f t="shared" si="14"/>
        <v>0</v>
      </c>
      <c r="V14" s="36">
        <f t="shared" si="15"/>
        <v>0</v>
      </c>
      <c r="W14" s="36">
        <f t="shared" si="16"/>
        <v>0</v>
      </c>
      <c r="X14" s="37">
        <f t="shared" si="17"/>
        <v>90</v>
      </c>
      <c r="Y14" s="36">
        <f t="shared" si="18"/>
        <v>0</v>
      </c>
      <c r="Z14" s="37">
        <f t="shared" si="19"/>
        <v>90</v>
      </c>
      <c r="AA14" s="36">
        <f t="shared" si="20"/>
        <v>0</v>
      </c>
      <c r="AB14" s="37">
        <f t="shared" si="0"/>
        <v>90</v>
      </c>
    </row>
    <row r="15" spans="3:28" ht="12.75">
      <c r="C15" s="20"/>
      <c r="D15" s="21" t="s">
        <v>115</v>
      </c>
      <c r="E15" s="21"/>
      <c r="F15" s="22">
        <v>36</v>
      </c>
      <c r="G15" s="22">
        <f t="shared" si="21"/>
        <v>277</v>
      </c>
      <c r="H15" s="51">
        <f ca="1" t="shared" si="1"/>
        <v>1.82E-14</v>
      </c>
      <c r="I15" s="51">
        <f ca="1" t="shared" si="2"/>
        <v>-619.802728</v>
      </c>
      <c r="J15" s="51">
        <f ca="1" t="shared" si="3"/>
        <v>62.057673</v>
      </c>
      <c r="K15" s="51">
        <f ca="1" t="shared" si="4"/>
        <v>-43.1586</v>
      </c>
      <c r="L15" s="51">
        <f ca="1" t="shared" si="5"/>
        <v>-45</v>
      </c>
      <c r="M15" s="52">
        <f ca="1" t="shared" si="6"/>
        <v>0</v>
      </c>
      <c r="N15" s="36">
        <f t="shared" si="7"/>
        <v>0.7071067811865475</v>
      </c>
      <c r="O15" s="36">
        <f t="shared" si="8"/>
        <v>-0.4836753212531301</v>
      </c>
      <c r="P15" s="36">
        <f t="shared" si="9"/>
        <v>0.5158082818360727</v>
      </c>
      <c r="Q15" s="36">
        <f t="shared" si="10"/>
        <v>0</v>
      </c>
      <c r="R15" s="36">
        <f t="shared" si="11"/>
        <v>0.7294630677569378</v>
      </c>
      <c r="S15" s="36">
        <f t="shared" si="12"/>
        <v>0.6840201991013403</v>
      </c>
      <c r="T15" s="36">
        <f t="shared" si="13"/>
        <v>0.7071067811865476</v>
      </c>
      <c r="U15" s="36">
        <f t="shared" si="14"/>
        <v>0.48367532125313006</v>
      </c>
      <c r="V15" s="36">
        <f t="shared" si="15"/>
        <v>-0.5158082818360726</v>
      </c>
      <c r="W15" s="36">
        <f t="shared" si="16"/>
        <v>0</v>
      </c>
      <c r="X15" s="37">
        <f t="shared" si="17"/>
        <v>90</v>
      </c>
      <c r="Y15" s="36">
        <f t="shared" si="18"/>
        <v>0</v>
      </c>
      <c r="Z15" s="37">
        <f t="shared" si="19"/>
        <v>90</v>
      </c>
      <c r="AA15" s="36">
        <f t="shared" si="20"/>
        <v>0</v>
      </c>
      <c r="AB15" s="37">
        <f t="shared" si="0"/>
        <v>90</v>
      </c>
    </row>
    <row r="16" spans="3:28" ht="13.5" thickBot="1">
      <c r="C16" s="15"/>
      <c r="D16" s="16" t="s">
        <v>117</v>
      </c>
      <c r="E16" s="16" t="s">
        <v>164</v>
      </c>
      <c r="F16" s="17">
        <v>38</v>
      </c>
      <c r="G16" s="17">
        <f t="shared" si="21"/>
        <v>279</v>
      </c>
      <c r="H16" s="57">
        <f ca="1" t="shared" si="1"/>
        <v>-50</v>
      </c>
      <c r="I16" s="57">
        <f ca="1" t="shared" si="2"/>
        <v>-619.802728</v>
      </c>
      <c r="J16" s="57">
        <f ca="1" t="shared" si="3"/>
        <v>62.057673</v>
      </c>
      <c r="K16" s="57">
        <f ca="1" t="shared" si="4"/>
        <v>0</v>
      </c>
      <c r="L16" s="57">
        <f ca="1" t="shared" si="5"/>
        <v>-90</v>
      </c>
      <c r="M16" s="58">
        <f ca="1" t="shared" si="6"/>
        <v>0</v>
      </c>
      <c r="N16" s="36">
        <f t="shared" si="7"/>
        <v>1</v>
      </c>
      <c r="O16" s="36">
        <f t="shared" si="8"/>
        <v>0</v>
      </c>
      <c r="P16" s="36">
        <f t="shared" si="9"/>
        <v>6.1257422745431E-17</v>
      </c>
      <c r="Q16" s="36">
        <f t="shared" si="10"/>
        <v>0</v>
      </c>
      <c r="R16" s="36">
        <f t="shared" si="11"/>
        <v>1</v>
      </c>
      <c r="S16" s="36">
        <f t="shared" si="12"/>
        <v>0</v>
      </c>
      <c r="T16" s="36">
        <f t="shared" si="13"/>
        <v>6.1257422745431E-17</v>
      </c>
      <c r="U16" s="36">
        <f t="shared" si="14"/>
        <v>0</v>
      </c>
      <c r="V16" s="36">
        <f t="shared" si="15"/>
        <v>-1</v>
      </c>
      <c r="W16" s="36">
        <f t="shared" si="16"/>
        <v>0</v>
      </c>
      <c r="X16" s="37">
        <f t="shared" si="17"/>
        <v>90</v>
      </c>
      <c r="Y16" s="36">
        <f t="shared" si="18"/>
        <v>0</v>
      </c>
      <c r="Z16" s="37">
        <f t="shared" si="19"/>
        <v>90</v>
      </c>
      <c r="AA16" s="36">
        <f t="shared" si="20"/>
        <v>0</v>
      </c>
      <c r="AB16" s="37">
        <f t="shared" si="0"/>
        <v>90</v>
      </c>
    </row>
    <row r="17" spans="4:28" ht="13.5" thickBot="1">
      <c r="D17" s="21" t="s">
        <v>113</v>
      </c>
      <c r="E17" s="1" t="s">
        <v>128</v>
      </c>
      <c r="F17" s="22">
        <v>31</v>
      </c>
      <c r="G17" s="22">
        <f t="shared" si="21"/>
        <v>272</v>
      </c>
      <c r="H17" s="51">
        <f ca="1" t="shared" si="1"/>
        <v>0</v>
      </c>
      <c r="I17" s="51">
        <f ca="1" t="shared" si="2"/>
        <v>-527.460001</v>
      </c>
      <c r="J17" s="51">
        <f ca="1" t="shared" si="3"/>
        <v>-36.419841</v>
      </c>
      <c r="K17" s="51">
        <f ca="1" t="shared" si="4"/>
        <v>-25.1586</v>
      </c>
      <c r="L17" s="51">
        <f ca="1" t="shared" si="5"/>
        <v>0</v>
      </c>
      <c r="M17" s="51">
        <f ca="1" t="shared" si="6"/>
        <v>0</v>
      </c>
      <c r="N17" s="36">
        <f t="shared" si="7"/>
        <v>0</v>
      </c>
      <c r="O17" s="36">
        <f t="shared" si="8"/>
        <v>-0.4251253829270604</v>
      </c>
      <c r="P17" s="36">
        <f t="shared" si="9"/>
        <v>0.9051344700049381</v>
      </c>
      <c r="Q17" s="36">
        <f t="shared" si="10"/>
        <v>0</v>
      </c>
      <c r="R17" s="36">
        <f t="shared" si="11"/>
        <v>0.9051344700049381</v>
      </c>
      <c r="S17" s="36">
        <f t="shared" si="12"/>
        <v>0.4251253829270604</v>
      </c>
      <c r="T17" s="36">
        <f t="shared" si="13"/>
        <v>1</v>
      </c>
      <c r="U17" s="36">
        <f t="shared" si="14"/>
        <v>0</v>
      </c>
      <c r="V17" s="36">
        <f t="shared" si="15"/>
        <v>0</v>
      </c>
      <c r="W17" s="36">
        <f t="shared" si="16"/>
        <v>0</v>
      </c>
      <c r="X17" s="37">
        <f t="shared" si="17"/>
        <v>90</v>
      </c>
      <c r="Y17" s="36">
        <f t="shared" si="18"/>
        <v>0</v>
      </c>
      <c r="Z17" s="37">
        <f t="shared" si="19"/>
        <v>90</v>
      </c>
      <c r="AA17" s="36">
        <f t="shared" si="20"/>
        <v>0</v>
      </c>
      <c r="AB17" s="37">
        <f t="shared" si="0"/>
        <v>90</v>
      </c>
    </row>
    <row r="18" spans="3:28" ht="12.75">
      <c r="C18" s="10" t="s">
        <v>126</v>
      </c>
      <c r="D18" s="11" t="s">
        <v>118</v>
      </c>
      <c r="E18" s="11"/>
      <c r="F18" s="12">
        <v>46</v>
      </c>
      <c r="G18" s="12">
        <f t="shared" si="21"/>
        <v>287</v>
      </c>
      <c r="H18" s="54">
        <f ca="1" t="shared" si="1"/>
        <v>7.15E-15</v>
      </c>
      <c r="I18" s="54">
        <f ca="1" t="shared" si="2"/>
        <v>-514.998367</v>
      </c>
      <c r="J18" s="54">
        <f ca="1" t="shared" si="3"/>
        <v>-135.640341</v>
      </c>
      <c r="K18" s="54">
        <f ca="1" t="shared" si="4"/>
        <v>-7.1586</v>
      </c>
      <c r="L18" s="54">
        <f ca="1" t="shared" si="5"/>
        <v>25</v>
      </c>
      <c r="M18" s="55">
        <f ca="1" t="shared" si="6"/>
        <v>0</v>
      </c>
      <c r="N18" s="36">
        <f t="shared" si="7"/>
        <v>-0.42261826174069944</v>
      </c>
      <c r="O18" s="36">
        <f t="shared" si="8"/>
        <v>-0.1129407523093658</v>
      </c>
      <c r="P18" s="36">
        <f t="shared" si="9"/>
        <v>0.8992431213587703</v>
      </c>
      <c r="Q18" s="36">
        <f t="shared" si="10"/>
        <v>0</v>
      </c>
      <c r="R18" s="36">
        <f t="shared" si="11"/>
        <v>0.9922050038861754</v>
      </c>
      <c r="S18" s="36">
        <f t="shared" si="12"/>
        <v>0.12461633224916628</v>
      </c>
      <c r="T18" s="36">
        <f t="shared" si="13"/>
        <v>0.9063077870366499</v>
      </c>
      <c r="U18" s="36">
        <f t="shared" si="14"/>
        <v>-0.05266513771964412</v>
      </c>
      <c r="V18" s="36">
        <f t="shared" si="15"/>
        <v>0.4193239540327994</v>
      </c>
      <c r="W18" s="36">
        <f t="shared" si="16"/>
        <v>0</v>
      </c>
      <c r="X18" s="37">
        <f t="shared" si="17"/>
        <v>90</v>
      </c>
      <c r="Y18" s="36">
        <f t="shared" si="18"/>
        <v>0</v>
      </c>
      <c r="Z18" s="37">
        <f t="shared" si="19"/>
        <v>90</v>
      </c>
      <c r="AA18" s="36">
        <f t="shared" si="20"/>
        <v>0</v>
      </c>
      <c r="AB18" s="37">
        <f t="shared" si="0"/>
        <v>90</v>
      </c>
    </row>
    <row r="19" spans="3:28" ht="13.5" thickBot="1">
      <c r="C19" s="15"/>
      <c r="D19" s="16" t="s">
        <v>119</v>
      </c>
      <c r="E19" s="16" t="s">
        <v>164</v>
      </c>
      <c r="F19" s="17">
        <v>51</v>
      </c>
      <c r="G19" s="17">
        <f t="shared" si="21"/>
        <v>292</v>
      </c>
      <c r="H19" s="57">
        <f ca="1" t="shared" si="1"/>
        <v>-65.113778</v>
      </c>
      <c r="I19" s="57">
        <f ca="1" t="shared" si="2"/>
        <v>-521.807023</v>
      </c>
      <c r="J19" s="57">
        <f ca="1" t="shared" si="3"/>
        <v>-81.429289</v>
      </c>
      <c r="K19" s="57">
        <f ca="1" t="shared" si="4"/>
        <v>-7.1586</v>
      </c>
      <c r="L19" s="57">
        <f ca="1" t="shared" si="5"/>
        <v>50</v>
      </c>
      <c r="M19" s="58">
        <f ca="1" t="shared" si="6"/>
        <v>0</v>
      </c>
      <c r="N19" s="36">
        <f t="shared" si="7"/>
        <v>-0.766044443118978</v>
      </c>
      <c r="O19" s="36">
        <f t="shared" si="8"/>
        <v>-0.0801018343343452</v>
      </c>
      <c r="P19" s="36">
        <f t="shared" si="9"/>
        <v>0.6377770827670182</v>
      </c>
      <c r="Q19" s="36">
        <f t="shared" si="10"/>
        <v>0</v>
      </c>
      <c r="R19" s="36">
        <f t="shared" si="11"/>
        <v>0.9922050038861754</v>
      </c>
      <c r="S19" s="36">
        <f t="shared" si="12"/>
        <v>0.12461633224916628</v>
      </c>
      <c r="T19" s="36">
        <f t="shared" si="13"/>
        <v>0.6427876096865394</v>
      </c>
      <c r="U19" s="36">
        <f t="shared" si="14"/>
        <v>-0.09546164884134213</v>
      </c>
      <c r="V19" s="36">
        <f t="shared" si="15"/>
        <v>0.7600731296618486</v>
      </c>
      <c r="W19" s="36">
        <f t="shared" si="16"/>
        <v>0</v>
      </c>
      <c r="X19" s="37">
        <f t="shared" si="17"/>
        <v>90</v>
      </c>
      <c r="Y19" s="36">
        <f t="shared" si="18"/>
        <v>0</v>
      </c>
      <c r="Z19" s="37">
        <f t="shared" si="19"/>
        <v>90</v>
      </c>
      <c r="AA19" s="36">
        <f t="shared" si="20"/>
        <v>0</v>
      </c>
      <c r="AB19" s="37">
        <f t="shared" si="0"/>
        <v>90</v>
      </c>
    </row>
    <row r="20" spans="4:28" ht="13.5" thickBot="1">
      <c r="D20" s="21" t="s">
        <v>118</v>
      </c>
      <c r="E20" s="1" t="s">
        <v>128</v>
      </c>
      <c r="F20" s="22">
        <v>46</v>
      </c>
      <c r="G20" s="22">
        <f t="shared" si="21"/>
        <v>287</v>
      </c>
      <c r="H20" s="51">
        <f ca="1" t="shared" si="1"/>
        <v>7.15E-15</v>
      </c>
      <c r="I20" s="51">
        <f ca="1" t="shared" si="2"/>
        <v>-514.998367</v>
      </c>
      <c r="J20" s="51">
        <f ca="1" t="shared" si="3"/>
        <v>-135.640341</v>
      </c>
      <c r="K20" s="51">
        <f ca="1" t="shared" si="4"/>
        <v>-7.1586</v>
      </c>
      <c r="L20" s="51">
        <f ca="1" t="shared" si="5"/>
        <v>25</v>
      </c>
      <c r="M20" s="51">
        <f ca="1" t="shared" si="6"/>
        <v>0</v>
      </c>
      <c r="N20" s="36">
        <f t="shared" si="7"/>
        <v>-0.42261826174069944</v>
      </c>
      <c r="O20" s="36">
        <f t="shared" si="8"/>
        <v>-0.1129407523093658</v>
      </c>
      <c r="P20" s="36">
        <f t="shared" si="9"/>
        <v>0.8992431213587703</v>
      </c>
      <c r="Q20" s="36">
        <f t="shared" si="10"/>
        <v>0</v>
      </c>
      <c r="R20" s="36">
        <f t="shared" si="11"/>
        <v>0.9922050038861754</v>
      </c>
      <c r="S20" s="36">
        <f t="shared" si="12"/>
        <v>0.12461633224916628</v>
      </c>
      <c r="T20" s="36">
        <f t="shared" si="13"/>
        <v>0.9063077870366499</v>
      </c>
      <c r="U20" s="36">
        <f t="shared" si="14"/>
        <v>-0.05266513771964412</v>
      </c>
      <c r="V20" s="36">
        <f t="shared" si="15"/>
        <v>0.4193239540327994</v>
      </c>
      <c r="W20" s="36">
        <f t="shared" si="16"/>
        <v>0</v>
      </c>
      <c r="X20" s="37">
        <f t="shared" si="17"/>
        <v>90</v>
      </c>
      <c r="Y20" s="36">
        <f t="shared" si="18"/>
        <v>0</v>
      </c>
      <c r="Z20" s="37">
        <f t="shared" si="19"/>
        <v>90</v>
      </c>
      <c r="AA20" s="36">
        <f t="shared" si="20"/>
        <v>0</v>
      </c>
      <c r="AB20" s="37">
        <f t="shared" si="0"/>
        <v>90</v>
      </c>
    </row>
    <row r="21" spans="3:28" ht="12.75">
      <c r="C21" s="10" t="s">
        <v>127</v>
      </c>
      <c r="D21" s="11" t="s">
        <v>120</v>
      </c>
      <c r="E21" s="11"/>
      <c r="F21" s="12">
        <v>57</v>
      </c>
      <c r="G21" s="12">
        <f t="shared" si="21"/>
        <v>298</v>
      </c>
      <c r="H21" s="54">
        <f ca="1" t="shared" si="1"/>
        <v>-1.28E-14</v>
      </c>
      <c r="I21" s="54">
        <f ca="1" t="shared" si="2"/>
        <v>-509.515249</v>
      </c>
      <c r="J21" s="54">
        <f ca="1" t="shared" si="3"/>
        <v>-179.297361</v>
      </c>
      <c r="K21" s="54">
        <f ca="1" t="shared" si="4"/>
        <v>41.4214</v>
      </c>
      <c r="L21" s="54">
        <f ca="1" t="shared" si="5"/>
        <v>0</v>
      </c>
      <c r="M21" s="55">
        <f ca="1" t="shared" si="6"/>
        <v>0</v>
      </c>
      <c r="N21" s="36">
        <f t="shared" si="7"/>
        <v>0</v>
      </c>
      <c r="O21" s="36">
        <f t="shared" si="8"/>
        <v>0.6615919860192813</v>
      </c>
      <c r="P21" s="36">
        <f t="shared" si="9"/>
        <v>0.7498640170291299</v>
      </c>
      <c r="Q21" s="36">
        <f t="shared" si="10"/>
        <v>0</v>
      </c>
      <c r="R21" s="36">
        <f t="shared" si="11"/>
        <v>0.7498640170291299</v>
      </c>
      <c r="S21" s="36">
        <f t="shared" si="12"/>
        <v>-0.6615919860192813</v>
      </c>
      <c r="T21" s="36">
        <f t="shared" si="13"/>
        <v>1</v>
      </c>
      <c r="U21" s="36">
        <f t="shared" si="14"/>
        <v>0</v>
      </c>
      <c r="V21" s="36">
        <f t="shared" si="15"/>
        <v>0</v>
      </c>
      <c r="W21" s="36">
        <f t="shared" si="16"/>
        <v>0</v>
      </c>
      <c r="X21" s="37">
        <f t="shared" si="17"/>
        <v>90</v>
      </c>
      <c r="Y21" s="36">
        <f t="shared" si="18"/>
        <v>0</v>
      </c>
      <c r="Z21" s="37">
        <f t="shared" si="19"/>
        <v>90</v>
      </c>
      <c r="AA21" s="36">
        <f t="shared" si="20"/>
        <v>0</v>
      </c>
      <c r="AB21" s="37">
        <f t="shared" si="0"/>
        <v>90</v>
      </c>
    </row>
    <row r="22" spans="3:28" ht="13.5" thickBot="1">
      <c r="C22" s="15"/>
      <c r="D22" s="16" t="s">
        <v>121</v>
      </c>
      <c r="E22" s="16" t="s">
        <v>164</v>
      </c>
      <c r="F22" s="17">
        <v>59</v>
      </c>
      <c r="G22" s="17">
        <f t="shared" si="21"/>
        <v>300</v>
      </c>
      <c r="H22" s="57">
        <f ca="1" t="shared" si="1"/>
        <v>-1.34E-14</v>
      </c>
      <c r="I22" s="57">
        <f ca="1" t="shared" si="2"/>
        <v>-468.515249</v>
      </c>
      <c r="J22" s="57">
        <f ca="1" t="shared" si="3"/>
        <v>-179.298363</v>
      </c>
      <c r="K22" s="57">
        <f ca="1" t="shared" si="4"/>
        <v>90.0014</v>
      </c>
      <c r="L22" s="57">
        <f ca="1" t="shared" si="5"/>
        <v>0</v>
      </c>
      <c r="M22" s="58">
        <f ca="1" t="shared" si="6"/>
        <v>0</v>
      </c>
      <c r="N22" s="36">
        <f t="shared" si="7"/>
        <v>0</v>
      </c>
      <c r="O22" s="36">
        <f t="shared" si="8"/>
        <v>0.9999999997014749</v>
      </c>
      <c r="P22" s="36">
        <f t="shared" si="9"/>
        <v>-2.4434609525453033E-05</v>
      </c>
      <c r="Q22" s="36">
        <f t="shared" si="10"/>
        <v>0</v>
      </c>
      <c r="R22" s="36">
        <f t="shared" si="11"/>
        <v>-2.4434609525453033E-05</v>
      </c>
      <c r="S22" s="36">
        <f t="shared" si="12"/>
        <v>-0.9999999997014749</v>
      </c>
      <c r="T22" s="36">
        <f t="shared" si="13"/>
        <v>1</v>
      </c>
      <c r="U22" s="36">
        <f t="shared" si="14"/>
        <v>0</v>
      </c>
      <c r="V22" s="36">
        <f t="shared" si="15"/>
        <v>0</v>
      </c>
      <c r="W22" s="36">
        <f t="shared" si="16"/>
        <v>0</v>
      </c>
      <c r="X22" s="37">
        <f t="shared" si="17"/>
        <v>90</v>
      </c>
      <c r="Y22" s="36">
        <f t="shared" si="18"/>
        <v>0</v>
      </c>
      <c r="Z22" s="37">
        <f t="shared" si="19"/>
        <v>90</v>
      </c>
      <c r="AA22" s="36">
        <f t="shared" si="20"/>
        <v>0</v>
      </c>
      <c r="AB22" s="37">
        <f t="shared" si="0"/>
        <v>90</v>
      </c>
    </row>
    <row r="23" spans="14:22" ht="12.75">
      <c r="N23" s="36"/>
      <c r="O23" s="36"/>
      <c r="P23" s="36"/>
      <c r="Q23" s="36"/>
      <c r="R23" s="36"/>
      <c r="S23" s="36"/>
      <c r="T23" s="36"/>
      <c r="U23" s="36"/>
      <c r="V23" s="36"/>
    </row>
    <row r="24" spans="1:22" ht="12.75">
      <c r="A24" s="21" t="s">
        <v>17</v>
      </c>
      <c r="B24" s="21" t="str">
        <f>"-Zsyno"</f>
        <v>-Zsyno</v>
      </c>
      <c r="C24" s="21" t="s">
        <v>130</v>
      </c>
      <c r="N24" s="36"/>
      <c r="O24" s="36"/>
      <c r="P24" s="36"/>
      <c r="Q24" s="36"/>
      <c r="R24" s="36"/>
      <c r="S24" s="36"/>
      <c r="T24" s="36"/>
      <c r="U24" s="36"/>
      <c r="V24" s="36"/>
    </row>
    <row r="25" spans="1:3" ht="12.75">
      <c r="A25" s="21" t="s">
        <v>81</v>
      </c>
      <c r="B25" s="21" t="s">
        <v>136</v>
      </c>
      <c r="C25" s="21" t="s">
        <v>131</v>
      </c>
    </row>
    <row r="26" spans="1:3" ht="12.75">
      <c r="A26" s="21" t="s">
        <v>82</v>
      </c>
      <c r="B26" s="21" t="s">
        <v>137</v>
      </c>
      <c r="C26" s="21" t="s">
        <v>132</v>
      </c>
    </row>
  </sheetData>
  <printOptions/>
  <pageMargins left="0.6" right="0.47"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N26"/>
  <sheetViews>
    <sheetView workbookViewId="0" topLeftCell="A1">
      <selection activeCell="B21" sqref="B21"/>
    </sheetView>
  </sheetViews>
  <sheetFormatPr defaultColWidth="12" defaultRowHeight="12.75"/>
  <cols>
    <col min="1" max="2" width="12" style="1" customWidth="1"/>
    <col min="3" max="3" width="20.16015625" style="1" customWidth="1"/>
    <col min="4" max="5" width="12" style="1" customWidth="1"/>
    <col min="6" max="8" width="10.83203125" style="9" customWidth="1"/>
    <col min="9" max="16384" width="12" style="1" customWidth="1"/>
  </cols>
  <sheetData>
    <row r="1" spans="3:14" s="5" customFormat="1" ht="12.75">
      <c r="C1" s="5" t="s">
        <v>129</v>
      </c>
      <c r="D1" s="5" t="s">
        <v>2</v>
      </c>
      <c r="E1" s="5" t="s">
        <v>162</v>
      </c>
      <c r="F1" s="7" t="s">
        <v>4</v>
      </c>
      <c r="G1" s="7" t="s">
        <v>5</v>
      </c>
      <c r="H1" s="7" t="s">
        <v>6</v>
      </c>
      <c r="I1" s="5" t="s">
        <v>31</v>
      </c>
      <c r="J1" s="5" t="s">
        <v>32</v>
      </c>
      <c r="K1" s="5" t="s">
        <v>33</v>
      </c>
      <c r="L1" s="5" t="s">
        <v>34</v>
      </c>
      <c r="M1" s="5" t="s">
        <v>35</v>
      </c>
      <c r="N1" s="5" t="s">
        <v>36</v>
      </c>
    </row>
    <row r="2" spans="4:14" ht="13.5" thickBot="1">
      <c r="D2" s="1" t="s">
        <v>93</v>
      </c>
      <c r="E2" s="1" t="s">
        <v>128</v>
      </c>
      <c r="F2" s="9">
        <f>X0-RayImpactsSyno!Zgut</f>
        <v>3252.162</v>
      </c>
      <c r="G2" s="9">
        <f>Y0+RayImpactsSyno!Xgut</f>
        <v>0</v>
      </c>
      <c r="H2" s="9">
        <f>Z0+RayImpactsSyno!Ygut</f>
        <v>61.173748</v>
      </c>
      <c r="I2" s="9">
        <f>X0-RayImpactsSyno!ZM3cent</f>
        <v>3252.162</v>
      </c>
      <c r="J2" s="9">
        <f>Y0+RayImpactsSyno!XM3cent</f>
        <v>12.75945</v>
      </c>
      <c r="K2" s="9">
        <f>Z0+RayImpactsSyno!YM3cent</f>
        <v>62.305383</v>
      </c>
      <c r="L2" s="9">
        <f>X0-RayImpactsSyno!ZM5cent</f>
        <v>3252.162</v>
      </c>
      <c r="M2" s="9">
        <f>Y0+RayImpactsSyno!XM5cent</f>
        <v>13.817514</v>
      </c>
      <c r="N2" s="9">
        <f>Z0+RayImpactsSyno!YM5cent</f>
        <v>60.298241</v>
      </c>
    </row>
    <row r="3" spans="3:14" ht="12.75">
      <c r="C3" s="10" t="s">
        <v>122</v>
      </c>
      <c r="D3" s="11" t="s">
        <v>94</v>
      </c>
      <c r="E3" s="11"/>
      <c r="F3" s="13">
        <f>X0-RayImpactsSyno!Zgut</f>
        <v>1252.590842</v>
      </c>
      <c r="G3" s="13">
        <f>Y0+RayImpactsSyno!Xgut</f>
        <v>0</v>
      </c>
      <c r="H3" s="13">
        <f>Z0+RayImpactsSyno!Ygut</f>
        <v>54.789529</v>
      </c>
      <c r="I3" s="13">
        <f>X0-RayImpactsSyno!ZM3cent</f>
        <v>1252.625517</v>
      </c>
      <c r="J3" s="13">
        <f>Y0+RayImpactsSyno!XM3cent</f>
        <v>11.427923</v>
      </c>
      <c r="K3" s="13">
        <f>Z0+RayImpactsSyno!YM3cent</f>
        <v>55.803431</v>
      </c>
      <c r="L3" s="13">
        <f>X0-RayImpactsSyno!ZM5cent</f>
        <v>1252.600535</v>
      </c>
      <c r="M3" s="13">
        <f>Y0+RayImpactsSyno!XM5cent</f>
        <v>12.375513</v>
      </c>
      <c r="N3" s="14">
        <f>Z0+RayImpactsSyno!YM5cent</f>
        <v>54.005491</v>
      </c>
    </row>
    <row r="4" spans="3:14" ht="13.5" thickBot="1">
      <c r="C4" s="15"/>
      <c r="D4" s="16" t="s">
        <v>95</v>
      </c>
      <c r="E4" s="16"/>
      <c r="F4" s="18">
        <f>X0-RayImpactsSyno!Zgut</f>
        <v>2840.131</v>
      </c>
      <c r="G4" s="18">
        <f>Y0+RayImpactsSyno!Xgut</f>
        <v>0</v>
      </c>
      <c r="H4" s="18">
        <f>Z0+RayImpactsSyno!Ygut</f>
        <v>1.42E-14</v>
      </c>
      <c r="I4" s="18">
        <f>X0-RayImpactsSyno!ZM3cent</f>
        <v>2840.131</v>
      </c>
      <c r="J4" s="18">
        <f>Y0+RayImpactsSyno!XM3cent</f>
        <v>3.55E-15</v>
      </c>
      <c r="K4" s="18">
        <f>Z0+RayImpactsSyno!YM3cent</f>
        <v>1.42E-14</v>
      </c>
      <c r="L4" s="18">
        <f>X0-RayImpactsSyno!ZM5cent</f>
        <v>2840.131</v>
      </c>
      <c r="M4" s="18">
        <f>Y0+RayImpactsSyno!XM5cent</f>
        <v>1.78E-15</v>
      </c>
      <c r="N4" s="19">
        <f>Z0+RayImpactsSyno!YM5cent</f>
        <v>-7.11E-15</v>
      </c>
    </row>
    <row r="5" spans="3:14" ht="12.75">
      <c r="C5" s="10" t="s">
        <v>123</v>
      </c>
      <c r="D5" s="11" t="s">
        <v>96</v>
      </c>
      <c r="E5" s="11" t="s">
        <v>163</v>
      </c>
      <c r="F5" s="13">
        <f>X0-RayImpactsSyno!Zgut</f>
        <v>228.382426</v>
      </c>
      <c r="G5" s="13">
        <f>Y0+RayImpactsSyno!Xgut</f>
        <v>0</v>
      </c>
      <c r="H5" s="13">
        <f>Z0+RayImpactsSyno!Ygut</f>
        <v>-90.137232</v>
      </c>
      <c r="I5" s="13">
        <f>X0-RayImpactsSyno!ZM3cent</f>
        <v>230.68079</v>
      </c>
      <c r="J5" s="13">
        <f>Y0+RayImpactsSyno!XM3cent</f>
        <v>-18.784562</v>
      </c>
      <c r="K5" s="13">
        <f>Z0+RayImpactsSyno!YM3cent</f>
        <v>-91.72647</v>
      </c>
      <c r="L5" s="13">
        <f>X0-RayImpactsSyno!ZM5cent</f>
        <v>229.022003</v>
      </c>
      <c r="M5" s="13">
        <f>Y0+RayImpactsSyno!XM5cent</f>
        <v>-20.354767</v>
      </c>
      <c r="N5" s="14">
        <f>Z0+RayImpactsSyno!YM5cent</f>
        <v>-88.826152</v>
      </c>
    </row>
    <row r="6" spans="3:14" ht="12.75">
      <c r="C6" s="20"/>
      <c r="D6" s="21" t="s">
        <v>97</v>
      </c>
      <c r="E6" s="21"/>
      <c r="F6" s="23">
        <f>X0-RayImpactsSyno!Zgut</f>
        <v>131.141755</v>
      </c>
      <c r="G6" s="23">
        <f>Y0+RayImpactsSyno!Xgut</f>
        <v>0</v>
      </c>
      <c r="H6" s="23">
        <f>Z0+RayImpactsSyno!Ygut</f>
        <v>-93.493223</v>
      </c>
      <c r="I6" s="23">
        <f>X0-RayImpactsSyno!ZM3cent</f>
        <v>131.229806</v>
      </c>
      <c r="J6" s="23">
        <f>Y0+RayImpactsSyno!XM3cent</f>
        <v>-19.500476</v>
      </c>
      <c r="K6" s="23">
        <f>Z0+RayImpactsSyno!YM3cent</f>
        <v>-95.222336</v>
      </c>
      <c r="L6" s="23">
        <f>X0-RayImpactsSyno!ZM5cent</f>
        <v>132.089046</v>
      </c>
      <c r="M6" s="23">
        <f>Y0+RayImpactsSyno!XM5cent</f>
        <v>-21.110403</v>
      </c>
      <c r="N6" s="24">
        <f>Z0+RayImpactsSyno!YM5cent</f>
        <v>-92.123671</v>
      </c>
    </row>
    <row r="7" spans="3:14" ht="12.75">
      <c r="C7" s="20"/>
      <c r="D7" s="21" t="s">
        <v>99</v>
      </c>
      <c r="E7" s="21"/>
      <c r="F7" s="23">
        <f>X0-RayImpactsSyno!Zgut</f>
        <v>316.12521200000003</v>
      </c>
      <c r="G7" s="23">
        <f>Y0+RayImpactsSyno!Xgut</f>
        <v>0</v>
      </c>
      <c r="H7" s="23">
        <f>Z0+RayImpactsSyno!Ygut</f>
        <v>-200.093508</v>
      </c>
      <c r="I7" s="23">
        <f>X0-RayImpactsSyno!ZM3cent</f>
        <v>316.117194</v>
      </c>
      <c r="J7" s="23">
        <f>Y0+RayImpactsSyno!XM3cent</f>
        <v>-0.002619</v>
      </c>
      <c r="K7" s="23">
        <f>Z0+RayImpactsSyno!YM3cent</f>
        <v>-200.11827</v>
      </c>
      <c r="L7" s="23">
        <f>X0-RayImpactsSyno!ZM5cent</f>
        <v>316.115744</v>
      </c>
      <c r="M7" s="23">
        <f>Y0+RayImpactsSyno!XM5cent</f>
        <v>0.00704</v>
      </c>
      <c r="N7" s="24">
        <f>Z0+RayImpactsSyno!YM5cent</f>
        <v>-200.122747</v>
      </c>
    </row>
    <row r="8" spans="3:14" ht="13.5" thickBot="1">
      <c r="C8" s="15"/>
      <c r="D8" s="16" t="s">
        <v>100</v>
      </c>
      <c r="E8" s="16"/>
      <c r="F8" s="18">
        <f>X0-RayImpactsSyno!Zgut</f>
        <v>119.782648</v>
      </c>
      <c r="G8" s="18">
        <f>Y0+RayImpactsSyno!Xgut</f>
        <v>0</v>
      </c>
      <c r="H8" s="18">
        <f>Z0+RayImpactsSyno!Ygut</f>
        <v>-179.688231</v>
      </c>
      <c r="I8" s="18">
        <f>X0-RayImpactsSyno!ZM3cent</f>
        <v>120.717899</v>
      </c>
      <c r="J8" s="18">
        <f>Y0+RayImpactsSyno!XM3cent</f>
        <v>18.0297</v>
      </c>
      <c r="K8" s="18">
        <f>Z0+RayImpactsSyno!YM3cent</f>
        <v>-178.482563</v>
      </c>
      <c r="L8" s="18">
        <f>X0-RayImpactsSyno!ZM5cent</f>
        <v>120.054658</v>
      </c>
      <c r="M8" s="18">
        <f>Y0+RayImpactsSyno!XM5cent</f>
        <v>19.499867</v>
      </c>
      <c r="N8" s="19">
        <f>Z0+RayImpactsSyno!YM5cent</f>
        <v>-181.314796</v>
      </c>
    </row>
    <row r="9" spans="3:14" ht="12.75">
      <c r="C9" s="10" t="s">
        <v>124</v>
      </c>
      <c r="D9" s="11" t="s">
        <v>103</v>
      </c>
      <c r="E9" s="11"/>
      <c r="F9" s="13">
        <f>X0-RayImpactsSyno!Zgut</f>
        <v>296.150648</v>
      </c>
      <c r="G9" s="13">
        <f>Y0+RayImpactsSyno!Xgut</f>
        <v>0</v>
      </c>
      <c r="H9" s="13">
        <f>Z0+RayImpactsSyno!Ygut</f>
        <v>-259.533341</v>
      </c>
      <c r="I9" s="13">
        <f>X0-RayImpactsSyno!ZM3cent</f>
        <v>296.485541</v>
      </c>
      <c r="J9" s="13">
        <f>Y0+RayImpactsSyno!XM3cent</f>
        <v>10.973657</v>
      </c>
      <c r="K9" s="13">
        <f>Z0+RayImpactsSyno!YM3cent</f>
        <v>-258.542261</v>
      </c>
      <c r="L9" s="13">
        <f>X0-RayImpactsSyno!ZM5cent</f>
        <v>296.20107</v>
      </c>
      <c r="M9" s="13">
        <f>Y0+RayImpactsSyno!XM5cent</f>
        <v>11.832463</v>
      </c>
      <c r="N9" s="14">
        <f>Z0+RayImpactsSyno!YM5cent</f>
        <v>-260.433321</v>
      </c>
    </row>
    <row r="10" spans="3:14" ht="12.75">
      <c r="C10" s="20"/>
      <c r="D10" s="21" t="s">
        <v>106</v>
      </c>
      <c r="E10" s="21"/>
      <c r="F10" s="23">
        <f>X0-RayImpactsSyno!Zgut</f>
        <v>94.233987</v>
      </c>
      <c r="G10" s="23">
        <f>Y0+RayImpactsSyno!Xgut</f>
        <v>0</v>
      </c>
      <c r="H10" s="23">
        <f>Z0+RayImpactsSyno!Ygut</f>
        <v>-279.48232</v>
      </c>
      <c r="I10" s="23">
        <f>X0-RayImpactsSyno!ZM3cent</f>
        <v>95.212653</v>
      </c>
      <c r="J10" s="23">
        <f>Y0+RayImpactsSyno!XM3cent</f>
        <v>15.521875</v>
      </c>
      <c r="K10" s="23">
        <f>Z0+RayImpactsSyno!YM3cent</f>
        <v>-277.506548</v>
      </c>
      <c r="L10" s="23">
        <f>X0-RayImpactsSyno!ZM5cent</f>
        <v>94.24581</v>
      </c>
      <c r="M10" s="23">
        <f>Y0+RayImpactsSyno!XM5cent</f>
        <v>16.690589</v>
      </c>
      <c r="N10" s="24">
        <f>Z0+RayImpactsSyno!YM5cent</f>
        <v>-280.923961</v>
      </c>
    </row>
    <row r="11" spans="3:14" ht="12.75">
      <c r="C11" s="20"/>
      <c r="D11" s="21" t="s">
        <v>109</v>
      </c>
      <c r="E11" s="21"/>
      <c r="F11" s="23">
        <f>X0-RayImpactsSyno!Zgut</f>
        <v>240.466374</v>
      </c>
      <c r="G11" s="23">
        <f>Y0+RayImpactsSyno!Xgut</f>
        <v>0</v>
      </c>
      <c r="H11" s="23">
        <f>Z0+RayImpactsSyno!Ygut</f>
        <v>-397.634755</v>
      </c>
      <c r="I11" s="23">
        <f>X0-RayImpactsSyno!ZM3cent</f>
        <v>240.450296</v>
      </c>
      <c r="J11" s="23">
        <f>Y0+RayImpactsSyno!XM3cent</f>
        <v>3.403216</v>
      </c>
      <c r="K11" s="23">
        <f>Z0+RayImpactsSyno!YM3cent</f>
        <v>-397.122812</v>
      </c>
      <c r="L11" s="23">
        <f>X0-RayImpactsSyno!ZM5cent</f>
        <v>240.511584</v>
      </c>
      <c r="M11" s="23">
        <f>Y0+RayImpactsSyno!XM5cent</f>
        <v>3.639387</v>
      </c>
      <c r="N11" s="24">
        <f>Z0+RayImpactsSyno!YM5cent</f>
        <v>-397.939241</v>
      </c>
    </row>
    <row r="12" spans="3:14" ht="12.75">
      <c r="C12" s="20"/>
      <c r="D12" s="21" t="s">
        <v>110</v>
      </c>
      <c r="E12" s="21" t="s">
        <v>163</v>
      </c>
      <c r="F12" s="23">
        <f>X0-RayImpactsSyno!Zgut</f>
        <v>192.867821</v>
      </c>
      <c r="G12" s="23">
        <f>Y0+RayImpactsSyno!Xgut</f>
        <v>0</v>
      </c>
      <c r="H12" s="23">
        <f>Z0+RayImpactsSyno!Ygut</f>
        <v>-448.961602</v>
      </c>
      <c r="I12" s="23">
        <f>X0-RayImpactsSyno!ZM3cent</f>
        <v>192.856362</v>
      </c>
      <c r="J12" s="23">
        <f>Y0+RayImpactsSyno!XM3cent</f>
        <v>0.087781</v>
      </c>
      <c r="K12" s="23">
        <f>Z0+RayImpactsSyno!YM3cent</f>
        <v>-448.950976</v>
      </c>
      <c r="L12" s="23">
        <f>X0-RayImpactsSyno!ZM5cent</f>
        <v>192.85285</v>
      </c>
      <c r="M12" s="23">
        <f>Y0+RayImpactsSyno!XM5cent</f>
        <v>0.080828</v>
      </c>
      <c r="N12" s="24">
        <f>Z0+RayImpactsSyno!YM5cent</f>
        <v>-448.947719</v>
      </c>
    </row>
    <row r="13" spans="3:14" ht="13.5" thickBot="1">
      <c r="C13" s="15"/>
      <c r="D13" s="16" t="s">
        <v>111</v>
      </c>
      <c r="E13" s="16"/>
      <c r="F13" s="18">
        <f>X0-RayImpactsSyno!Zgut</f>
        <v>104.471471</v>
      </c>
      <c r="G13" s="18">
        <f>Y0+RayImpactsSyno!Xgut</f>
        <v>0</v>
      </c>
      <c r="H13" s="18">
        <f>Z0+RayImpactsSyno!Ygut</f>
        <v>-544.281853</v>
      </c>
      <c r="I13" s="18">
        <f>X0-RayImpactsSyno!ZM3cent</f>
        <v>104.811354</v>
      </c>
      <c r="J13" s="18">
        <f>Y0+RayImpactsSyno!XM3cent</f>
        <v>-6.04551</v>
      </c>
      <c r="K13" s="18">
        <f>Z0+RayImpactsSyno!YM3cent</f>
        <v>-544.828974</v>
      </c>
      <c r="L13" s="18">
        <f>X0-RayImpactsSyno!ZM5cent</f>
        <v>104.270608</v>
      </c>
      <c r="M13" s="18">
        <f>Y0+RayImpactsSyno!XM5cent</f>
        <v>-6.533386</v>
      </c>
      <c r="N13" s="19">
        <f>Z0+RayImpactsSyno!YM5cent</f>
        <v>-543.756057</v>
      </c>
    </row>
    <row r="14" spans="3:14" ht="12.75">
      <c r="C14" s="10" t="s">
        <v>125</v>
      </c>
      <c r="D14" s="11" t="s">
        <v>113</v>
      </c>
      <c r="E14" s="11"/>
      <c r="F14" s="13">
        <f>X0-RayImpactsSyno!Zgut</f>
        <v>238.41944999999998</v>
      </c>
      <c r="G14" s="13">
        <f>Y0+RayImpactsSyno!Xgut</f>
        <v>0</v>
      </c>
      <c r="H14" s="13">
        <f>Z0+RayImpactsSyno!Ygut</f>
        <v>-527.459168</v>
      </c>
      <c r="I14" s="13">
        <f>X0-RayImpactsSyno!ZM3cent</f>
        <v>238.733246</v>
      </c>
      <c r="J14" s="13">
        <f>Y0+RayImpactsSyno!XM3cent</f>
        <v>-8.033705</v>
      </c>
      <c r="K14" s="13">
        <f>Z0+RayImpactsSyno!YM3cent</f>
        <v>-528.127272</v>
      </c>
      <c r="L14" s="13">
        <f>X0-RayImpactsSyno!ZM5cent</f>
        <v>238.116781</v>
      </c>
      <c r="M14" s="13">
        <f>Y0+RayImpactsSyno!XM5cent</f>
        <v>-8.679048</v>
      </c>
      <c r="N14" s="14">
        <f>Z0+RayImpactsSyno!YM5cent</f>
        <v>-526.814757</v>
      </c>
    </row>
    <row r="15" spans="1:14" ht="12.75">
      <c r="A15" s="26" t="s">
        <v>138</v>
      </c>
      <c r="C15" s="20"/>
      <c r="D15" s="21" t="s">
        <v>115</v>
      </c>
      <c r="E15" s="21"/>
      <c r="F15" s="23">
        <f>X0-RayImpactsSyno!Zgut</f>
        <v>139.942107</v>
      </c>
      <c r="G15" s="23">
        <f>Y0+RayImpactsSyno!Xgut</f>
        <v>1.82E-14</v>
      </c>
      <c r="H15" s="23">
        <f>Z0+RayImpactsSyno!Ygut</f>
        <v>-619.802494</v>
      </c>
      <c r="I15" s="23">
        <f>X0-RayImpactsSyno!ZM3cent</f>
        <v>133.090238</v>
      </c>
      <c r="J15" s="23">
        <f>Y0+RayImpactsSyno!XM3cent</f>
        <v>-10.168951</v>
      </c>
      <c r="K15" s="23">
        <f>Z0+RayImpactsSyno!YM3cent</f>
        <v>-627.36187</v>
      </c>
      <c r="L15" s="23">
        <f>X0-RayImpactsSyno!ZM5cent</f>
        <v>131.35487999999998</v>
      </c>
      <c r="M15" s="23">
        <f>Y0+RayImpactsSyno!XM5cent</f>
        <v>-11.004597</v>
      </c>
      <c r="N15" s="24">
        <f>Z0+RayImpactsSyno!YM5cent</f>
        <v>-626.732892</v>
      </c>
    </row>
    <row r="16" spans="1:14" ht="13.5" thickBot="1">
      <c r="A16" s="1" t="s">
        <v>133</v>
      </c>
      <c r="C16" s="15"/>
      <c r="D16" s="16" t="s">
        <v>117</v>
      </c>
      <c r="E16" s="16" t="s">
        <v>164</v>
      </c>
      <c r="F16" s="18">
        <f>X0-RayImpactsSyno!Zgut</f>
        <v>139.942248</v>
      </c>
      <c r="G16" s="18">
        <f>Y0+RayImpactsSyno!Xgut</f>
        <v>-50</v>
      </c>
      <c r="H16" s="18">
        <f>Z0+RayImpactsSyno!Ygut</f>
        <v>-619.802643</v>
      </c>
      <c r="I16" s="18">
        <f>X0-RayImpactsSyno!ZM3cent</f>
        <v>132.68589</v>
      </c>
      <c r="J16" s="18">
        <f>Y0+RayImpactsSyno!XM3cent</f>
        <v>-50</v>
      </c>
      <c r="K16" s="18">
        <f>Z0+RayImpactsSyno!YM3cent</f>
        <v>-627.788504</v>
      </c>
      <c r="L16" s="18">
        <f>X0-RayImpactsSyno!ZM5cent</f>
        <v>130.876814</v>
      </c>
      <c r="M16" s="18">
        <f>Y0+RayImpactsSyno!XM5cent</f>
        <v>-50</v>
      </c>
      <c r="N16" s="19">
        <f>Z0+RayImpactsSyno!YM5cent</f>
        <v>-627.129735</v>
      </c>
    </row>
    <row r="17" spans="1:14" ht="13.5" thickBot="1">
      <c r="A17" s="1" t="s">
        <v>135</v>
      </c>
      <c r="D17" s="1" t="s">
        <v>113</v>
      </c>
      <c r="E17" s="1" t="s">
        <v>128</v>
      </c>
      <c r="F17" s="9">
        <f>X0-RayImpactsSyno!Zgut</f>
        <v>238.41944999999998</v>
      </c>
      <c r="G17" s="9">
        <f>Y0+RayImpactsSyno!Xgut</f>
        <v>0</v>
      </c>
      <c r="H17" s="9">
        <f>Z0+RayImpactsSyno!Ygut</f>
        <v>-527.459168</v>
      </c>
      <c r="I17" s="9">
        <f>X0-RayImpactsSyno!ZM3cent</f>
        <v>238.733246</v>
      </c>
      <c r="J17" s="9">
        <f>Y0+RayImpactsSyno!XM3cent</f>
        <v>-8.033705</v>
      </c>
      <c r="K17" s="9">
        <f>Z0+RayImpactsSyno!YM3cent</f>
        <v>-528.127272</v>
      </c>
      <c r="L17" s="9">
        <f>X0-RayImpactsSyno!ZM5cent</f>
        <v>238.116781</v>
      </c>
      <c r="M17" s="9">
        <f>Y0+RayImpactsSyno!XM5cent</f>
        <v>-8.679048</v>
      </c>
      <c r="N17" s="9">
        <f>Z0+RayImpactsSyno!YM5cent</f>
        <v>-526.814757</v>
      </c>
    </row>
    <row r="18" spans="1:14" ht="12.75">
      <c r="A18" s="1" t="s">
        <v>134</v>
      </c>
      <c r="C18" s="10" t="s">
        <v>126</v>
      </c>
      <c r="D18" s="11" t="s">
        <v>118</v>
      </c>
      <c r="E18" s="11"/>
      <c r="F18" s="13">
        <f>X0-RayImpactsSyno!Zgut</f>
        <v>337.640283</v>
      </c>
      <c r="G18" s="13">
        <f>Y0+RayImpactsSyno!Xgut</f>
        <v>-4.41E-16</v>
      </c>
      <c r="H18" s="13">
        <f>Z0+RayImpactsSyno!Ygut</f>
        <v>-514.997907</v>
      </c>
      <c r="I18" s="13">
        <f>X0-RayImpactsSyno!ZM3cent</f>
        <v>342.166446</v>
      </c>
      <c r="J18" s="13">
        <f>Y0+RayImpactsSyno!XM3cent</f>
        <v>-9.569267</v>
      </c>
      <c r="K18" s="13">
        <f>Z0+RayImpactsSyno!YM3cent</f>
        <v>-515.227885</v>
      </c>
      <c r="L18" s="13">
        <f>X0-RayImpactsSyno!ZM5cent</f>
        <v>342.331781</v>
      </c>
      <c r="M18" s="13">
        <f>Y0+RayImpactsSyno!XM5cent</f>
        <v>-10.349698</v>
      </c>
      <c r="N18" s="14">
        <f>Z0+RayImpactsSyno!YM5cent</f>
        <v>-513.62396</v>
      </c>
    </row>
    <row r="19" spans="1:14" ht="13.5" thickBot="1">
      <c r="A19" s="26" t="s">
        <v>139</v>
      </c>
      <c r="C19" s="15"/>
      <c r="D19" s="16" t="s">
        <v>119</v>
      </c>
      <c r="E19" s="16" t="s">
        <v>164</v>
      </c>
      <c r="F19" s="18">
        <f>X0-RayImpactsSyno!Zgut</f>
        <v>283.429275</v>
      </c>
      <c r="G19" s="18">
        <f>Y0+RayImpactsSyno!Xgut</f>
        <v>-65.113778</v>
      </c>
      <c r="H19" s="18">
        <f>Z0+RayImpactsSyno!Ygut</f>
        <v>-521.806909</v>
      </c>
      <c r="I19" s="18">
        <f>X0-RayImpactsSyno!ZM3cent</f>
        <v>291.711826</v>
      </c>
      <c r="J19" s="18">
        <f>Y0+RayImpactsSyno!XM3cent</f>
        <v>-72.027431</v>
      </c>
      <c r="K19" s="18">
        <f>Z0+RayImpactsSyno!YM3cent</f>
        <v>-521.635326</v>
      </c>
      <c r="L19" s="18">
        <f>X0-RayImpactsSyno!ZM5cent</f>
        <v>292.158272</v>
      </c>
      <c r="M19" s="18">
        <f>Y0+RayImpactsSyno!XM5cent</f>
        <v>-72.58604</v>
      </c>
      <c r="N19" s="19">
        <f>Z0+RayImpactsSyno!YM5cent</f>
        <v>-519.847765</v>
      </c>
    </row>
    <row r="20" spans="1:14" ht="13.5" thickBot="1">
      <c r="A20" s="25" t="s">
        <v>112</v>
      </c>
      <c r="B20" s="25">
        <v>202</v>
      </c>
      <c r="D20" s="1" t="s">
        <v>118</v>
      </c>
      <c r="E20" s="1" t="s">
        <v>128</v>
      </c>
      <c r="F20" s="9">
        <f>X0-RayImpactsSyno!Zgut</f>
        <v>337.640283</v>
      </c>
      <c r="G20" s="9">
        <f>Y0+RayImpactsSyno!Xgut</f>
        <v>-4.41E-16</v>
      </c>
      <c r="H20" s="9">
        <f>Z0+RayImpactsSyno!Ygut</f>
        <v>-514.997907</v>
      </c>
      <c r="I20" s="9">
        <f>X0-RayImpactsSyno!ZM3cent</f>
        <v>342.166446</v>
      </c>
      <c r="J20" s="9">
        <f>Y0+RayImpactsSyno!XM3cent</f>
        <v>-9.569267</v>
      </c>
      <c r="K20" s="9">
        <f>Z0+RayImpactsSyno!YM3cent</f>
        <v>-515.227885</v>
      </c>
      <c r="L20" s="9">
        <f>X0-RayImpactsSyno!ZM5cent</f>
        <v>342.331781</v>
      </c>
      <c r="M20" s="9">
        <f>Y0+RayImpactsSyno!XM5cent</f>
        <v>-10.349698</v>
      </c>
      <c r="N20" s="9">
        <f>Z0+RayImpactsSyno!YM5cent</f>
        <v>-513.62396</v>
      </c>
    </row>
    <row r="21" spans="1:14" ht="12.75">
      <c r="A21" s="25" t="s">
        <v>114</v>
      </c>
      <c r="B21" s="25">
        <v>0</v>
      </c>
      <c r="C21" s="10" t="s">
        <v>127</v>
      </c>
      <c r="D21" s="11" t="s">
        <v>120</v>
      </c>
      <c r="E21" s="11"/>
      <c r="F21" s="13">
        <f>X0-RayImpactsSyno!Zgut</f>
        <v>381.297645</v>
      </c>
      <c r="G21" s="13">
        <f>Y0+RayImpactsSyno!Xgut</f>
        <v>-4.78E-15</v>
      </c>
      <c r="H21" s="13">
        <f>Z0+RayImpactsSyno!Ygut</f>
        <v>-509.514927</v>
      </c>
      <c r="I21" s="13">
        <f>X0-RayImpactsSyno!ZM3cent</f>
        <v>380.47202</v>
      </c>
      <c r="J21" s="13">
        <f>Y0+RayImpactsSyno!XM3cent</f>
        <v>-10.137949</v>
      </c>
      <c r="K21" s="13">
        <f>Z0+RayImpactsSyno!YM3cent</f>
        <v>-510.45071</v>
      </c>
      <c r="L21" s="13">
        <f>X0-RayImpactsSyno!ZM5cent</f>
        <v>382.11503500000003</v>
      </c>
      <c r="M21" s="13">
        <f>Y0+RayImpactsSyno!XM5cent</f>
        <v>-10.987456</v>
      </c>
      <c r="N21" s="14">
        <f>Z0+RayImpactsSyno!YM5cent</f>
        <v>-508.588478</v>
      </c>
    </row>
    <row r="22" spans="1:14" ht="13.5" thickBot="1">
      <c r="A22" s="25" t="s">
        <v>116</v>
      </c>
      <c r="B22" s="25">
        <v>0</v>
      </c>
      <c r="C22" s="15"/>
      <c r="D22" s="16" t="s">
        <v>121</v>
      </c>
      <c r="E22" s="16" t="s">
        <v>164</v>
      </c>
      <c r="F22" s="18">
        <f>X0-RayImpactsSyno!Zgut</f>
        <v>381.298479</v>
      </c>
      <c r="G22" s="18">
        <f>Y0+RayImpactsSyno!Xgut</f>
        <v>9.28E-15</v>
      </c>
      <c r="H22" s="18">
        <f>Z0+RayImpactsSyno!Ygut</f>
        <v>-468.515249</v>
      </c>
      <c r="I22" s="18">
        <f>X0-RayImpactsSyno!ZM3cent</f>
        <v>380.43658300000004</v>
      </c>
      <c r="J22" s="18">
        <f>Y0+RayImpactsSyno!XM3cent</f>
        <v>-10.755735</v>
      </c>
      <c r="K22" s="18">
        <f>Z0+RayImpactsSyno!YM3cent</f>
        <v>-468.515228</v>
      </c>
      <c r="L22" s="18">
        <f>X0-RayImpactsSyno!ZM5cent</f>
        <v>382.154575</v>
      </c>
      <c r="M22" s="18">
        <f>Y0+RayImpactsSyno!XM5cent</f>
        <v>-11.624777</v>
      </c>
      <c r="N22" s="19">
        <f>Z0+RayImpactsSyno!YM5cent</f>
        <v>-468.51527</v>
      </c>
    </row>
    <row r="23" ht="12.75">
      <c r="A23" s="26" t="s">
        <v>140</v>
      </c>
    </row>
    <row r="24" spans="1:3" ht="12.75">
      <c r="A24" s="1" t="s">
        <v>17</v>
      </c>
      <c r="B24" s="1" t="str">
        <f>"-Zsyno"</f>
        <v>-Zsyno</v>
      </c>
      <c r="C24" s="1" t="s">
        <v>130</v>
      </c>
    </row>
    <row r="25" spans="1:3" ht="12.75">
      <c r="A25" s="1" t="s">
        <v>81</v>
      </c>
      <c r="B25" s="1" t="s">
        <v>136</v>
      </c>
      <c r="C25" s="1" t="s">
        <v>131</v>
      </c>
    </row>
    <row r="26" spans="1:3" ht="12.75">
      <c r="A26" s="1" t="s">
        <v>82</v>
      </c>
      <c r="B26" s="1" t="s">
        <v>137</v>
      </c>
      <c r="C26" s="1" t="s">
        <v>132</v>
      </c>
    </row>
  </sheetData>
  <printOptions/>
  <pageMargins left="0.7874015748031497" right="0.7874015748031497"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P26"/>
  <sheetViews>
    <sheetView workbookViewId="0" topLeftCell="C1">
      <selection activeCell="I28" sqref="I28"/>
    </sheetView>
  </sheetViews>
  <sheetFormatPr defaultColWidth="12" defaultRowHeight="12.75"/>
  <cols>
    <col min="1" max="2" width="12" style="1" customWidth="1"/>
    <col min="3" max="3" width="20.16015625" style="1" customWidth="1"/>
    <col min="4" max="5" width="12" style="1" customWidth="1"/>
    <col min="6" max="6" width="12" style="8" customWidth="1"/>
    <col min="7" max="7" width="8.16015625" style="8" customWidth="1"/>
    <col min="8" max="10" width="12.16015625" style="100" customWidth="1"/>
    <col min="11" max="16" width="12.16015625" style="109" customWidth="1"/>
    <col min="17" max="16384" width="12" style="1" customWidth="1"/>
  </cols>
  <sheetData>
    <row r="1" spans="3:16" s="5" customFormat="1" ht="12.75">
      <c r="C1" s="5" t="s">
        <v>129</v>
      </c>
      <c r="D1" s="5" t="s">
        <v>2</v>
      </c>
      <c r="E1" s="5" t="s">
        <v>162</v>
      </c>
      <c r="F1" s="6" t="s">
        <v>91</v>
      </c>
      <c r="G1" s="6" t="s">
        <v>92</v>
      </c>
      <c r="H1" s="96" t="s">
        <v>4</v>
      </c>
      <c r="I1" s="96" t="s">
        <v>5</v>
      </c>
      <c r="J1" s="96" t="s">
        <v>6</v>
      </c>
      <c r="K1" s="108" t="s">
        <v>31</v>
      </c>
      <c r="L1" s="108" t="s">
        <v>32</v>
      </c>
      <c r="M1" s="108" t="s">
        <v>33</v>
      </c>
      <c r="N1" s="108" t="s">
        <v>34</v>
      </c>
      <c r="O1" s="108" t="s">
        <v>35</v>
      </c>
      <c r="P1" s="108" t="s">
        <v>36</v>
      </c>
    </row>
    <row r="2" spans="4:16" ht="13.5" thickBot="1">
      <c r="D2" s="1" t="s">
        <v>93</v>
      </c>
      <c r="E2" s="1" t="s">
        <v>128</v>
      </c>
      <c r="F2" s="8">
        <v>5</v>
      </c>
      <c r="G2" s="8">
        <v>27</v>
      </c>
      <c r="H2" s="100">
        <f ca="1">INDIRECT("GutRay!"&amp;Xcol&amp;FIXED(Line,0))</f>
        <v>0</v>
      </c>
      <c r="I2" s="100">
        <f ca="1">INDIRECT("GutRay!"&amp;Ycol&amp;FIXED(Line,0))</f>
        <v>61.173748</v>
      </c>
      <c r="J2" s="100">
        <f ca="1">INDIRECT("GutRay!"&amp;Zcol&amp;FIXED(Line,0))</f>
        <v>-3050.162</v>
      </c>
      <c r="K2" s="100">
        <f ca="1">INDIRECT("M3CentRay!"&amp;Xcol&amp;FIXED(Line,0))</f>
        <v>12.75945</v>
      </c>
      <c r="L2" s="100">
        <f ca="1">INDIRECT("M3CentRay!"&amp;Ycol&amp;FIXED(Line,0))</f>
        <v>62.305383</v>
      </c>
      <c r="M2" s="100">
        <f ca="1">INDIRECT("M3CentRay!"&amp;Zcol&amp;FIXED(Line,0))</f>
        <v>-3050.162</v>
      </c>
      <c r="N2" s="100">
        <f ca="1">INDIRECT("M5CentRay!"&amp;Xcol&amp;FIXED(Line,0))</f>
        <v>13.817514</v>
      </c>
      <c r="O2" s="100">
        <f ca="1">INDIRECT("M5CentRay!"&amp;Ycol&amp;FIXED(Line,0))</f>
        <v>60.298241</v>
      </c>
      <c r="P2" s="100">
        <f ca="1">INDIRECT("M5CentRay!"&amp;Zcol&amp;FIXED(Line,0))</f>
        <v>-3050.162</v>
      </c>
    </row>
    <row r="3" spans="3:16" ht="12.75">
      <c r="C3" s="10" t="s">
        <v>122</v>
      </c>
      <c r="D3" s="11" t="s">
        <v>94</v>
      </c>
      <c r="E3" s="11"/>
      <c r="F3" s="12">
        <v>6</v>
      </c>
      <c r="G3" s="12">
        <f>SurfNum+Line0</f>
        <v>28</v>
      </c>
      <c r="H3" s="102">
        <f ca="1" t="shared" si="0" ref="H3:H22">INDIRECT("GutRay!"&amp;Xcol&amp;FIXED(Line,0))</f>
        <v>0</v>
      </c>
      <c r="I3" s="102">
        <f ca="1" t="shared" si="1" ref="I3:I22">INDIRECT("GutRay!"&amp;Ycol&amp;FIXED(Line,0))</f>
        <v>54.789529</v>
      </c>
      <c r="J3" s="102">
        <f ca="1" t="shared" si="2" ref="J3:J22">INDIRECT("GutRay!"&amp;Zcol&amp;FIXED(Line,0))</f>
        <v>-1050.590842</v>
      </c>
      <c r="K3" s="102">
        <f ca="1" t="shared" si="3" ref="K3:K22">INDIRECT("M3CentRay!"&amp;Xcol&amp;FIXED(Line,0))</f>
        <v>11.427923</v>
      </c>
      <c r="L3" s="102">
        <f ca="1" t="shared" si="4" ref="L3:L22">INDIRECT("M3CentRay!"&amp;Ycol&amp;FIXED(Line,0))</f>
        <v>55.803431</v>
      </c>
      <c r="M3" s="102">
        <f ca="1" t="shared" si="5" ref="M3:M22">INDIRECT("M3CentRay!"&amp;Zcol&amp;FIXED(Line,0))</f>
        <v>-1050.625517</v>
      </c>
      <c r="N3" s="102">
        <f ca="1" t="shared" si="6" ref="N3:N22">INDIRECT("M5CentRay!"&amp;Xcol&amp;FIXED(Line,0))</f>
        <v>12.375513</v>
      </c>
      <c r="O3" s="102">
        <f ca="1" t="shared" si="7" ref="O3:O22">INDIRECT("M5CentRay!"&amp;Ycol&amp;FIXED(Line,0))</f>
        <v>54.005491</v>
      </c>
      <c r="P3" s="103">
        <f ca="1" t="shared" si="8" ref="P3:P22">INDIRECT("M5CentRay!"&amp;Zcol&amp;FIXED(Line,0))</f>
        <v>-1050.600535</v>
      </c>
    </row>
    <row r="4" spans="3:16" ht="13.5" thickBot="1">
      <c r="C4" s="15"/>
      <c r="D4" s="16" t="s">
        <v>95</v>
      </c>
      <c r="E4" s="16"/>
      <c r="F4" s="17">
        <v>7</v>
      </c>
      <c r="G4" s="17">
        <f aca="true" t="shared" si="9" ref="G4:G22">SurfNum+Line0</f>
        <v>29</v>
      </c>
      <c r="H4" s="105">
        <f ca="1" t="shared" si="0"/>
        <v>0</v>
      </c>
      <c r="I4" s="105">
        <f ca="1" t="shared" si="1"/>
        <v>1.42E-14</v>
      </c>
      <c r="J4" s="105">
        <f ca="1" t="shared" si="2"/>
        <v>-2638.131</v>
      </c>
      <c r="K4" s="105">
        <f ca="1" t="shared" si="3"/>
        <v>3.55E-15</v>
      </c>
      <c r="L4" s="105">
        <f ca="1" t="shared" si="4"/>
        <v>1.42E-14</v>
      </c>
      <c r="M4" s="105">
        <f ca="1" t="shared" si="5"/>
        <v>-2638.131</v>
      </c>
      <c r="N4" s="105">
        <f ca="1" t="shared" si="6"/>
        <v>1.78E-15</v>
      </c>
      <c r="O4" s="105">
        <f ca="1" t="shared" si="7"/>
        <v>-7.11E-15</v>
      </c>
      <c r="P4" s="106">
        <f ca="1" t="shared" si="8"/>
        <v>-2638.131</v>
      </c>
    </row>
    <row r="5" spans="3:16" ht="12.75">
      <c r="C5" s="10" t="s">
        <v>123</v>
      </c>
      <c r="D5" s="11" t="s">
        <v>96</v>
      </c>
      <c r="E5" s="11" t="s">
        <v>163</v>
      </c>
      <c r="F5" s="12">
        <v>9</v>
      </c>
      <c r="G5" s="12">
        <f t="shared" si="9"/>
        <v>31</v>
      </c>
      <c r="H5" s="102">
        <f ca="1" t="shared" si="0"/>
        <v>0</v>
      </c>
      <c r="I5" s="102">
        <f ca="1" t="shared" si="1"/>
        <v>-90.137232</v>
      </c>
      <c r="J5" s="102">
        <f ca="1" t="shared" si="2"/>
        <v>-26.382426</v>
      </c>
      <c r="K5" s="102">
        <f ca="1" t="shared" si="3"/>
        <v>-18.784562</v>
      </c>
      <c r="L5" s="102">
        <f ca="1" t="shared" si="4"/>
        <v>-91.72647</v>
      </c>
      <c r="M5" s="102">
        <f ca="1" t="shared" si="5"/>
        <v>-28.68079</v>
      </c>
      <c r="N5" s="102">
        <f ca="1" t="shared" si="6"/>
        <v>-20.354767</v>
      </c>
      <c r="O5" s="102">
        <f ca="1" t="shared" si="7"/>
        <v>-88.826152</v>
      </c>
      <c r="P5" s="103">
        <f ca="1" t="shared" si="8"/>
        <v>-27.022003</v>
      </c>
    </row>
    <row r="6" spans="3:16" ht="12.75">
      <c r="C6" s="20"/>
      <c r="D6" s="21" t="s">
        <v>97</v>
      </c>
      <c r="E6" s="21"/>
      <c r="F6" s="22">
        <v>11</v>
      </c>
      <c r="G6" s="22">
        <f t="shared" si="9"/>
        <v>33</v>
      </c>
      <c r="H6" s="98">
        <f ca="1" t="shared" si="0"/>
        <v>0</v>
      </c>
      <c r="I6" s="98">
        <f ca="1" t="shared" si="1"/>
        <v>-93.493223</v>
      </c>
      <c r="J6" s="98">
        <f ca="1" t="shared" si="2"/>
        <v>70.858245</v>
      </c>
      <c r="K6" s="98">
        <f ca="1" t="shared" si="3"/>
        <v>-19.500476</v>
      </c>
      <c r="L6" s="98">
        <f ca="1" t="shared" si="4"/>
        <v>-95.222336</v>
      </c>
      <c r="M6" s="98">
        <f ca="1" t="shared" si="5"/>
        <v>70.770194</v>
      </c>
      <c r="N6" s="98">
        <f ca="1" t="shared" si="6"/>
        <v>-21.110403</v>
      </c>
      <c r="O6" s="98">
        <f ca="1" t="shared" si="7"/>
        <v>-92.123671</v>
      </c>
      <c r="P6" s="99">
        <f ca="1" t="shared" si="8"/>
        <v>69.910954</v>
      </c>
    </row>
    <row r="7" spans="1:16" ht="12.75">
      <c r="A7" s="1" t="s">
        <v>98</v>
      </c>
      <c r="B7" s="1">
        <v>22</v>
      </c>
      <c r="C7" s="20"/>
      <c r="D7" s="21" t="s">
        <v>99</v>
      </c>
      <c r="E7" s="21"/>
      <c r="F7" s="22">
        <v>14</v>
      </c>
      <c r="G7" s="22">
        <f t="shared" si="9"/>
        <v>36</v>
      </c>
      <c r="H7" s="98">
        <f ca="1" t="shared" si="0"/>
        <v>0</v>
      </c>
      <c r="I7" s="98">
        <f ca="1" t="shared" si="1"/>
        <v>-200.093508</v>
      </c>
      <c r="J7" s="98">
        <f ca="1" t="shared" si="2"/>
        <v>-114.125212</v>
      </c>
      <c r="K7" s="98">
        <f ca="1" t="shared" si="3"/>
        <v>-0.002619</v>
      </c>
      <c r="L7" s="98">
        <f ca="1" t="shared" si="4"/>
        <v>-200.11827</v>
      </c>
      <c r="M7" s="98">
        <f ca="1" t="shared" si="5"/>
        <v>-114.117194</v>
      </c>
      <c r="N7" s="98">
        <f ca="1" t="shared" si="6"/>
        <v>0.00704</v>
      </c>
      <c r="O7" s="98">
        <f ca="1" t="shared" si="7"/>
        <v>-200.122747</v>
      </c>
      <c r="P7" s="99">
        <f ca="1" t="shared" si="8"/>
        <v>-114.115744</v>
      </c>
    </row>
    <row r="8" spans="3:16" ht="13.5" thickBot="1">
      <c r="C8" s="15"/>
      <c r="D8" s="16" t="s">
        <v>100</v>
      </c>
      <c r="E8" s="16"/>
      <c r="F8" s="17">
        <v>17</v>
      </c>
      <c r="G8" s="17">
        <f t="shared" si="9"/>
        <v>39</v>
      </c>
      <c r="H8" s="105">
        <f ca="1" t="shared" si="0"/>
        <v>0</v>
      </c>
      <c r="I8" s="105">
        <f ca="1" t="shared" si="1"/>
        <v>-179.688231</v>
      </c>
      <c r="J8" s="105">
        <f ca="1" t="shared" si="2"/>
        <v>82.217352</v>
      </c>
      <c r="K8" s="105">
        <f ca="1" t="shared" si="3"/>
        <v>18.0297</v>
      </c>
      <c r="L8" s="105">
        <f ca="1" t="shared" si="4"/>
        <v>-178.482563</v>
      </c>
      <c r="M8" s="105">
        <f ca="1" t="shared" si="5"/>
        <v>81.282101</v>
      </c>
      <c r="N8" s="105">
        <f ca="1" t="shared" si="6"/>
        <v>19.499867</v>
      </c>
      <c r="O8" s="105">
        <f ca="1" t="shared" si="7"/>
        <v>-181.314796</v>
      </c>
      <c r="P8" s="106">
        <f ca="1" t="shared" si="8"/>
        <v>81.945342</v>
      </c>
    </row>
    <row r="9" spans="1:16" ht="12.75">
      <c r="A9" s="1" t="s">
        <v>101</v>
      </c>
      <c r="B9" s="1" t="s">
        <v>102</v>
      </c>
      <c r="C9" s="10" t="s">
        <v>124</v>
      </c>
      <c r="D9" s="11" t="s">
        <v>103</v>
      </c>
      <c r="E9" s="11"/>
      <c r="F9" s="12">
        <v>20</v>
      </c>
      <c r="G9" s="12">
        <f t="shared" si="9"/>
        <v>42</v>
      </c>
      <c r="H9" s="102">
        <f ca="1" t="shared" si="0"/>
        <v>0</v>
      </c>
      <c r="I9" s="102">
        <f ca="1" t="shared" si="1"/>
        <v>-259.533341</v>
      </c>
      <c r="J9" s="102">
        <f ca="1" t="shared" si="2"/>
        <v>-94.150648</v>
      </c>
      <c r="K9" s="102">
        <f ca="1" t="shared" si="3"/>
        <v>10.973657</v>
      </c>
      <c r="L9" s="102">
        <f ca="1" t="shared" si="4"/>
        <v>-258.542261</v>
      </c>
      <c r="M9" s="102">
        <f ca="1" t="shared" si="5"/>
        <v>-94.485541</v>
      </c>
      <c r="N9" s="102">
        <f ca="1" t="shared" si="6"/>
        <v>11.832463</v>
      </c>
      <c r="O9" s="102">
        <f ca="1" t="shared" si="7"/>
        <v>-260.433321</v>
      </c>
      <c r="P9" s="103">
        <f ca="1" t="shared" si="8"/>
        <v>-94.20107</v>
      </c>
    </row>
    <row r="10" spans="1:16" ht="12.75">
      <c r="A10" s="1" t="s">
        <v>104</v>
      </c>
      <c r="B10" s="1" t="s">
        <v>105</v>
      </c>
      <c r="C10" s="20"/>
      <c r="D10" s="21" t="s">
        <v>106</v>
      </c>
      <c r="E10" s="21"/>
      <c r="F10" s="22">
        <v>22</v>
      </c>
      <c r="G10" s="22">
        <f t="shared" si="9"/>
        <v>44</v>
      </c>
      <c r="H10" s="98">
        <f ca="1" t="shared" si="0"/>
        <v>0</v>
      </c>
      <c r="I10" s="98">
        <f ca="1" t="shared" si="1"/>
        <v>-279.48232</v>
      </c>
      <c r="J10" s="98">
        <f ca="1" t="shared" si="2"/>
        <v>107.766013</v>
      </c>
      <c r="K10" s="98">
        <f ca="1" t="shared" si="3"/>
        <v>15.521875</v>
      </c>
      <c r="L10" s="98">
        <f ca="1" t="shared" si="4"/>
        <v>-277.506548</v>
      </c>
      <c r="M10" s="98">
        <f ca="1" t="shared" si="5"/>
        <v>106.787347</v>
      </c>
      <c r="N10" s="98">
        <f ca="1" t="shared" si="6"/>
        <v>16.690589</v>
      </c>
      <c r="O10" s="98">
        <f ca="1" t="shared" si="7"/>
        <v>-280.923961</v>
      </c>
      <c r="P10" s="99">
        <f ca="1" t="shared" si="8"/>
        <v>107.75419</v>
      </c>
    </row>
    <row r="11" spans="1:16" ht="12.75">
      <c r="A11" s="1" t="s">
        <v>107</v>
      </c>
      <c r="B11" s="1" t="s">
        <v>108</v>
      </c>
      <c r="C11" s="20"/>
      <c r="D11" s="21" t="s">
        <v>109</v>
      </c>
      <c r="E11" s="21"/>
      <c r="F11" s="22">
        <v>24</v>
      </c>
      <c r="G11" s="22">
        <f t="shared" si="9"/>
        <v>46</v>
      </c>
      <c r="H11" s="98">
        <f ca="1" t="shared" si="0"/>
        <v>0</v>
      </c>
      <c r="I11" s="98">
        <f ca="1" t="shared" si="1"/>
        <v>-397.634755</v>
      </c>
      <c r="J11" s="98">
        <f ca="1" t="shared" si="2"/>
        <v>-38.466374</v>
      </c>
      <c r="K11" s="98">
        <f ca="1" t="shared" si="3"/>
        <v>3.403216</v>
      </c>
      <c r="L11" s="98">
        <f ca="1" t="shared" si="4"/>
        <v>-397.122812</v>
      </c>
      <c r="M11" s="98">
        <f ca="1" t="shared" si="5"/>
        <v>-38.450296</v>
      </c>
      <c r="N11" s="98">
        <f ca="1" t="shared" si="6"/>
        <v>3.639387</v>
      </c>
      <c r="O11" s="98">
        <f ca="1" t="shared" si="7"/>
        <v>-397.939241</v>
      </c>
      <c r="P11" s="99">
        <f ca="1" t="shared" si="8"/>
        <v>-38.511584</v>
      </c>
    </row>
    <row r="12" spans="3:16" ht="12.75">
      <c r="C12" s="20"/>
      <c r="D12" s="21" t="s">
        <v>110</v>
      </c>
      <c r="E12" s="21" t="s">
        <v>163</v>
      </c>
      <c r="F12" s="22">
        <v>26</v>
      </c>
      <c r="G12" s="22">
        <f t="shared" si="9"/>
        <v>48</v>
      </c>
      <c r="H12" s="98">
        <f ca="1" t="shared" si="0"/>
        <v>0</v>
      </c>
      <c r="I12" s="98">
        <f ca="1" t="shared" si="1"/>
        <v>-448.961602</v>
      </c>
      <c r="J12" s="98">
        <f ca="1" t="shared" si="2"/>
        <v>9.132179</v>
      </c>
      <c r="K12" s="98">
        <f ca="1" t="shared" si="3"/>
        <v>0.087781</v>
      </c>
      <c r="L12" s="98">
        <f ca="1" t="shared" si="4"/>
        <v>-448.950976</v>
      </c>
      <c r="M12" s="98">
        <f ca="1" t="shared" si="5"/>
        <v>9.143638</v>
      </c>
      <c r="N12" s="98">
        <f ca="1" t="shared" si="6"/>
        <v>0.080828</v>
      </c>
      <c r="O12" s="98">
        <f ca="1" t="shared" si="7"/>
        <v>-448.947719</v>
      </c>
      <c r="P12" s="99">
        <f ca="1" t="shared" si="8"/>
        <v>9.14715</v>
      </c>
    </row>
    <row r="13" spans="3:16" ht="13.5" thickBot="1">
      <c r="C13" s="15"/>
      <c r="D13" s="16" t="s">
        <v>111</v>
      </c>
      <c r="E13" s="16"/>
      <c r="F13" s="17">
        <v>27</v>
      </c>
      <c r="G13" s="17">
        <f t="shared" si="9"/>
        <v>49</v>
      </c>
      <c r="H13" s="105">
        <f ca="1" t="shared" si="0"/>
        <v>0</v>
      </c>
      <c r="I13" s="105">
        <f ca="1" t="shared" si="1"/>
        <v>-544.281853</v>
      </c>
      <c r="J13" s="105">
        <f ca="1" t="shared" si="2"/>
        <v>97.528529</v>
      </c>
      <c r="K13" s="105">
        <f ca="1" t="shared" si="3"/>
        <v>-6.04551</v>
      </c>
      <c r="L13" s="105">
        <f ca="1" t="shared" si="4"/>
        <v>-544.828974</v>
      </c>
      <c r="M13" s="105">
        <f ca="1" t="shared" si="5"/>
        <v>97.188646</v>
      </c>
      <c r="N13" s="105">
        <f ca="1" t="shared" si="6"/>
        <v>-6.533386</v>
      </c>
      <c r="O13" s="105">
        <f ca="1" t="shared" si="7"/>
        <v>-543.756057</v>
      </c>
      <c r="P13" s="106">
        <f ca="1" t="shared" si="8"/>
        <v>97.729392</v>
      </c>
    </row>
    <row r="14" spans="3:16" ht="12.75">
      <c r="C14" s="10" t="s">
        <v>125</v>
      </c>
      <c r="D14" s="11" t="s">
        <v>113</v>
      </c>
      <c r="E14" s="11"/>
      <c r="F14" s="12">
        <v>31</v>
      </c>
      <c r="G14" s="12">
        <f t="shared" si="9"/>
        <v>53</v>
      </c>
      <c r="H14" s="102">
        <f ca="1" t="shared" si="0"/>
        <v>0</v>
      </c>
      <c r="I14" s="102">
        <f ca="1" t="shared" si="1"/>
        <v>-527.459168</v>
      </c>
      <c r="J14" s="102">
        <f ca="1" t="shared" si="2"/>
        <v>-36.41945</v>
      </c>
      <c r="K14" s="102">
        <f ca="1" t="shared" si="3"/>
        <v>-8.033705</v>
      </c>
      <c r="L14" s="102">
        <f ca="1" t="shared" si="4"/>
        <v>-528.127272</v>
      </c>
      <c r="M14" s="102">
        <f ca="1" t="shared" si="5"/>
        <v>-36.733246</v>
      </c>
      <c r="N14" s="102">
        <f ca="1" t="shared" si="6"/>
        <v>-8.679048</v>
      </c>
      <c r="O14" s="102">
        <f ca="1" t="shared" si="7"/>
        <v>-526.814757</v>
      </c>
      <c r="P14" s="103">
        <f ca="1" t="shared" si="8"/>
        <v>-36.116781</v>
      </c>
    </row>
    <row r="15" spans="3:16" ht="12.75">
      <c r="C15" s="20"/>
      <c r="D15" s="21" t="s">
        <v>115</v>
      </c>
      <c r="E15" s="21"/>
      <c r="F15" s="22">
        <v>36</v>
      </c>
      <c r="G15" s="22">
        <f t="shared" si="9"/>
        <v>58</v>
      </c>
      <c r="H15" s="98">
        <f ca="1" t="shared" si="0"/>
        <v>1.82E-14</v>
      </c>
      <c r="I15" s="98">
        <f ca="1" t="shared" si="1"/>
        <v>-619.802494</v>
      </c>
      <c r="J15" s="98">
        <f ca="1" t="shared" si="2"/>
        <v>62.057893</v>
      </c>
      <c r="K15" s="98">
        <f ca="1" t="shared" si="3"/>
        <v>-10.168951</v>
      </c>
      <c r="L15" s="98">
        <f ca="1" t="shared" si="4"/>
        <v>-627.36187</v>
      </c>
      <c r="M15" s="98">
        <f ca="1" t="shared" si="5"/>
        <v>68.909762</v>
      </c>
      <c r="N15" s="98">
        <f ca="1" t="shared" si="6"/>
        <v>-11.004597</v>
      </c>
      <c r="O15" s="98">
        <f ca="1" t="shared" si="7"/>
        <v>-626.732892</v>
      </c>
      <c r="P15" s="99">
        <f ca="1" t="shared" si="8"/>
        <v>70.64512</v>
      </c>
    </row>
    <row r="16" spans="3:16" ht="13.5" thickBot="1">
      <c r="C16" s="15"/>
      <c r="D16" s="16" t="s">
        <v>117</v>
      </c>
      <c r="E16" s="16" t="s">
        <v>164</v>
      </c>
      <c r="F16" s="17">
        <v>38</v>
      </c>
      <c r="G16" s="17">
        <f t="shared" si="9"/>
        <v>60</v>
      </c>
      <c r="H16" s="105">
        <f ca="1" t="shared" si="0"/>
        <v>-50</v>
      </c>
      <c r="I16" s="105">
        <f ca="1" t="shared" si="1"/>
        <v>-619.802643</v>
      </c>
      <c r="J16" s="105">
        <f ca="1" t="shared" si="2"/>
        <v>62.057752</v>
      </c>
      <c r="K16" s="105">
        <f ca="1" t="shared" si="3"/>
        <v>-50</v>
      </c>
      <c r="L16" s="105">
        <f ca="1" t="shared" si="4"/>
        <v>-627.788504</v>
      </c>
      <c r="M16" s="105">
        <f ca="1" t="shared" si="5"/>
        <v>69.31411</v>
      </c>
      <c r="N16" s="105">
        <f ca="1" t="shared" si="6"/>
        <v>-50</v>
      </c>
      <c r="O16" s="105">
        <f ca="1" t="shared" si="7"/>
        <v>-627.129735</v>
      </c>
      <c r="P16" s="106">
        <f ca="1" t="shared" si="8"/>
        <v>71.123186</v>
      </c>
    </row>
    <row r="17" spans="4:16" ht="13.5" thickBot="1">
      <c r="D17" s="1" t="s">
        <v>113</v>
      </c>
      <c r="E17" s="1" t="s">
        <v>128</v>
      </c>
      <c r="F17" s="8">
        <v>31</v>
      </c>
      <c r="G17" s="8">
        <f t="shared" si="9"/>
        <v>53</v>
      </c>
      <c r="H17" s="100">
        <f ca="1" t="shared" si="0"/>
        <v>0</v>
      </c>
      <c r="I17" s="100">
        <f ca="1" t="shared" si="1"/>
        <v>-527.459168</v>
      </c>
      <c r="J17" s="100">
        <f ca="1" t="shared" si="2"/>
        <v>-36.41945</v>
      </c>
      <c r="K17" s="100">
        <f ca="1" t="shared" si="3"/>
        <v>-8.033705</v>
      </c>
      <c r="L17" s="100">
        <f ca="1" t="shared" si="4"/>
        <v>-528.127272</v>
      </c>
      <c r="M17" s="100">
        <f ca="1" t="shared" si="5"/>
        <v>-36.733246</v>
      </c>
      <c r="N17" s="100">
        <f ca="1" t="shared" si="6"/>
        <v>-8.679048</v>
      </c>
      <c r="O17" s="100">
        <f ca="1" t="shared" si="7"/>
        <v>-526.814757</v>
      </c>
      <c r="P17" s="100">
        <f ca="1" t="shared" si="8"/>
        <v>-36.116781</v>
      </c>
    </row>
    <row r="18" spans="3:16" ht="12.75">
      <c r="C18" s="10" t="s">
        <v>126</v>
      </c>
      <c r="D18" s="11" t="s">
        <v>118</v>
      </c>
      <c r="E18" s="11"/>
      <c r="F18" s="12">
        <v>46</v>
      </c>
      <c r="G18" s="12">
        <f t="shared" si="9"/>
        <v>68</v>
      </c>
      <c r="H18" s="102">
        <f ca="1" t="shared" si="0"/>
        <v>-4.41E-16</v>
      </c>
      <c r="I18" s="102">
        <f ca="1" t="shared" si="1"/>
        <v>-514.997907</v>
      </c>
      <c r="J18" s="102">
        <f ca="1" t="shared" si="2"/>
        <v>-135.640283</v>
      </c>
      <c r="K18" s="102">
        <f ca="1" t="shared" si="3"/>
        <v>-9.569267</v>
      </c>
      <c r="L18" s="102">
        <f ca="1" t="shared" si="4"/>
        <v>-515.227885</v>
      </c>
      <c r="M18" s="102">
        <f ca="1" t="shared" si="5"/>
        <v>-140.166446</v>
      </c>
      <c r="N18" s="102">
        <f ca="1" t="shared" si="6"/>
        <v>-10.349698</v>
      </c>
      <c r="O18" s="102">
        <f ca="1" t="shared" si="7"/>
        <v>-513.62396</v>
      </c>
      <c r="P18" s="103">
        <f ca="1" t="shared" si="8"/>
        <v>-140.331781</v>
      </c>
    </row>
    <row r="19" spans="3:16" ht="13.5" thickBot="1">
      <c r="C19" s="15"/>
      <c r="D19" s="16" t="s">
        <v>119</v>
      </c>
      <c r="E19" s="16" t="s">
        <v>164</v>
      </c>
      <c r="F19" s="17">
        <v>51</v>
      </c>
      <c r="G19" s="17">
        <f t="shared" si="9"/>
        <v>73</v>
      </c>
      <c r="H19" s="105">
        <f ca="1" t="shared" si="0"/>
        <v>-65.113778</v>
      </c>
      <c r="I19" s="105">
        <f ca="1" t="shared" si="1"/>
        <v>-521.806909</v>
      </c>
      <c r="J19" s="105">
        <f ca="1" t="shared" si="2"/>
        <v>-81.429275</v>
      </c>
      <c r="K19" s="105">
        <f ca="1" t="shared" si="3"/>
        <v>-72.027431</v>
      </c>
      <c r="L19" s="105">
        <f ca="1" t="shared" si="4"/>
        <v>-521.635326</v>
      </c>
      <c r="M19" s="105">
        <f ca="1" t="shared" si="5"/>
        <v>-89.711826</v>
      </c>
      <c r="N19" s="105">
        <f ca="1" t="shared" si="6"/>
        <v>-72.58604</v>
      </c>
      <c r="O19" s="105">
        <f ca="1" t="shared" si="7"/>
        <v>-519.847765</v>
      </c>
      <c r="P19" s="106">
        <f ca="1" t="shared" si="8"/>
        <v>-90.158272</v>
      </c>
    </row>
    <row r="20" spans="4:16" ht="13.5" thickBot="1">
      <c r="D20" s="1" t="s">
        <v>118</v>
      </c>
      <c r="E20" s="1" t="s">
        <v>128</v>
      </c>
      <c r="F20" s="8">
        <v>46</v>
      </c>
      <c r="G20" s="8">
        <f t="shared" si="9"/>
        <v>68</v>
      </c>
      <c r="H20" s="100">
        <f ca="1" t="shared" si="0"/>
        <v>-4.41E-16</v>
      </c>
      <c r="I20" s="100">
        <f ca="1" t="shared" si="1"/>
        <v>-514.997907</v>
      </c>
      <c r="J20" s="100">
        <f ca="1" t="shared" si="2"/>
        <v>-135.640283</v>
      </c>
      <c r="K20" s="100">
        <f ca="1" t="shared" si="3"/>
        <v>-9.569267</v>
      </c>
      <c r="L20" s="100">
        <f ca="1" t="shared" si="4"/>
        <v>-515.227885</v>
      </c>
      <c r="M20" s="100">
        <f ca="1" t="shared" si="5"/>
        <v>-140.166446</v>
      </c>
      <c r="N20" s="100">
        <f ca="1" t="shared" si="6"/>
        <v>-10.349698</v>
      </c>
      <c r="O20" s="100">
        <f ca="1" t="shared" si="7"/>
        <v>-513.62396</v>
      </c>
      <c r="P20" s="100">
        <f ca="1" t="shared" si="8"/>
        <v>-140.331781</v>
      </c>
    </row>
    <row r="21" spans="3:16" ht="12.75">
      <c r="C21" s="10" t="s">
        <v>127</v>
      </c>
      <c r="D21" s="11" t="s">
        <v>120</v>
      </c>
      <c r="E21" s="11"/>
      <c r="F21" s="12">
        <v>57</v>
      </c>
      <c r="G21" s="12">
        <f t="shared" si="9"/>
        <v>79</v>
      </c>
      <c r="H21" s="102">
        <f ca="1" t="shared" si="0"/>
        <v>-4.78E-15</v>
      </c>
      <c r="I21" s="102">
        <f ca="1" t="shared" si="1"/>
        <v>-509.514927</v>
      </c>
      <c r="J21" s="102">
        <f ca="1" t="shared" si="2"/>
        <v>-179.297645</v>
      </c>
      <c r="K21" s="102">
        <f ca="1" t="shared" si="3"/>
        <v>-10.137949</v>
      </c>
      <c r="L21" s="102">
        <f ca="1" t="shared" si="4"/>
        <v>-510.45071</v>
      </c>
      <c r="M21" s="102">
        <f ca="1" t="shared" si="5"/>
        <v>-178.47202</v>
      </c>
      <c r="N21" s="102">
        <f ca="1" t="shared" si="6"/>
        <v>-10.987456</v>
      </c>
      <c r="O21" s="102">
        <f ca="1" t="shared" si="7"/>
        <v>-508.588478</v>
      </c>
      <c r="P21" s="103">
        <f ca="1" t="shared" si="8"/>
        <v>-180.115035</v>
      </c>
    </row>
    <row r="22" spans="3:16" ht="13.5" thickBot="1">
      <c r="C22" s="15"/>
      <c r="D22" s="16" t="s">
        <v>121</v>
      </c>
      <c r="E22" s="16" t="s">
        <v>164</v>
      </c>
      <c r="F22" s="17">
        <v>59</v>
      </c>
      <c r="G22" s="17">
        <f t="shared" si="9"/>
        <v>81</v>
      </c>
      <c r="H22" s="105">
        <f ca="1" t="shared" si="0"/>
        <v>9.28E-15</v>
      </c>
      <c r="I22" s="105">
        <f ca="1" t="shared" si="1"/>
        <v>-468.515249</v>
      </c>
      <c r="J22" s="105">
        <f ca="1" t="shared" si="2"/>
        <v>-179.298479</v>
      </c>
      <c r="K22" s="105">
        <f ca="1" t="shared" si="3"/>
        <v>-10.755735</v>
      </c>
      <c r="L22" s="105">
        <f ca="1" t="shared" si="4"/>
        <v>-468.515228</v>
      </c>
      <c r="M22" s="105">
        <f ca="1" t="shared" si="5"/>
        <v>-178.436583</v>
      </c>
      <c r="N22" s="105">
        <f ca="1" t="shared" si="6"/>
        <v>-11.624777</v>
      </c>
      <c r="O22" s="105">
        <f ca="1" t="shared" si="7"/>
        <v>-468.51527</v>
      </c>
      <c r="P22" s="106">
        <f ca="1" t="shared" si="8"/>
        <v>-180.154575</v>
      </c>
    </row>
    <row r="24" spans="1:3" ht="12.75">
      <c r="A24" s="1" t="s">
        <v>17</v>
      </c>
      <c r="B24" s="1" t="str">
        <f>"-Zsyno"</f>
        <v>-Zsyno</v>
      </c>
      <c r="C24" s="1" t="s">
        <v>130</v>
      </c>
    </row>
    <row r="25" spans="1:3" ht="12.75">
      <c r="A25" s="1" t="s">
        <v>81</v>
      </c>
      <c r="B25" s="1" t="s">
        <v>136</v>
      </c>
      <c r="C25" s="1" t="s">
        <v>131</v>
      </c>
    </row>
    <row r="26" spans="1:3" ht="12.75">
      <c r="A26" s="1" t="s">
        <v>82</v>
      </c>
      <c r="B26" s="1" t="s">
        <v>137</v>
      </c>
      <c r="C26" s="1" t="s">
        <v>132</v>
      </c>
    </row>
  </sheetData>
  <printOptions/>
  <pageMargins left="0.7874015748031497" right="0.7874015748031497"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B1:M309"/>
  <sheetViews>
    <sheetView workbookViewId="0" topLeftCell="A1">
      <selection activeCell="F53" sqref="F53"/>
    </sheetView>
  </sheetViews>
  <sheetFormatPr defaultColWidth="12" defaultRowHeight="12.75"/>
  <cols>
    <col min="1" max="16384" width="12" style="1" customWidth="1"/>
  </cols>
  <sheetData>
    <row r="1" ht="12.75">
      <c r="B1" s="1" t="s">
        <v>39</v>
      </c>
    </row>
    <row r="2" spans="2:3" ht="12.75">
      <c r="B2" s="1" t="s">
        <v>39</v>
      </c>
      <c r="C2" s="1" t="s">
        <v>40</v>
      </c>
    </row>
    <row r="4" spans="2:10" ht="12.75">
      <c r="B4" s="1" t="s">
        <v>41</v>
      </c>
      <c r="C4" s="1" t="s">
        <v>42</v>
      </c>
      <c r="D4" s="1" t="s">
        <v>43</v>
      </c>
      <c r="E4" s="1" t="s">
        <v>44</v>
      </c>
      <c r="F4" s="1" t="s">
        <v>45</v>
      </c>
      <c r="G4" s="1" t="s">
        <v>44</v>
      </c>
      <c r="H4" s="1" t="s">
        <v>46</v>
      </c>
      <c r="I4" s="1" t="s">
        <v>47</v>
      </c>
      <c r="J4" s="1" t="s">
        <v>88</v>
      </c>
    </row>
    <row r="6" spans="2:3" ht="12.75">
      <c r="B6" s="1" t="s">
        <v>39</v>
      </c>
      <c r="C6" s="1" t="s">
        <v>49</v>
      </c>
    </row>
    <row r="7" spans="2:3" ht="12.75">
      <c r="B7" s="2">
        <v>36825</v>
      </c>
      <c r="C7" s="3">
        <v>0.4810532407407408</v>
      </c>
    </row>
    <row r="8" ht="12.75">
      <c r="B8" s="1" t="s">
        <v>39</v>
      </c>
    </row>
    <row r="9" spans="2:10" ht="12.75">
      <c r="B9" s="1" t="s">
        <v>39</v>
      </c>
      <c r="C9" s="1" t="s">
        <v>167</v>
      </c>
      <c r="D9" s="1">
        <v>2</v>
      </c>
      <c r="E9" s="1">
        <v>0</v>
      </c>
      <c r="F9" s="1">
        <v>0</v>
      </c>
      <c r="G9" s="1">
        <v>0</v>
      </c>
      <c r="H9" s="1" t="s">
        <v>51</v>
      </c>
      <c r="I9" s="1">
        <v>0</v>
      </c>
      <c r="J9" s="1" t="s">
        <v>52</v>
      </c>
    </row>
    <row r="10" spans="2:9" ht="12.75">
      <c r="B10" s="1" t="s">
        <v>167</v>
      </c>
      <c r="C10" s="1">
        <v>2</v>
      </c>
      <c r="D10" s="1">
        <v>0</v>
      </c>
      <c r="E10" s="1">
        <v>0</v>
      </c>
      <c r="F10" s="1">
        <v>0</v>
      </c>
      <c r="G10" s="1" t="s">
        <v>51</v>
      </c>
      <c r="H10" s="1">
        <v>0</v>
      </c>
      <c r="I10" s="1" t="s">
        <v>52</v>
      </c>
    </row>
    <row r="11" spans="2:5" ht="12.75">
      <c r="B11" s="1" t="s">
        <v>39</v>
      </c>
      <c r="C11" s="1" t="s">
        <v>168</v>
      </c>
      <c r="D11" s="1" t="s">
        <v>169</v>
      </c>
      <c r="E11" s="1" t="s">
        <v>52</v>
      </c>
    </row>
    <row r="13" spans="2:8" ht="12.75">
      <c r="B13" s="1" t="s">
        <v>44</v>
      </c>
      <c r="C13" s="1" t="s">
        <v>46</v>
      </c>
      <c r="D13" s="1" t="s">
        <v>47</v>
      </c>
      <c r="E13" s="1" t="s">
        <v>88</v>
      </c>
      <c r="F13" s="1">
        <v>231</v>
      </c>
      <c r="G13" s="2">
        <v>36825</v>
      </c>
      <c r="H13" s="3">
        <v>0.4810532407407408</v>
      </c>
    </row>
    <row r="14" spans="2:3" ht="12.75">
      <c r="B14" s="1" t="s">
        <v>170</v>
      </c>
      <c r="C14" s="1" t="s">
        <v>171</v>
      </c>
    </row>
    <row r="16" spans="2:3" ht="12.75">
      <c r="B16" s="1" t="s">
        <v>60</v>
      </c>
      <c r="C16" s="1" t="s">
        <v>172</v>
      </c>
    </row>
    <row r="17" ht="12.75">
      <c r="B17" s="1" t="s">
        <v>173</v>
      </c>
    </row>
    <row r="18" spans="2:9" ht="12.75">
      <c r="B18" s="1" t="s">
        <v>65</v>
      </c>
      <c r="C18" s="1" t="s">
        <v>174</v>
      </c>
      <c r="D18" s="1" t="s">
        <v>175</v>
      </c>
      <c r="E18" s="1" t="s">
        <v>176</v>
      </c>
      <c r="F18" s="1" t="s">
        <v>177</v>
      </c>
      <c r="G18" s="1" t="s">
        <v>178</v>
      </c>
      <c r="H18" s="1" t="s">
        <v>179</v>
      </c>
      <c r="I18" s="1">
        <v>18373.6821</v>
      </c>
    </row>
    <row r="19" spans="2:9" ht="12.75">
      <c r="B19" s="1" t="s">
        <v>65</v>
      </c>
      <c r="C19" s="1" t="s">
        <v>66</v>
      </c>
      <c r="D19" s="1" t="s">
        <v>180</v>
      </c>
      <c r="E19" s="1" t="s">
        <v>176</v>
      </c>
      <c r="F19" s="1" t="s">
        <v>181</v>
      </c>
      <c r="G19" s="1" t="s">
        <v>177</v>
      </c>
      <c r="H19" s="1" t="s">
        <v>178</v>
      </c>
      <c r="I19" s="1">
        <v>16.8542</v>
      </c>
    </row>
    <row r="20" spans="2:10" ht="12.75">
      <c r="B20" s="1" t="s">
        <v>182</v>
      </c>
      <c r="C20" s="1" t="s">
        <v>56</v>
      </c>
      <c r="D20" s="1" t="s">
        <v>66</v>
      </c>
      <c r="E20" s="1" t="s">
        <v>183</v>
      </c>
      <c r="F20" s="1">
        <v>1641.705</v>
      </c>
      <c r="G20" s="1" t="s">
        <v>184</v>
      </c>
      <c r="H20" s="1" t="s">
        <v>174</v>
      </c>
      <c r="I20" s="1" t="s">
        <v>185</v>
      </c>
      <c r="J20" s="1">
        <v>0</v>
      </c>
    </row>
    <row r="21" spans="2:10" ht="12.75">
      <c r="B21" s="1" t="s">
        <v>182</v>
      </c>
      <c r="C21" s="1" t="s">
        <v>56</v>
      </c>
      <c r="D21" s="1" t="s">
        <v>186</v>
      </c>
      <c r="E21" s="1" t="s">
        <v>187</v>
      </c>
      <c r="F21" s="1">
        <v>0</v>
      </c>
      <c r="G21" s="1" t="s">
        <v>188</v>
      </c>
      <c r="H21" s="1" t="s">
        <v>178</v>
      </c>
      <c r="I21" s="1" t="s">
        <v>189</v>
      </c>
      <c r="J21" s="1">
        <v>888.262</v>
      </c>
    </row>
    <row r="22" spans="2:9" ht="12.75">
      <c r="B22" s="1" t="s">
        <v>190</v>
      </c>
      <c r="C22" s="1" t="s">
        <v>56</v>
      </c>
      <c r="D22" s="1" t="s">
        <v>66</v>
      </c>
      <c r="E22" s="1" t="s">
        <v>191</v>
      </c>
      <c r="F22" s="1">
        <v>-4.989</v>
      </c>
      <c r="G22" s="1" t="s">
        <v>192</v>
      </c>
      <c r="H22" s="1" t="s">
        <v>193</v>
      </c>
      <c r="I22" s="1">
        <v>5.5959</v>
      </c>
    </row>
    <row r="23" spans="2:10" ht="12.75">
      <c r="B23" s="1" t="s">
        <v>190</v>
      </c>
      <c r="C23" s="1" t="s">
        <v>56</v>
      </c>
      <c r="D23" s="1" t="s">
        <v>186</v>
      </c>
      <c r="E23" s="1" t="s">
        <v>194</v>
      </c>
      <c r="F23" s="1">
        <v>0.0167</v>
      </c>
      <c r="G23" s="1" t="s">
        <v>195</v>
      </c>
      <c r="H23" s="1" t="s">
        <v>184</v>
      </c>
      <c r="I23" s="1" t="s">
        <v>196</v>
      </c>
      <c r="J23" s="1">
        <v>5.2315</v>
      </c>
    </row>
    <row r="24" spans="2:9" ht="12.75">
      <c r="B24" s="1" t="s">
        <v>197</v>
      </c>
      <c r="C24" s="1" t="s">
        <v>70</v>
      </c>
      <c r="D24" s="1" t="s">
        <v>198</v>
      </c>
      <c r="E24" s="1">
        <v>1641.705</v>
      </c>
      <c r="F24" s="1" t="s">
        <v>199</v>
      </c>
      <c r="G24" s="1" t="s">
        <v>70</v>
      </c>
      <c r="H24" s="1" t="s">
        <v>198</v>
      </c>
      <c r="I24" s="1">
        <v>71.0444</v>
      </c>
    </row>
    <row r="25" spans="2:9" ht="12.75">
      <c r="B25" s="1" t="s">
        <v>197</v>
      </c>
      <c r="C25" s="1" t="s">
        <v>70</v>
      </c>
      <c r="D25" s="1" t="s">
        <v>200</v>
      </c>
      <c r="E25" s="1">
        <v>17150.7042</v>
      </c>
      <c r="F25" s="1" t="s">
        <v>199</v>
      </c>
      <c r="G25" s="1" t="s">
        <v>70</v>
      </c>
      <c r="H25" s="1" t="s">
        <v>200</v>
      </c>
      <c r="I25" s="1">
        <v>-778.2622</v>
      </c>
    </row>
    <row r="27" spans="2:5" ht="12.75">
      <c r="B27" s="1" t="s">
        <v>201</v>
      </c>
      <c r="C27" s="1" t="s">
        <v>66</v>
      </c>
      <c r="D27" s="1" t="s">
        <v>202</v>
      </c>
      <c r="E27" s="1" t="s">
        <v>176</v>
      </c>
    </row>
    <row r="28" spans="2:11" ht="12.75">
      <c r="B28" s="1" t="s">
        <v>203</v>
      </c>
      <c r="C28" s="1" t="s">
        <v>56</v>
      </c>
      <c r="D28" s="1" t="s">
        <v>66</v>
      </c>
      <c r="E28" s="1" t="s">
        <v>204</v>
      </c>
      <c r="F28" s="1">
        <v>1641.705</v>
      </c>
      <c r="G28" s="1" t="s">
        <v>205</v>
      </c>
      <c r="H28" s="1" t="s">
        <v>56</v>
      </c>
      <c r="I28" s="1" t="s">
        <v>206</v>
      </c>
      <c r="J28" s="1" t="s">
        <v>207</v>
      </c>
      <c r="K28" s="1">
        <v>-4.989</v>
      </c>
    </row>
    <row r="29" spans="2:10" ht="12.75">
      <c r="B29" s="1" t="s">
        <v>203</v>
      </c>
      <c r="C29" s="1" t="s">
        <v>56</v>
      </c>
      <c r="D29" s="1" t="s">
        <v>186</v>
      </c>
      <c r="E29" s="1" t="s">
        <v>208</v>
      </c>
      <c r="F29" s="1">
        <v>0</v>
      </c>
      <c r="G29" s="1" t="s">
        <v>205</v>
      </c>
      <c r="H29" s="1" t="s">
        <v>56</v>
      </c>
      <c r="I29" s="1" t="s">
        <v>209</v>
      </c>
      <c r="J29" s="1">
        <v>0.0167</v>
      </c>
    </row>
    <row r="31" spans="2:8" ht="12.75">
      <c r="B31" s="1" t="s">
        <v>210</v>
      </c>
      <c r="C31" s="1" t="s">
        <v>211</v>
      </c>
      <c r="D31" s="1">
        <v>200</v>
      </c>
      <c r="E31" s="1">
        <v>400</v>
      </c>
      <c r="F31" s="1">
        <v>600</v>
      </c>
      <c r="G31" s="1">
        <v>250</v>
      </c>
      <c r="H31" s="1">
        <v>0.6328</v>
      </c>
    </row>
    <row r="32" spans="2:7" ht="12.75">
      <c r="B32" s="1" t="s">
        <v>212</v>
      </c>
      <c r="C32" s="1">
        <v>1</v>
      </c>
      <c r="D32" s="1">
        <v>1</v>
      </c>
      <c r="E32" s="1">
        <v>1</v>
      </c>
      <c r="F32" s="1">
        <v>1</v>
      </c>
      <c r="G32" s="1">
        <v>1</v>
      </c>
    </row>
    <row r="33" spans="2:8" ht="12.75">
      <c r="B33" s="1" t="s">
        <v>74</v>
      </c>
      <c r="C33" s="1" t="s">
        <v>213</v>
      </c>
      <c r="D33" s="1">
        <v>2</v>
      </c>
      <c r="E33" s="1">
        <v>1</v>
      </c>
      <c r="F33" s="1">
        <v>3</v>
      </c>
      <c r="G33" s="1">
        <v>4</v>
      </c>
      <c r="H33" s="1">
        <v>5</v>
      </c>
    </row>
    <row r="34" spans="2:3" ht="12.75">
      <c r="B34" s="1" t="s">
        <v>214</v>
      </c>
      <c r="C34" s="1" t="s">
        <v>215</v>
      </c>
    </row>
    <row r="35" spans="2:8" ht="12.75">
      <c r="B35" s="1" t="s">
        <v>216</v>
      </c>
      <c r="C35" s="1" t="s">
        <v>217</v>
      </c>
      <c r="D35" s="1" t="s">
        <v>62</v>
      </c>
      <c r="E35" s="1" t="s">
        <v>218</v>
      </c>
      <c r="F35" s="1">
        <v>7</v>
      </c>
      <c r="G35" s="1" t="s">
        <v>198</v>
      </c>
      <c r="H35" s="1">
        <v>155.19112</v>
      </c>
    </row>
    <row r="36" spans="2:5" ht="12.75">
      <c r="B36" s="1" t="s">
        <v>219</v>
      </c>
      <c r="C36" s="1" t="s">
        <v>70</v>
      </c>
      <c r="D36" s="1" t="s">
        <v>220</v>
      </c>
      <c r="E36" s="1" t="s">
        <v>221</v>
      </c>
    </row>
    <row r="37" spans="2:4" ht="12.75">
      <c r="B37" s="1" t="s">
        <v>177</v>
      </c>
      <c r="C37" s="1" t="s">
        <v>222</v>
      </c>
      <c r="D37" s="1" t="s">
        <v>221</v>
      </c>
    </row>
    <row r="38" spans="2:3" ht="12.75">
      <c r="B38" s="1" t="s">
        <v>223</v>
      </c>
      <c r="C38" s="4">
        <v>-1.8E-08</v>
      </c>
    </row>
    <row r="39" spans="2:4" ht="12.75">
      <c r="B39" s="1" t="s">
        <v>53</v>
      </c>
      <c r="C39" s="1" t="s">
        <v>220</v>
      </c>
      <c r="D39" s="1" t="s">
        <v>221</v>
      </c>
    </row>
    <row r="40" spans="2:5" ht="12.75">
      <c r="B40" s="1" t="s">
        <v>224</v>
      </c>
      <c r="C40" s="1" t="s">
        <v>220</v>
      </c>
      <c r="D40" s="1" t="s">
        <v>225</v>
      </c>
      <c r="E40" s="1" t="s">
        <v>226</v>
      </c>
    </row>
    <row r="41" spans="2:6" ht="12.75">
      <c r="B41" s="1" t="s">
        <v>227</v>
      </c>
      <c r="C41" s="1" t="s">
        <v>228</v>
      </c>
      <c r="D41" s="1" t="s">
        <v>229</v>
      </c>
      <c r="E41" s="1" t="s">
        <v>230</v>
      </c>
      <c r="F41" s="1" t="s">
        <v>231</v>
      </c>
    </row>
    <row r="43" spans="2:3" ht="12.75">
      <c r="B43" s="1" t="s">
        <v>62</v>
      </c>
      <c r="C43" s="1" t="s">
        <v>57</v>
      </c>
    </row>
    <row r="44" ht="12.75">
      <c r="B44" s="1" t="s">
        <v>173</v>
      </c>
    </row>
    <row r="45" spans="2:7" ht="12.75">
      <c r="B45" s="1" t="s">
        <v>51</v>
      </c>
      <c r="C45" s="1" t="s">
        <v>232</v>
      </c>
      <c r="D45" s="1" t="s">
        <v>233</v>
      </c>
      <c r="E45" s="1" t="s">
        <v>234</v>
      </c>
      <c r="F45" s="1" t="s">
        <v>235</v>
      </c>
      <c r="G45" s="1" t="s">
        <v>236</v>
      </c>
    </row>
    <row r="46" ht="12.75">
      <c r="B46" s="1" t="s">
        <v>173</v>
      </c>
    </row>
    <row r="47" spans="2:5" ht="12.75">
      <c r="B47" s="1">
        <v>0</v>
      </c>
      <c r="C47" s="1" t="s">
        <v>176</v>
      </c>
      <c r="D47" s="1" t="s">
        <v>176</v>
      </c>
      <c r="E47" s="1" t="s">
        <v>237</v>
      </c>
    </row>
    <row r="48" spans="2:5" ht="12.75">
      <c r="B48" s="1">
        <v>1</v>
      </c>
      <c r="C48" s="1" t="s">
        <v>176</v>
      </c>
      <c r="D48" s="1">
        <v>17771.1</v>
      </c>
      <c r="E48" s="1" t="s">
        <v>237</v>
      </c>
    </row>
    <row r="49" spans="2:5" ht="12.75">
      <c r="B49" s="1" t="s">
        <v>238</v>
      </c>
      <c r="C49" s="1" t="s">
        <v>176</v>
      </c>
      <c r="D49" s="1">
        <v>0</v>
      </c>
      <c r="E49" s="1" t="s">
        <v>237</v>
      </c>
    </row>
    <row r="50" spans="2:5" ht="12.75">
      <c r="B50" s="1">
        <v>3</v>
      </c>
      <c r="C50" s="1" t="s">
        <v>176</v>
      </c>
      <c r="D50" s="1">
        <v>-17771.1</v>
      </c>
      <c r="E50" s="1" t="s">
        <v>237</v>
      </c>
    </row>
    <row r="51" spans="2:5" ht="12.75">
      <c r="B51" s="1">
        <v>4</v>
      </c>
      <c r="C51" s="1" t="s">
        <v>176</v>
      </c>
      <c r="D51" s="1">
        <v>-2000</v>
      </c>
      <c r="E51" s="1" t="s">
        <v>237</v>
      </c>
    </row>
    <row r="52" spans="2:5" ht="12.75">
      <c r="B52" s="1">
        <v>5</v>
      </c>
      <c r="C52" s="1" t="s">
        <v>176</v>
      </c>
      <c r="D52" s="1" t="s">
        <v>239</v>
      </c>
      <c r="E52" s="1" t="s">
        <v>237</v>
      </c>
    </row>
    <row r="53" spans="2:6" ht="12.75">
      <c r="B53" s="1">
        <v>6</v>
      </c>
      <c r="C53" s="1">
        <v>-3500</v>
      </c>
      <c r="D53" s="1" t="s">
        <v>240</v>
      </c>
      <c r="E53" s="1">
        <v>-1587.969</v>
      </c>
      <c r="F53" s="1" t="e">
        <v>#NAME?</v>
      </c>
    </row>
    <row r="54" spans="2:6" ht="12.75">
      <c r="B54" s="1" t="s">
        <v>241</v>
      </c>
      <c r="C54" s="1">
        <v>-345.264</v>
      </c>
      <c r="D54" s="1" t="s">
        <v>240</v>
      </c>
      <c r="E54" s="1" t="s">
        <v>242</v>
      </c>
      <c r="F54" s="1" t="s">
        <v>237</v>
      </c>
    </row>
    <row r="55" spans="2:5" ht="12.75">
      <c r="B55" s="1">
        <v>8</v>
      </c>
      <c r="C55" s="1" t="s">
        <v>176</v>
      </c>
      <c r="D55" s="1">
        <v>1050.162</v>
      </c>
      <c r="E55" s="1" t="s">
        <v>237</v>
      </c>
    </row>
    <row r="56" spans="2:5" ht="12.75">
      <c r="B56" s="1">
        <v>9</v>
      </c>
      <c r="C56" s="1">
        <v>-167.171</v>
      </c>
      <c r="D56" s="1">
        <v>0</v>
      </c>
      <c r="E56" s="1" t="s">
        <v>237</v>
      </c>
    </row>
    <row r="57" spans="2:5" ht="12.75">
      <c r="B57" s="1" t="s">
        <v>243</v>
      </c>
      <c r="C57" s="1" t="s">
        <v>176</v>
      </c>
      <c r="D57" s="1">
        <v>70.9</v>
      </c>
      <c r="E57" s="1" t="s">
        <v>237</v>
      </c>
    </row>
    <row r="58" spans="2:6" ht="12.75">
      <c r="B58" s="1" t="s">
        <v>244</v>
      </c>
      <c r="C58" s="1">
        <v>-365.963</v>
      </c>
      <c r="D58" s="1" t="s">
        <v>240</v>
      </c>
      <c r="E58" s="1">
        <v>0</v>
      </c>
      <c r="F58" s="1" t="e">
        <v>#NAME?</v>
      </c>
    </row>
    <row r="59" spans="2:5" ht="12.75">
      <c r="B59" s="1" t="s">
        <v>245</v>
      </c>
      <c r="C59" s="1" t="s">
        <v>176</v>
      </c>
      <c r="D59" s="1">
        <v>-213.5</v>
      </c>
      <c r="E59" s="1" t="e">
        <v>#NAME?</v>
      </c>
    </row>
    <row r="60" spans="2:5" ht="12.75">
      <c r="B60" s="1" t="s">
        <v>246</v>
      </c>
      <c r="C60" s="1" t="s">
        <v>176</v>
      </c>
      <c r="D60" s="1">
        <v>0</v>
      </c>
      <c r="E60" s="1" t="e">
        <v>#NAME?</v>
      </c>
    </row>
    <row r="61" spans="2:5" ht="12.75">
      <c r="B61" s="1">
        <v>14</v>
      </c>
      <c r="C61" s="1" t="s">
        <v>176</v>
      </c>
      <c r="D61" s="1" t="s">
        <v>247</v>
      </c>
      <c r="E61" s="1" t="s">
        <v>237</v>
      </c>
    </row>
    <row r="62" spans="2:5" ht="12.75">
      <c r="B62" s="1">
        <v>15</v>
      </c>
      <c r="C62" s="1" t="s">
        <v>176</v>
      </c>
      <c r="D62" s="1">
        <v>0</v>
      </c>
      <c r="E62" s="1" t="s">
        <v>237</v>
      </c>
    </row>
    <row r="63" spans="2:5" ht="12.75">
      <c r="B63" s="1" t="s">
        <v>248</v>
      </c>
      <c r="C63" s="1" t="s">
        <v>176</v>
      </c>
      <c r="D63" s="1">
        <v>197.4</v>
      </c>
      <c r="E63" s="1" t="s">
        <v>237</v>
      </c>
    </row>
    <row r="64" spans="2:6" ht="12.75">
      <c r="B64" s="1" t="s">
        <v>249</v>
      </c>
      <c r="C64" s="1">
        <v>-294.638</v>
      </c>
      <c r="D64" s="1" t="s">
        <v>240</v>
      </c>
      <c r="E64" s="1">
        <v>0</v>
      </c>
      <c r="F64" s="1" t="e">
        <v>#NAME?</v>
      </c>
    </row>
    <row r="65" spans="2:5" ht="12.75">
      <c r="B65" s="1" t="s">
        <v>250</v>
      </c>
      <c r="C65" s="1" t="s">
        <v>176</v>
      </c>
      <c r="D65" s="1">
        <v>-193.6</v>
      </c>
      <c r="E65" s="1" t="e">
        <v>#NAME?</v>
      </c>
    </row>
    <row r="66" spans="2:5" ht="12.75">
      <c r="B66" s="1" t="s">
        <v>251</v>
      </c>
      <c r="C66" s="1" t="s">
        <v>176</v>
      </c>
      <c r="D66" s="1">
        <v>0</v>
      </c>
      <c r="E66" s="1" t="e">
        <v>#NAME?</v>
      </c>
    </row>
    <row r="67" spans="2:6" ht="12.75">
      <c r="B67" s="1" t="s">
        <v>252</v>
      </c>
      <c r="C67" s="1">
        <v>-307.49</v>
      </c>
      <c r="D67" s="1" t="s">
        <v>240</v>
      </c>
      <c r="E67" s="1">
        <v>0</v>
      </c>
      <c r="F67" s="1" t="s">
        <v>237</v>
      </c>
    </row>
    <row r="68" spans="2:5" ht="12.75">
      <c r="B68" s="1" t="s">
        <v>253</v>
      </c>
      <c r="C68" s="1" t="s">
        <v>176</v>
      </c>
      <c r="D68" s="1">
        <v>202.9</v>
      </c>
      <c r="E68" s="1" t="s">
        <v>237</v>
      </c>
    </row>
    <row r="69" spans="2:5" ht="12.75">
      <c r="B69" s="1" t="s">
        <v>254</v>
      </c>
      <c r="C69" s="1">
        <v>-330.7</v>
      </c>
      <c r="D69" s="1">
        <v>0</v>
      </c>
      <c r="E69" s="1" t="e">
        <v>#NAME?</v>
      </c>
    </row>
    <row r="70" spans="2:5" ht="12.75">
      <c r="B70" s="1" t="s">
        <v>255</v>
      </c>
      <c r="C70" s="1" t="s">
        <v>176</v>
      </c>
      <c r="D70" s="1">
        <v>-188</v>
      </c>
      <c r="E70" s="1" t="e">
        <v>#NAME?</v>
      </c>
    </row>
    <row r="71" spans="2:5" ht="12.75">
      <c r="B71" s="1" t="s">
        <v>256</v>
      </c>
      <c r="C71" s="1">
        <v>-286.651</v>
      </c>
      <c r="D71" s="1">
        <v>0</v>
      </c>
      <c r="E71" s="1" t="s">
        <v>237</v>
      </c>
    </row>
    <row r="72" spans="2:5" ht="12.75">
      <c r="B72" s="1" t="s">
        <v>257</v>
      </c>
      <c r="C72" s="1" t="s">
        <v>176</v>
      </c>
      <c r="D72" s="1">
        <v>70</v>
      </c>
      <c r="E72" s="1" t="s">
        <v>237</v>
      </c>
    </row>
    <row r="73" spans="2:5" ht="12.75">
      <c r="B73" s="1" t="s">
        <v>258</v>
      </c>
      <c r="C73" s="1" t="s">
        <v>176</v>
      </c>
      <c r="D73" s="1">
        <v>130</v>
      </c>
      <c r="E73" s="1" t="s">
        <v>237</v>
      </c>
    </row>
    <row r="74" spans="2:5" ht="12.75">
      <c r="B74" s="1" t="s">
        <v>259</v>
      </c>
      <c r="C74" s="1">
        <v>-350.851</v>
      </c>
      <c r="D74" s="1">
        <v>0</v>
      </c>
      <c r="E74" s="1" t="e">
        <v>#NAME?</v>
      </c>
    </row>
    <row r="75" spans="2:5" ht="12.75">
      <c r="B75" s="1" t="s">
        <v>260</v>
      </c>
      <c r="C75" s="1" t="s">
        <v>176</v>
      </c>
      <c r="D75" s="1">
        <v>-320</v>
      </c>
      <c r="E75" s="1" t="e">
        <v>#NAME?</v>
      </c>
    </row>
    <row r="76" spans="2:5" ht="12.75">
      <c r="B76" s="1" t="s">
        <v>261</v>
      </c>
      <c r="C76" s="1" t="s">
        <v>176</v>
      </c>
      <c r="D76" s="1">
        <v>0</v>
      </c>
      <c r="E76" s="1" t="e">
        <v>#NAME?</v>
      </c>
    </row>
    <row r="77" spans="2:5" ht="12.75">
      <c r="B77" s="1" t="s">
        <v>262</v>
      </c>
      <c r="C77" s="1" t="s">
        <v>176</v>
      </c>
      <c r="D77" s="1">
        <v>185</v>
      </c>
      <c r="E77" s="1" t="e">
        <v>#NAME?</v>
      </c>
    </row>
    <row r="78" spans="2:5" ht="12.75">
      <c r="B78" s="1" t="s">
        <v>263</v>
      </c>
      <c r="C78" s="1" t="s">
        <v>176</v>
      </c>
      <c r="D78" s="1">
        <v>0</v>
      </c>
      <c r="E78" s="1" t="s">
        <v>237</v>
      </c>
    </row>
    <row r="79" spans="2:5" ht="12.75">
      <c r="B79" s="1" t="s">
        <v>264</v>
      </c>
      <c r="C79" s="1" t="s">
        <v>176</v>
      </c>
      <c r="D79" s="1">
        <v>0</v>
      </c>
      <c r="E79" s="1" t="s">
        <v>237</v>
      </c>
    </row>
    <row r="80" spans="2:5" ht="12.75">
      <c r="B80" s="1" t="s">
        <v>265</v>
      </c>
      <c r="C80" s="1" t="s">
        <v>176</v>
      </c>
      <c r="D80" s="1">
        <v>0</v>
      </c>
      <c r="E80" s="1" t="s">
        <v>237</v>
      </c>
    </row>
    <row r="81" spans="2:5" ht="12.75">
      <c r="B81" s="1">
        <v>34</v>
      </c>
      <c r="C81" s="1" t="s">
        <v>176</v>
      </c>
      <c r="D81" s="1">
        <v>0</v>
      </c>
      <c r="E81" s="1" t="s">
        <v>237</v>
      </c>
    </row>
    <row r="82" spans="2:5" ht="12.75">
      <c r="B82" s="1" t="s">
        <v>266</v>
      </c>
      <c r="C82" s="1" t="s">
        <v>176</v>
      </c>
      <c r="D82" s="1">
        <v>135</v>
      </c>
      <c r="E82" s="1" t="s">
        <v>237</v>
      </c>
    </row>
    <row r="83" spans="2:5" ht="12.75">
      <c r="B83" s="1" t="s">
        <v>267</v>
      </c>
      <c r="C83" s="1" t="s">
        <v>176</v>
      </c>
      <c r="D83" s="1">
        <v>0</v>
      </c>
      <c r="E83" s="1" t="e">
        <v>#NAME?</v>
      </c>
    </row>
    <row r="84" spans="2:5" ht="12.75">
      <c r="B84" s="1" t="s">
        <v>268</v>
      </c>
      <c r="C84" s="1" t="s">
        <v>176</v>
      </c>
      <c r="D84" s="1" t="s">
        <v>269</v>
      </c>
      <c r="E84" s="1" t="e">
        <v>#NAME?</v>
      </c>
    </row>
    <row r="85" spans="2:5" ht="12.75">
      <c r="B85" s="1">
        <v>38</v>
      </c>
      <c r="C85" s="1" t="s">
        <v>176</v>
      </c>
      <c r="D85" s="1">
        <v>0</v>
      </c>
      <c r="E85" s="1" t="e">
        <v>#NAME?</v>
      </c>
    </row>
    <row r="86" spans="2:5" ht="12.75">
      <c r="B86" s="1" t="s">
        <v>270</v>
      </c>
      <c r="C86" s="1" t="s">
        <v>176</v>
      </c>
      <c r="D86" s="1">
        <v>0</v>
      </c>
      <c r="E86" s="1" t="e">
        <v>#NAME?</v>
      </c>
    </row>
    <row r="87" spans="2:5" ht="12.75">
      <c r="B87" s="1" t="s">
        <v>271</v>
      </c>
      <c r="C87" s="1" t="s">
        <v>176</v>
      </c>
      <c r="D87" s="1">
        <v>0</v>
      </c>
      <c r="E87" s="1" t="e">
        <v>#NAME?</v>
      </c>
    </row>
    <row r="88" spans="2:5" ht="12.75">
      <c r="B88" s="1">
        <v>41</v>
      </c>
      <c r="C88" s="1" t="s">
        <v>176</v>
      </c>
      <c r="D88" s="1" t="s">
        <v>272</v>
      </c>
      <c r="E88" s="1" t="e">
        <v>#NAME?</v>
      </c>
    </row>
    <row r="89" spans="2:5" ht="12.75">
      <c r="B89" s="1" t="s">
        <v>273</v>
      </c>
      <c r="C89" s="1" t="s">
        <v>176</v>
      </c>
      <c r="D89" s="1">
        <v>0</v>
      </c>
      <c r="E89" s="1" t="s">
        <v>237</v>
      </c>
    </row>
    <row r="90" spans="2:5" ht="12.75">
      <c r="B90" s="1" t="s">
        <v>274</v>
      </c>
      <c r="C90" s="1" t="s">
        <v>176</v>
      </c>
      <c r="D90" s="1" t="s">
        <v>275</v>
      </c>
      <c r="E90" s="1" t="s">
        <v>237</v>
      </c>
    </row>
    <row r="91" spans="2:5" ht="12.75">
      <c r="B91" s="1" t="s">
        <v>276</v>
      </c>
      <c r="C91" s="1" t="s">
        <v>176</v>
      </c>
      <c r="D91" s="1">
        <v>0</v>
      </c>
      <c r="E91" s="1" t="e">
        <v>#NAME?</v>
      </c>
    </row>
    <row r="92" spans="2:5" ht="12.75">
      <c r="B92" s="1" t="s">
        <v>277</v>
      </c>
      <c r="C92" s="1" t="s">
        <v>176</v>
      </c>
      <c r="D92" s="1">
        <v>-100</v>
      </c>
      <c r="E92" s="1" t="e">
        <v>#NAME?</v>
      </c>
    </row>
    <row r="93" spans="2:5" ht="12.75">
      <c r="B93" s="1" t="s">
        <v>278</v>
      </c>
      <c r="C93" s="1" t="s">
        <v>176</v>
      </c>
      <c r="D93" s="1">
        <v>0</v>
      </c>
      <c r="E93" s="1" t="s">
        <v>237</v>
      </c>
    </row>
    <row r="94" spans="2:5" ht="12.75">
      <c r="B94" s="1" t="s">
        <v>279</v>
      </c>
      <c r="C94" s="1" t="s">
        <v>176</v>
      </c>
      <c r="D94" s="1">
        <v>0</v>
      </c>
      <c r="E94" s="1" t="s">
        <v>237</v>
      </c>
    </row>
    <row r="95" spans="2:5" ht="12.75">
      <c r="B95" s="1" t="s">
        <v>280</v>
      </c>
      <c r="C95" s="1" t="s">
        <v>176</v>
      </c>
      <c r="D95" s="1">
        <v>0</v>
      </c>
      <c r="E95" s="1" t="s">
        <v>237</v>
      </c>
    </row>
    <row r="96" spans="2:5" ht="12.75">
      <c r="B96" s="1">
        <v>49</v>
      </c>
      <c r="C96" s="1" t="s">
        <v>176</v>
      </c>
      <c r="D96" s="1">
        <v>0</v>
      </c>
      <c r="E96" s="1" t="s">
        <v>237</v>
      </c>
    </row>
    <row r="97" spans="2:5" ht="12.75">
      <c r="B97" s="1" t="s">
        <v>281</v>
      </c>
      <c r="C97" s="1" t="s">
        <v>176</v>
      </c>
      <c r="D97" s="1" t="s">
        <v>282</v>
      </c>
      <c r="E97" s="1" t="s">
        <v>237</v>
      </c>
    </row>
    <row r="98" spans="2:5" ht="12.75">
      <c r="B98" s="1">
        <v>51</v>
      </c>
      <c r="C98" s="1" t="s">
        <v>176</v>
      </c>
      <c r="D98" s="1">
        <v>0</v>
      </c>
      <c r="E98" s="1" t="s">
        <v>237</v>
      </c>
    </row>
    <row r="99" spans="2:5" ht="12.75">
      <c r="B99" s="1" t="s">
        <v>283</v>
      </c>
      <c r="C99" s="1" t="s">
        <v>176</v>
      </c>
      <c r="D99" s="1">
        <v>0</v>
      </c>
      <c r="E99" s="1" t="s">
        <v>237</v>
      </c>
    </row>
    <row r="100" spans="2:5" ht="12.75">
      <c r="B100" s="1" t="s">
        <v>284</v>
      </c>
      <c r="C100" s="1" t="s">
        <v>176</v>
      </c>
      <c r="D100" s="1">
        <v>0</v>
      </c>
      <c r="E100" s="1" t="s">
        <v>237</v>
      </c>
    </row>
    <row r="101" spans="2:5" ht="12.75">
      <c r="B101" s="1">
        <v>54</v>
      </c>
      <c r="C101" s="1" t="s">
        <v>176</v>
      </c>
      <c r="D101" s="1" t="s">
        <v>285</v>
      </c>
      <c r="E101" s="1" t="s">
        <v>237</v>
      </c>
    </row>
    <row r="102" spans="2:5" ht="12.75">
      <c r="B102" s="1" t="s">
        <v>286</v>
      </c>
      <c r="C102" s="1" t="s">
        <v>176</v>
      </c>
      <c r="D102" s="1">
        <v>0</v>
      </c>
      <c r="E102" s="1" t="e">
        <v>#NAME?</v>
      </c>
    </row>
    <row r="103" spans="2:5" ht="12.75">
      <c r="B103" s="1" t="s">
        <v>287</v>
      </c>
      <c r="C103" s="1" t="s">
        <v>176</v>
      </c>
      <c r="D103" s="1">
        <v>-44</v>
      </c>
      <c r="E103" s="1" t="e">
        <v>#NAME?</v>
      </c>
    </row>
    <row r="104" spans="2:5" ht="12.75">
      <c r="B104" s="1" t="s">
        <v>288</v>
      </c>
      <c r="C104" s="1" t="s">
        <v>176</v>
      </c>
      <c r="D104" s="1">
        <v>0</v>
      </c>
      <c r="E104" s="1" t="s">
        <v>237</v>
      </c>
    </row>
    <row r="105" spans="2:5" ht="12.75">
      <c r="B105" s="1" t="s">
        <v>289</v>
      </c>
      <c r="C105" s="1" t="s">
        <v>176</v>
      </c>
      <c r="D105" s="1" t="s">
        <v>290</v>
      </c>
      <c r="E105" s="1" t="s">
        <v>237</v>
      </c>
    </row>
    <row r="106" spans="2:5" ht="12.75">
      <c r="B106" s="1">
        <v>59</v>
      </c>
      <c r="C106" s="1" t="s">
        <v>176</v>
      </c>
      <c r="D106" s="1">
        <v>0</v>
      </c>
      <c r="E106" s="1" t="s">
        <v>237</v>
      </c>
    </row>
    <row r="107" spans="2:5" ht="12.75">
      <c r="B107" s="1" t="s">
        <v>291</v>
      </c>
      <c r="C107" s="1" t="s">
        <v>176</v>
      </c>
      <c r="D107" s="1">
        <v>0</v>
      </c>
      <c r="E107" s="1" t="s">
        <v>237</v>
      </c>
    </row>
    <row r="108" spans="2:5" ht="12.75">
      <c r="B108" s="1" t="s">
        <v>292</v>
      </c>
      <c r="C108" s="1" t="s">
        <v>176</v>
      </c>
      <c r="D108" s="1">
        <v>0</v>
      </c>
      <c r="E108" s="1" t="s">
        <v>237</v>
      </c>
    </row>
    <row r="109" spans="2:5" ht="12.75">
      <c r="B109" s="1">
        <v>62</v>
      </c>
      <c r="C109" s="1" t="s">
        <v>176</v>
      </c>
      <c r="D109" s="1">
        <v>0</v>
      </c>
      <c r="E109" s="1" t="s">
        <v>237</v>
      </c>
    </row>
    <row r="110" spans="2:3" ht="12.75">
      <c r="B110" s="1" t="s">
        <v>293</v>
      </c>
      <c r="C110" s="1" t="s">
        <v>176</v>
      </c>
    </row>
    <row r="112" spans="2:4" ht="12.75">
      <c r="B112" s="1" t="s">
        <v>294</v>
      </c>
      <c r="C112" s="1" t="s">
        <v>295</v>
      </c>
      <c r="D112" s="1" t="s">
        <v>296</v>
      </c>
    </row>
    <row r="113" ht="12.75">
      <c r="B113" s="1" t="s">
        <v>297</v>
      </c>
    </row>
    <row r="114" spans="2:11" ht="12.75">
      <c r="B114" s="1" t="s">
        <v>298</v>
      </c>
      <c r="C114" s="1" t="s">
        <v>62</v>
      </c>
      <c r="D114" s="1" t="s">
        <v>299</v>
      </c>
      <c r="E114" s="1" t="s">
        <v>300</v>
      </c>
      <c r="F114" s="1" t="s">
        <v>228</v>
      </c>
      <c r="G114" s="1" t="s">
        <v>301</v>
      </c>
      <c r="H114" s="1" t="s">
        <v>302</v>
      </c>
      <c r="I114" s="1" t="s">
        <v>303</v>
      </c>
      <c r="J114" s="1" t="s">
        <v>221</v>
      </c>
      <c r="K114" s="1" t="s">
        <v>62</v>
      </c>
    </row>
    <row r="115" spans="2:13" ht="12.75">
      <c r="B115" s="1" t="s">
        <v>304</v>
      </c>
      <c r="C115" s="1" t="s">
        <v>62</v>
      </c>
      <c r="D115" s="1" t="s">
        <v>305</v>
      </c>
      <c r="E115" s="1" t="s">
        <v>58</v>
      </c>
      <c r="F115" s="1" t="s">
        <v>53</v>
      </c>
      <c r="G115" s="1" t="s">
        <v>306</v>
      </c>
      <c r="H115" s="1" t="s">
        <v>307</v>
      </c>
      <c r="I115" s="1" t="s">
        <v>62</v>
      </c>
      <c r="J115" s="1" t="s">
        <v>305</v>
      </c>
      <c r="K115" s="1" t="s">
        <v>58</v>
      </c>
      <c r="L115" s="1" t="s">
        <v>308</v>
      </c>
      <c r="M115" s="1" t="s">
        <v>306</v>
      </c>
    </row>
    <row r="116" spans="2:11" ht="12.75">
      <c r="B116" s="1" t="s">
        <v>240</v>
      </c>
      <c r="C116" s="1" t="s">
        <v>309</v>
      </c>
      <c r="D116" s="1" t="s">
        <v>62</v>
      </c>
      <c r="E116" s="1" t="s">
        <v>310</v>
      </c>
      <c r="F116" s="1" t="s">
        <v>311</v>
      </c>
      <c r="G116" s="1" t="s">
        <v>312</v>
      </c>
      <c r="H116" s="1" t="s">
        <v>305</v>
      </c>
      <c r="I116" s="1" t="s">
        <v>313</v>
      </c>
      <c r="J116" s="1" t="s">
        <v>295</v>
      </c>
      <c r="K116" s="1" t="s">
        <v>314</v>
      </c>
    </row>
    <row r="117" spans="2:7" ht="12.75">
      <c r="B117" s="1" t="s">
        <v>315</v>
      </c>
      <c r="C117" s="1" t="s">
        <v>312</v>
      </c>
      <c r="D117" s="1" t="s">
        <v>305</v>
      </c>
      <c r="E117" s="1" t="s">
        <v>313</v>
      </c>
      <c r="F117" s="1" t="s">
        <v>295</v>
      </c>
      <c r="G117" s="1" t="s">
        <v>316</v>
      </c>
    </row>
    <row r="119" spans="2:4" ht="12.75">
      <c r="B119" s="1" t="s">
        <v>309</v>
      </c>
      <c r="C119" s="1" t="s">
        <v>62</v>
      </c>
      <c r="D119" s="1" t="s">
        <v>57</v>
      </c>
    </row>
    <row r="120" ht="12.75">
      <c r="B120" s="1" t="s">
        <v>173</v>
      </c>
    </row>
    <row r="121" spans="2:7" ht="12.75">
      <c r="B121" s="1" t="s">
        <v>62</v>
      </c>
      <c r="C121" s="1" t="s">
        <v>63</v>
      </c>
      <c r="D121" s="1">
        <v>6</v>
      </c>
      <c r="E121" s="1" t="s">
        <v>317</v>
      </c>
      <c r="F121" s="1" t="s">
        <v>318</v>
      </c>
      <c r="G121" s="1" t="s">
        <v>62</v>
      </c>
    </row>
    <row r="122" spans="2:5" ht="12.75">
      <c r="B122" s="1" t="s">
        <v>318</v>
      </c>
      <c r="C122" s="1" t="s">
        <v>319</v>
      </c>
      <c r="D122" s="1" t="s">
        <v>320</v>
      </c>
      <c r="E122" s="1">
        <v>-1.00129</v>
      </c>
    </row>
    <row r="123" spans="2:9" ht="12.75">
      <c r="B123" s="1" t="s">
        <v>321</v>
      </c>
      <c r="C123" s="1" t="s">
        <v>322</v>
      </c>
      <c r="D123" s="1" t="s">
        <v>323</v>
      </c>
      <c r="E123" s="4">
        <v>2710000</v>
      </c>
      <c r="F123" s="1" t="s">
        <v>324</v>
      </c>
      <c r="G123" s="1" t="s">
        <v>322</v>
      </c>
      <c r="H123" s="1" t="s">
        <v>325</v>
      </c>
      <c r="I123" s="1">
        <v>-97448.0619</v>
      </c>
    </row>
    <row r="125" ht="12.75">
      <c r="B125" s="1" t="s">
        <v>326</v>
      </c>
    </row>
    <row r="126" spans="2:7" ht="12.75">
      <c r="B126" s="1" t="s">
        <v>62</v>
      </c>
      <c r="C126" s="1" t="s">
        <v>63</v>
      </c>
      <c r="D126" s="1">
        <v>7</v>
      </c>
      <c r="E126" s="1" t="s">
        <v>317</v>
      </c>
      <c r="F126" s="1" t="s">
        <v>318</v>
      </c>
      <c r="G126" s="1" t="s">
        <v>62</v>
      </c>
    </row>
    <row r="127" spans="2:5" ht="12.75">
      <c r="B127" s="1" t="s">
        <v>318</v>
      </c>
      <c r="C127" s="1" t="s">
        <v>319</v>
      </c>
      <c r="D127" s="1" t="s">
        <v>320</v>
      </c>
      <c r="E127" s="1">
        <v>-1.296</v>
      </c>
    </row>
    <row r="128" spans="2:9" ht="12.75">
      <c r="B128" s="1" t="s">
        <v>321</v>
      </c>
      <c r="C128" s="1" t="s">
        <v>322</v>
      </c>
      <c r="D128" s="1" t="s">
        <v>323</v>
      </c>
      <c r="E128" s="1">
        <v>1166.432433</v>
      </c>
      <c r="F128" s="1" t="s">
        <v>324</v>
      </c>
      <c r="G128" s="1" t="s">
        <v>322</v>
      </c>
      <c r="H128" s="1" t="s">
        <v>325</v>
      </c>
      <c r="I128" s="1">
        <v>-634.607853</v>
      </c>
    </row>
    <row r="130" ht="12.75">
      <c r="B130" s="1" t="s">
        <v>326</v>
      </c>
    </row>
    <row r="131" spans="2:7" ht="12.75">
      <c r="B131" s="1" t="s">
        <v>62</v>
      </c>
      <c r="C131" s="1" t="s">
        <v>63</v>
      </c>
      <c r="D131" s="1">
        <v>11</v>
      </c>
      <c r="E131" s="1" t="s">
        <v>317</v>
      </c>
      <c r="F131" s="1" t="s">
        <v>318</v>
      </c>
      <c r="G131" s="1" t="s">
        <v>62</v>
      </c>
    </row>
    <row r="132" spans="2:5" ht="12.75">
      <c r="B132" s="1" t="s">
        <v>318</v>
      </c>
      <c r="C132" s="1" t="s">
        <v>319</v>
      </c>
      <c r="D132" s="1" t="s">
        <v>320</v>
      </c>
      <c r="E132" s="1">
        <v>-0.5095</v>
      </c>
    </row>
    <row r="133" spans="2:9" ht="12.75">
      <c r="B133" s="1" t="s">
        <v>321</v>
      </c>
      <c r="C133" s="1" t="s">
        <v>322</v>
      </c>
      <c r="D133" s="1" t="s">
        <v>323</v>
      </c>
      <c r="E133" s="1">
        <v>-746.101937</v>
      </c>
      <c r="F133" s="1" t="s">
        <v>324</v>
      </c>
      <c r="G133" s="1" t="s">
        <v>322</v>
      </c>
      <c r="H133" s="1" t="s">
        <v>325</v>
      </c>
      <c r="I133" s="1">
        <v>522.537753</v>
      </c>
    </row>
    <row r="135" ht="12.75">
      <c r="B135" s="1" t="s">
        <v>326</v>
      </c>
    </row>
    <row r="136" spans="2:7" ht="12.75">
      <c r="B136" s="1" t="s">
        <v>62</v>
      </c>
      <c r="C136" s="1" t="s">
        <v>63</v>
      </c>
      <c r="D136" s="1">
        <v>17</v>
      </c>
      <c r="E136" s="1" t="s">
        <v>317</v>
      </c>
      <c r="F136" s="1" t="s">
        <v>327</v>
      </c>
      <c r="G136" s="1" t="s">
        <v>62</v>
      </c>
    </row>
    <row r="137" spans="2:3" ht="12.75">
      <c r="B137" s="1" t="s">
        <v>328</v>
      </c>
      <c r="C137" s="1">
        <v>-278.418</v>
      </c>
    </row>
    <row r="139" ht="12.75">
      <c r="B139" s="1" t="s">
        <v>326</v>
      </c>
    </row>
    <row r="140" spans="2:7" ht="12.75">
      <c r="B140" s="1" t="s">
        <v>62</v>
      </c>
      <c r="C140" s="1" t="s">
        <v>63</v>
      </c>
      <c r="D140" s="1">
        <v>20</v>
      </c>
      <c r="E140" s="1" t="s">
        <v>317</v>
      </c>
      <c r="F140" s="1" t="s">
        <v>327</v>
      </c>
      <c r="G140" s="1" t="s">
        <v>62</v>
      </c>
    </row>
    <row r="141" spans="2:3" ht="12.75">
      <c r="B141" s="1" t="s">
        <v>328</v>
      </c>
      <c r="C141" s="1">
        <v>-359.42</v>
      </c>
    </row>
    <row r="144" spans="2:5" ht="12.75">
      <c r="B144" s="1" t="s">
        <v>329</v>
      </c>
      <c r="C144" s="1" t="s">
        <v>228</v>
      </c>
      <c r="D144" s="1" t="s">
        <v>330</v>
      </c>
      <c r="E144" s="1" t="s">
        <v>57</v>
      </c>
    </row>
    <row r="145" spans="2:3" ht="12.75">
      <c r="B145" s="1" t="s">
        <v>331</v>
      </c>
      <c r="C145" s="1" t="s">
        <v>306</v>
      </c>
    </row>
    <row r="146" ht="12.75">
      <c r="B146" s="1" t="s">
        <v>332</v>
      </c>
    </row>
    <row r="147" spans="2:9" ht="12.75">
      <c r="B147" s="1" t="s">
        <v>51</v>
      </c>
      <c r="C147" s="1" t="s">
        <v>310</v>
      </c>
      <c r="D147" s="1" t="s">
        <v>17</v>
      </c>
      <c r="E147" s="1" t="s">
        <v>81</v>
      </c>
      <c r="F147" s="1" t="s">
        <v>82</v>
      </c>
      <c r="G147" s="1" t="s">
        <v>333</v>
      </c>
      <c r="H147" s="1" t="s">
        <v>334</v>
      </c>
      <c r="I147" s="1" t="s">
        <v>335</v>
      </c>
    </row>
    <row r="148" ht="12.75">
      <c r="B148" s="1" t="s">
        <v>332</v>
      </c>
    </row>
    <row r="149" spans="2:9" ht="12.75">
      <c r="B149" s="1">
        <v>2</v>
      </c>
      <c r="C149" s="1" t="s">
        <v>336</v>
      </c>
      <c r="D149" s="1">
        <v>0</v>
      </c>
      <c r="E149" s="1">
        <v>0</v>
      </c>
      <c r="F149" s="1">
        <v>0</v>
      </c>
      <c r="G149" s="1">
        <v>0.1829</v>
      </c>
      <c r="H149" s="1">
        <v>0</v>
      </c>
      <c r="I149" s="1">
        <v>0</v>
      </c>
    </row>
    <row r="150" spans="2:9" ht="12.75">
      <c r="B150" s="1">
        <v>10</v>
      </c>
      <c r="C150" s="1" t="s">
        <v>336</v>
      </c>
      <c r="D150" s="1">
        <v>0</v>
      </c>
      <c r="E150" s="1">
        <v>-91.048</v>
      </c>
      <c r="F150" s="1">
        <v>0</v>
      </c>
      <c r="G150" s="1">
        <v>-1.9766</v>
      </c>
      <c r="H150" s="1">
        <v>0</v>
      </c>
      <c r="I150" s="1">
        <v>0</v>
      </c>
    </row>
    <row r="151" spans="2:9" ht="12.75">
      <c r="B151" s="1">
        <v>11</v>
      </c>
      <c r="C151" s="1" t="s">
        <v>336</v>
      </c>
      <c r="D151" s="1">
        <v>0</v>
      </c>
      <c r="E151" s="1">
        <v>-149.224</v>
      </c>
      <c r="F151" s="1">
        <v>12.676</v>
      </c>
      <c r="G151" s="1">
        <v>-6.7066</v>
      </c>
      <c r="H151" s="1">
        <v>0</v>
      </c>
      <c r="I151" s="1">
        <v>0</v>
      </c>
    </row>
    <row r="152" spans="2:9" ht="12.75">
      <c r="B152" s="1">
        <v>12</v>
      </c>
      <c r="C152" s="1" t="s">
        <v>336</v>
      </c>
      <c r="D152" s="1">
        <v>0</v>
      </c>
      <c r="E152" s="1">
        <v>0</v>
      </c>
      <c r="F152" s="1">
        <v>0</v>
      </c>
      <c r="G152" s="1">
        <v>31.93</v>
      </c>
      <c r="H152" s="1">
        <v>0</v>
      </c>
      <c r="I152" s="1">
        <v>0</v>
      </c>
    </row>
    <row r="153" spans="2:9" ht="12.75">
      <c r="B153" s="1">
        <v>13</v>
      </c>
      <c r="C153" s="1" t="s">
        <v>336</v>
      </c>
      <c r="D153" s="1">
        <v>0</v>
      </c>
      <c r="E153" s="1">
        <v>0</v>
      </c>
      <c r="F153" s="1">
        <v>0</v>
      </c>
      <c r="G153" s="1">
        <v>-12.01</v>
      </c>
      <c r="H153" s="1">
        <v>0</v>
      </c>
      <c r="I153" s="1">
        <v>0</v>
      </c>
    </row>
    <row r="154" spans="2:9" ht="12.75">
      <c r="B154" s="1">
        <v>16</v>
      </c>
      <c r="C154" s="1" t="s">
        <v>336</v>
      </c>
      <c r="D154" s="1">
        <v>0</v>
      </c>
      <c r="E154" s="1">
        <v>0</v>
      </c>
      <c r="F154" s="1">
        <v>0</v>
      </c>
      <c r="G154" s="1">
        <v>-24.02</v>
      </c>
      <c r="H154" s="1">
        <v>0</v>
      </c>
      <c r="I154" s="1">
        <v>0</v>
      </c>
    </row>
    <row r="155" spans="2:9" ht="12.75">
      <c r="B155" s="1">
        <v>17</v>
      </c>
      <c r="C155" s="1" t="s">
        <v>336</v>
      </c>
      <c r="D155" s="1">
        <v>0</v>
      </c>
      <c r="E155" s="1">
        <v>0</v>
      </c>
      <c r="F155" s="1">
        <v>0</v>
      </c>
      <c r="G155" s="1">
        <v>9.212</v>
      </c>
      <c r="H155" s="1">
        <v>0</v>
      </c>
      <c r="I155" s="1">
        <v>0</v>
      </c>
    </row>
    <row r="156" spans="2:9" ht="12.75">
      <c r="B156" s="1">
        <v>18</v>
      </c>
      <c r="C156" s="1" t="s">
        <v>336</v>
      </c>
      <c r="D156" s="1">
        <v>0</v>
      </c>
      <c r="E156" s="1">
        <v>0</v>
      </c>
      <c r="F156" s="1">
        <v>0</v>
      </c>
      <c r="G156" s="1">
        <v>18.424</v>
      </c>
      <c r="H156" s="1">
        <v>0</v>
      </c>
      <c r="I156" s="1">
        <v>0</v>
      </c>
    </row>
    <row r="157" spans="2:9" ht="12.75">
      <c r="B157" s="1">
        <v>19</v>
      </c>
      <c r="C157" s="1" t="s">
        <v>336</v>
      </c>
      <c r="D157" s="1">
        <v>0</v>
      </c>
      <c r="E157" s="1">
        <v>0</v>
      </c>
      <c r="F157" s="1">
        <v>0</v>
      </c>
      <c r="G157" s="1">
        <v>-32.897</v>
      </c>
      <c r="H157" s="1">
        <v>0</v>
      </c>
      <c r="I157" s="1">
        <v>0</v>
      </c>
    </row>
    <row r="158" spans="2:9" ht="12.75">
      <c r="B158" s="1">
        <v>20</v>
      </c>
      <c r="C158" s="1" t="s">
        <v>336</v>
      </c>
      <c r="D158" s="1">
        <v>0</v>
      </c>
      <c r="E158" s="1">
        <v>0</v>
      </c>
      <c r="F158" s="1">
        <v>0</v>
      </c>
      <c r="G158" s="1">
        <v>-15</v>
      </c>
      <c r="H158" s="1">
        <v>0</v>
      </c>
      <c r="I158" s="1">
        <v>0</v>
      </c>
    </row>
    <row r="159" spans="2:9" ht="12.75">
      <c r="B159" s="1">
        <v>21</v>
      </c>
      <c r="C159" s="1" t="s">
        <v>336</v>
      </c>
      <c r="D159" s="1">
        <v>0</v>
      </c>
      <c r="E159" s="1">
        <v>0</v>
      </c>
      <c r="F159" s="1">
        <v>0</v>
      </c>
      <c r="G159" s="1">
        <v>-30</v>
      </c>
      <c r="H159" s="1">
        <v>0</v>
      </c>
      <c r="I159" s="1">
        <v>0</v>
      </c>
    </row>
    <row r="160" spans="2:9" ht="12.75">
      <c r="B160" s="1">
        <v>22</v>
      </c>
      <c r="C160" s="1" t="s">
        <v>336</v>
      </c>
      <c r="D160" s="1">
        <v>0</v>
      </c>
      <c r="E160" s="1">
        <v>0</v>
      </c>
      <c r="F160" s="1">
        <v>0</v>
      </c>
      <c r="G160" s="1">
        <v>22.29</v>
      </c>
      <c r="H160" s="1">
        <v>0</v>
      </c>
      <c r="I160" s="1">
        <v>0</v>
      </c>
    </row>
    <row r="161" spans="2:9" ht="12.75">
      <c r="B161" s="1">
        <v>23</v>
      </c>
      <c r="C161" s="1" t="s">
        <v>336</v>
      </c>
      <c r="D161" s="1">
        <v>0</v>
      </c>
      <c r="E161" s="1">
        <v>0</v>
      </c>
      <c r="F161" s="1">
        <v>0</v>
      </c>
      <c r="G161" s="1">
        <v>44.58</v>
      </c>
      <c r="H161" s="1">
        <v>0</v>
      </c>
      <c r="I161" s="1">
        <v>0</v>
      </c>
    </row>
    <row r="162" spans="2:9" ht="12.75">
      <c r="B162" s="1">
        <v>24</v>
      </c>
      <c r="C162" s="1" t="s">
        <v>336</v>
      </c>
      <c r="D162" s="1">
        <v>0</v>
      </c>
      <c r="E162" s="1">
        <v>0</v>
      </c>
      <c r="F162" s="1">
        <v>0</v>
      </c>
      <c r="G162" s="1">
        <v>-43.048</v>
      </c>
      <c r="H162" s="1">
        <v>0</v>
      </c>
      <c r="I162" s="1">
        <v>0</v>
      </c>
    </row>
    <row r="163" spans="2:9" ht="12.75">
      <c r="B163" s="1">
        <v>25</v>
      </c>
      <c r="C163" s="1" t="s">
        <v>336</v>
      </c>
      <c r="D163" s="1">
        <v>0</v>
      </c>
      <c r="E163" s="1">
        <v>0</v>
      </c>
      <c r="F163" s="1">
        <v>0</v>
      </c>
      <c r="G163" s="1">
        <v>-86.096</v>
      </c>
      <c r="H163" s="1">
        <v>0</v>
      </c>
      <c r="I163" s="1">
        <v>0</v>
      </c>
    </row>
    <row r="164" spans="2:9" ht="12.75">
      <c r="B164" s="1">
        <v>26</v>
      </c>
      <c r="C164" s="1" t="s">
        <v>336</v>
      </c>
      <c r="D164" s="1">
        <v>0</v>
      </c>
      <c r="E164" s="1">
        <v>0</v>
      </c>
      <c r="F164" s="1">
        <v>0</v>
      </c>
      <c r="G164" s="1">
        <v>0</v>
      </c>
      <c r="H164" s="1">
        <v>0</v>
      </c>
      <c r="I164" s="1">
        <v>0</v>
      </c>
    </row>
    <row r="165" spans="2:9" ht="12.75">
      <c r="B165" s="1">
        <v>27</v>
      </c>
      <c r="C165" s="1" t="s">
        <v>336</v>
      </c>
      <c r="D165" s="1">
        <v>0</v>
      </c>
      <c r="E165" s="1">
        <v>0</v>
      </c>
      <c r="F165" s="1">
        <v>0</v>
      </c>
      <c r="G165" s="1">
        <v>20</v>
      </c>
      <c r="H165" s="1">
        <v>0</v>
      </c>
      <c r="I165" s="1">
        <v>0</v>
      </c>
    </row>
    <row r="166" spans="2:9" ht="12.75">
      <c r="B166" s="1">
        <v>28</v>
      </c>
      <c r="C166" s="1" t="s">
        <v>336</v>
      </c>
      <c r="D166" s="1">
        <v>0</v>
      </c>
      <c r="E166" s="1">
        <v>0</v>
      </c>
      <c r="F166" s="1">
        <v>0</v>
      </c>
      <c r="G166" s="1">
        <v>40</v>
      </c>
      <c r="H166" s="1">
        <v>0</v>
      </c>
      <c r="I166" s="1">
        <v>0</v>
      </c>
    </row>
    <row r="167" spans="2:9" ht="12.75">
      <c r="B167" s="1">
        <v>29</v>
      </c>
      <c r="C167" s="1" t="s">
        <v>336</v>
      </c>
      <c r="D167" s="1">
        <v>0</v>
      </c>
      <c r="E167" s="1">
        <v>0</v>
      </c>
      <c r="F167" s="1">
        <v>0</v>
      </c>
      <c r="G167" s="1">
        <v>0</v>
      </c>
      <c r="H167" s="1">
        <v>0</v>
      </c>
      <c r="I167" s="1">
        <v>0</v>
      </c>
    </row>
    <row r="168" spans="2:9" ht="12.75">
      <c r="B168" s="1">
        <v>30</v>
      </c>
      <c r="C168" s="1" t="s">
        <v>336</v>
      </c>
      <c r="D168" s="1">
        <v>0</v>
      </c>
      <c r="E168" s="1">
        <v>0</v>
      </c>
      <c r="F168" s="1">
        <v>0</v>
      </c>
      <c r="G168" s="1">
        <v>0</v>
      </c>
      <c r="H168" s="1">
        <v>0</v>
      </c>
      <c r="I168" s="1">
        <v>0</v>
      </c>
    </row>
    <row r="169" spans="2:9" ht="12.75">
      <c r="B169" s="1">
        <v>31</v>
      </c>
      <c r="C169" s="1" t="s">
        <v>336</v>
      </c>
      <c r="D169" s="1">
        <v>0</v>
      </c>
      <c r="E169" s="1">
        <v>0</v>
      </c>
      <c r="F169" s="1">
        <v>0</v>
      </c>
      <c r="G169" s="1">
        <v>-18</v>
      </c>
      <c r="H169" s="1">
        <v>0</v>
      </c>
      <c r="I169" s="1">
        <v>0</v>
      </c>
    </row>
    <row r="170" spans="2:9" ht="12.75">
      <c r="B170" s="1">
        <v>32</v>
      </c>
      <c r="C170" s="1" t="s">
        <v>336</v>
      </c>
      <c r="D170" s="1">
        <v>0</v>
      </c>
      <c r="E170" s="1">
        <v>0</v>
      </c>
      <c r="F170" s="1">
        <v>-5</v>
      </c>
      <c r="G170" s="1">
        <v>0</v>
      </c>
      <c r="H170" s="1">
        <v>0</v>
      </c>
      <c r="I170" s="1">
        <v>0</v>
      </c>
    </row>
    <row r="171" spans="2:9" ht="12.75">
      <c r="B171" s="1">
        <v>33</v>
      </c>
      <c r="C171" s="1" t="s">
        <v>336</v>
      </c>
      <c r="D171" s="1">
        <v>0</v>
      </c>
      <c r="E171" s="1">
        <v>0</v>
      </c>
      <c r="F171" s="1">
        <v>5</v>
      </c>
      <c r="G171" s="1">
        <v>0</v>
      </c>
      <c r="H171" s="1">
        <v>0</v>
      </c>
      <c r="I171" s="1">
        <v>0</v>
      </c>
    </row>
    <row r="172" spans="2:9" ht="12.75">
      <c r="B172" s="1">
        <v>35</v>
      </c>
      <c r="C172" s="1" t="s">
        <v>336</v>
      </c>
      <c r="D172" s="1">
        <v>0</v>
      </c>
      <c r="E172" s="1">
        <v>0</v>
      </c>
      <c r="F172" s="1">
        <v>0</v>
      </c>
      <c r="G172" s="1">
        <v>-36</v>
      </c>
      <c r="H172" s="1">
        <v>0</v>
      </c>
      <c r="I172" s="1">
        <v>0</v>
      </c>
    </row>
    <row r="173" spans="2:9" ht="12.75">
      <c r="B173" s="1">
        <v>36</v>
      </c>
      <c r="C173" s="1" t="s">
        <v>336</v>
      </c>
      <c r="D173" s="1">
        <v>0</v>
      </c>
      <c r="E173" s="1">
        <v>0</v>
      </c>
      <c r="F173" s="1">
        <v>0</v>
      </c>
      <c r="G173" s="1">
        <v>0</v>
      </c>
      <c r="H173" s="1">
        <v>-45</v>
      </c>
      <c r="I173" s="1">
        <v>0</v>
      </c>
    </row>
    <row r="174" spans="2:9" ht="12.75">
      <c r="B174" s="1">
        <v>37</v>
      </c>
      <c r="C174" s="1" t="s">
        <v>336</v>
      </c>
      <c r="D174" s="1">
        <v>0</v>
      </c>
      <c r="E174" s="1">
        <v>0</v>
      </c>
      <c r="F174" s="1">
        <v>0</v>
      </c>
      <c r="G174" s="1">
        <v>0</v>
      </c>
      <c r="H174" s="1">
        <v>-90</v>
      </c>
      <c r="I174" s="1">
        <v>0</v>
      </c>
    </row>
    <row r="175" spans="2:9" ht="12.75">
      <c r="B175" s="1">
        <v>39</v>
      </c>
      <c r="C175" s="1" t="s">
        <v>336</v>
      </c>
      <c r="D175" s="1">
        <v>0</v>
      </c>
      <c r="E175" s="1">
        <v>0</v>
      </c>
      <c r="F175" s="1">
        <v>15.86</v>
      </c>
      <c r="G175" s="1">
        <v>0</v>
      </c>
      <c r="H175" s="1">
        <v>0</v>
      </c>
      <c r="I175" s="1">
        <v>0</v>
      </c>
    </row>
    <row r="176" spans="2:9" ht="12.75">
      <c r="B176" s="1">
        <v>40</v>
      </c>
      <c r="C176" s="1" t="s">
        <v>336</v>
      </c>
      <c r="D176" s="1">
        <v>0</v>
      </c>
      <c r="E176" s="1">
        <v>0</v>
      </c>
      <c r="F176" s="1">
        <v>5</v>
      </c>
      <c r="G176" s="1">
        <v>0</v>
      </c>
      <c r="H176" s="1">
        <v>0</v>
      </c>
      <c r="I176" s="1">
        <v>0</v>
      </c>
    </row>
    <row r="177" spans="2:9" ht="12.75">
      <c r="B177" s="1">
        <v>42</v>
      </c>
      <c r="C177" s="1" t="s">
        <v>336</v>
      </c>
      <c r="D177" s="1">
        <v>0</v>
      </c>
      <c r="E177" s="1">
        <v>0</v>
      </c>
      <c r="F177" s="1">
        <v>0</v>
      </c>
      <c r="G177" s="1">
        <v>0</v>
      </c>
      <c r="H177" s="1">
        <v>45</v>
      </c>
      <c r="I177" s="1">
        <v>0</v>
      </c>
    </row>
    <row r="178" spans="2:9" ht="12.75">
      <c r="B178" s="1">
        <v>43</v>
      </c>
      <c r="C178" s="1" t="s">
        <v>336</v>
      </c>
      <c r="D178" s="1">
        <v>0</v>
      </c>
      <c r="E178" s="1">
        <v>0</v>
      </c>
      <c r="F178" s="1">
        <v>0</v>
      </c>
      <c r="G178" s="1">
        <v>0</v>
      </c>
      <c r="H178" s="1">
        <v>90</v>
      </c>
      <c r="I178" s="1">
        <v>0</v>
      </c>
    </row>
    <row r="179" spans="2:9" ht="12.75">
      <c r="B179" s="1">
        <v>44</v>
      </c>
      <c r="C179" s="1" t="s">
        <v>336</v>
      </c>
      <c r="D179" s="1">
        <v>0</v>
      </c>
      <c r="E179" s="1">
        <v>0</v>
      </c>
      <c r="F179" s="1">
        <v>0</v>
      </c>
      <c r="G179" s="1">
        <v>18</v>
      </c>
      <c r="H179" s="1">
        <v>0</v>
      </c>
      <c r="I179" s="1">
        <v>0</v>
      </c>
    </row>
    <row r="180" spans="2:9" ht="12.75">
      <c r="B180" s="1">
        <v>45</v>
      </c>
      <c r="C180" s="1" t="s">
        <v>336</v>
      </c>
      <c r="D180" s="1">
        <v>0</v>
      </c>
      <c r="E180" s="1">
        <v>0</v>
      </c>
      <c r="F180" s="1">
        <v>0</v>
      </c>
      <c r="G180" s="1">
        <v>36</v>
      </c>
      <c r="H180" s="1">
        <v>0</v>
      </c>
      <c r="I180" s="1">
        <v>0</v>
      </c>
    </row>
    <row r="181" spans="2:9" ht="12.75">
      <c r="B181" s="1">
        <v>46</v>
      </c>
      <c r="C181" s="1" t="s">
        <v>336</v>
      </c>
      <c r="D181" s="1">
        <v>0</v>
      </c>
      <c r="E181" s="1">
        <v>0</v>
      </c>
      <c r="F181" s="1">
        <v>0</v>
      </c>
      <c r="G181" s="1">
        <v>0</v>
      </c>
      <c r="H181" s="1">
        <v>25</v>
      </c>
      <c r="I181" s="1">
        <v>0</v>
      </c>
    </row>
    <row r="182" spans="2:9" ht="12.75">
      <c r="B182" s="1">
        <v>47</v>
      </c>
      <c r="C182" s="1" t="s">
        <v>336</v>
      </c>
      <c r="D182" s="1">
        <v>0</v>
      </c>
      <c r="E182" s="1">
        <v>0</v>
      </c>
      <c r="F182" s="1">
        <v>-5</v>
      </c>
      <c r="G182" s="1">
        <v>0</v>
      </c>
      <c r="H182" s="1">
        <v>0</v>
      </c>
      <c r="I182" s="1">
        <v>0</v>
      </c>
    </row>
    <row r="183" spans="2:9" ht="12.75">
      <c r="B183" s="1">
        <v>48</v>
      </c>
      <c r="C183" s="1" t="s">
        <v>336</v>
      </c>
      <c r="D183" s="1">
        <v>0</v>
      </c>
      <c r="E183" s="1">
        <v>0</v>
      </c>
      <c r="F183" s="1">
        <v>5</v>
      </c>
      <c r="G183" s="1">
        <v>0</v>
      </c>
      <c r="H183" s="1">
        <v>0</v>
      </c>
      <c r="I183" s="1">
        <v>0</v>
      </c>
    </row>
    <row r="184" spans="2:9" ht="12.75">
      <c r="B184" s="1">
        <v>50</v>
      </c>
      <c r="C184" s="1" t="s">
        <v>336</v>
      </c>
      <c r="D184" s="1">
        <v>0</v>
      </c>
      <c r="E184" s="1">
        <v>0</v>
      </c>
      <c r="F184" s="1">
        <v>0</v>
      </c>
      <c r="G184" s="1">
        <v>0</v>
      </c>
      <c r="H184" s="1">
        <v>50</v>
      </c>
      <c r="I184" s="1">
        <v>0</v>
      </c>
    </row>
    <row r="185" spans="2:9" ht="12.75">
      <c r="B185" s="1">
        <v>52</v>
      </c>
      <c r="C185" s="1" t="s">
        <v>336</v>
      </c>
      <c r="D185" s="1">
        <v>0</v>
      </c>
      <c r="E185" s="1">
        <v>0</v>
      </c>
      <c r="F185" s="1">
        <v>-8.5</v>
      </c>
      <c r="G185" s="1">
        <v>0</v>
      </c>
      <c r="H185" s="1">
        <v>0</v>
      </c>
      <c r="I185" s="1">
        <v>0</v>
      </c>
    </row>
    <row r="186" spans="2:9" ht="12.75">
      <c r="B186" s="1">
        <v>53</v>
      </c>
      <c r="C186" s="1" t="s">
        <v>336</v>
      </c>
      <c r="D186" s="1">
        <v>0</v>
      </c>
      <c r="E186" s="1">
        <v>0</v>
      </c>
      <c r="F186" s="1">
        <v>-5</v>
      </c>
      <c r="G186" s="1">
        <v>0</v>
      </c>
      <c r="H186" s="1">
        <v>0</v>
      </c>
      <c r="I186" s="1">
        <v>0</v>
      </c>
    </row>
    <row r="187" spans="2:9" ht="12.75">
      <c r="B187" s="1">
        <v>55</v>
      </c>
      <c r="C187" s="1" t="s">
        <v>336</v>
      </c>
      <c r="D187" s="1">
        <v>0</v>
      </c>
      <c r="E187" s="1">
        <v>0</v>
      </c>
      <c r="F187" s="1">
        <v>0</v>
      </c>
      <c r="G187" s="1">
        <v>0</v>
      </c>
      <c r="H187" s="1">
        <v>-25</v>
      </c>
      <c r="I187" s="1">
        <v>0</v>
      </c>
    </row>
    <row r="188" spans="2:9" ht="12.75">
      <c r="B188" s="1">
        <v>56</v>
      </c>
      <c r="C188" s="1" t="s">
        <v>336</v>
      </c>
      <c r="D188" s="1">
        <v>0</v>
      </c>
      <c r="E188" s="1">
        <v>0</v>
      </c>
      <c r="F188" s="1">
        <v>0</v>
      </c>
      <c r="G188" s="1">
        <v>0</v>
      </c>
      <c r="H188" s="1">
        <v>-50</v>
      </c>
      <c r="I188" s="1">
        <v>0</v>
      </c>
    </row>
    <row r="189" spans="2:9" ht="12.75">
      <c r="B189" s="1">
        <v>57</v>
      </c>
      <c r="C189" s="1" t="s">
        <v>336</v>
      </c>
      <c r="D189" s="1">
        <v>0</v>
      </c>
      <c r="E189" s="1">
        <v>0</v>
      </c>
      <c r="F189" s="1">
        <v>0</v>
      </c>
      <c r="G189" s="1">
        <v>48.58</v>
      </c>
      <c r="H189" s="1">
        <v>0</v>
      </c>
      <c r="I189" s="1">
        <v>0</v>
      </c>
    </row>
    <row r="190" spans="2:9" ht="12.75">
      <c r="B190" s="1">
        <v>58</v>
      </c>
      <c r="C190" s="1" t="s">
        <v>336</v>
      </c>
      <c r="D190" s="1">
        <v>0</v>
      </c>
      <c r="E190" s="1">
        <v>0</v>
      </c>
      <c r="F190" s="1">
        <v>0</v>
      </c>
      <c r="G190" s="1">
        <v>97.16</v>
      </c>
      <c r="H190" s="1">
        <v>0</v>
      </c>
      <c r="I190" s="1">
        <v>0</v>
      </c>
    </row>
    <row r="191" spans="2:9" ht="12.75">
      <c r="B191" s="1">
        <v>60</v>
      </c>
      <c r="C191" s="1" t="s">
        <v>336</v>
      </c>
      <c r="D191" s="1">
        <v>0</v>
      </c>
      <c r="E191" s="1">
        <v>0</v>
      </c>
      <c r="F191" s="1">
        <v>-8.99</v>
      </c>
      <c r="G191" s="1">
        <v>0</v>
      </c>
      <c r="H191" s="1">
        <v>0</v>
      </c>
      <c r="I191" s="1">
        <v>0</v>
      </c>
    </row>
    <row r="192" spans="2:9" ht="12.75">
      <c r="B192" s="1">
        <v>61</v>
      </c>
      <c r="C192" s="1" t="s">
        <v>336</v>
      </c>
      <c r="D192" s="1">
        <v>0</v>
      </c>
      <c r="E192" s="1">
        <v>0</v>
      </c>
      <c r="F192" s="1">
        <v>-5</v>
      </c>
      <c r="G192" s="1">
        <v>0</v>
      </c>
      <c r="H192" s="1">
        <v>0</v>
      </c>
      <c r="I192" s="1">
        <v>0</v>
      </c>
    </row>
    <row r="194" spans="2:5" ht="12.75">
      <c r="B194" s="1" t="s">
        <v>294</v>
      </c>
      <c r="C194" s="1" t="s">
        <v>295</v>
      </c>
      <c r="D194" s="1" t="s">
        <v>62</v>
      </c>
      <c r="E194" s="1" t="s">
        <v>337</v>
      </c>
    </row>
    <row r="195" ht="12.75">
      <c r="B195" s="1" t="s">
        <v>338</v>
      </c>
    </row>
    <row r="196" spans="2:7" ht="12.75">
      <c r="B196" s="1" t="s">
        <v>339</v>
      </c>
      <c r="C196" s="1" t="s">
        <v>53</v>
      </c>
      <c r="D196" s="1" t="s">
        <v>306</v>
      </c>
      <c r="E196" s="1" t="s">
        <v>340</v>
      </c>
      <c r="F196" s="1" t="s">
        <v>308</v>
      </c>
      <c r="G196" s="1" t="s">
        <v>306</v>
      </c>
    </row>
    <row r="197" spans="2:10" ht="12.75">
      <c r="B197" s="1" t="s">
        <v>336</v>
      </c>
      <c r="C197" s="1" t="s">
        <v>341</v>
      </c>
      <c r="D197" s="1" t="s">
        <v>306</v>
      </c>
      <c r="E197" s="1" t="s">
        <v>342</v>
      </c>
      <c r="F197" s="1" t="s">
        <v>343</v>
      </c>
      <c r="G197" s="1" t="s">
        <v>300</v>
      </c>
      <c r="H197" s="1" t="s">
        <v>58</v>
      </c>
      <c r="I197" s="1" t="s">
        <v>341</v>
      </c>
      <c r="J197" s="1" t="s">
        <v>71</v>
      </c>
    </row>
    <row r="199" spans="2:3" ht="12.75">
      <c r="B199" s="1" t="s">
        <v>51</v>
      </c>
      <c r="C199" s="1" t="s">
        <v>344</v>
      </c>
    </row>
    <row r="200" ht="12.75">
      <c r="B200" s="1" t="s">
        <v>332</v>
      </c>
    </row>
    <row r="201" spans="2:8" ht="12.75">
      <c r="B201" s="1">
        <v>12</v>
      </c>
      <c r="C201" s="1" t="s">
        <v>345</v>
      </c>
      <c r="D201" s="1" t="s">
        <v>346</v>
      </c>
      <c r="E201" s="1" t="s">
        <v>61</v>
      </c>
      <c r="F201" s="1" t="s">
        <v>62</v>
      </c>
      <c r="G201" s="1" t="s">
        <v>63</v>
      </c>
      <c r="H201" s="1">
        <v>11</v>
      </c>
    </row>
    <row r="202" spans="2:8" ht="12.75">
      <c r="B202" s="1">
        <v>16</v>
      </c>
      <c r="C202" s="1" t="s">
        <v>345</v>
      </c>
      <c r="D202" s="1" t="s">
        <v>346</v>
      </c>
      <c r="E202" s="1" t="s">
        <v>61</v>
      </c>
      <c r="F202" s="1" t="s">
        <v>62</v>
      </c>
      <c r="G202" s="1" t="s">
        <v>63</v>
      </c>
      <c r="H202" s="1">
        <v>13</v>
      </c>
    </row>
    <row r="203" spans="2:8" ht="12.75">
      <c r="B203" s="1">
        <v>18</v>
      </c>
      <c r="C203" s="1" t="s">
        <v>345</v>
      </c>
      <c r="D203" s="1" t="s">
        <v>346</v>
      </c>
      <c r="E203" s="1" t="s">
        <v>61</v>
      </c>
      <c r="F203" s="1" t="s">
        <v>62</v>
      </c>
      <c r="G203" s="1" t="s">
        <v>63</v>
      </c>
      <c r="H203" s="1">
        <v>17</v>
      </c>
    </row>
    <row r="204" spans="2:8" ht="12.75">
      <c r="B204" s="1">
        <v>20</v>
      </c>
      <c r="C204" s="1" t="s">
        <v>345</v>
      </c>
      <c r="D204" s="1" t="s">
        <v>346</v>
      </c>
      <c r="E204" s="1" t="s">
        <v>61</v>
      </c>
      <c r="F204" s="1" t="s">
        <v>62</v>
      </c>
      <c r="G204" s="1" t="s">
        <v>63</v>
      </c>
      <c r="H204" s="1">
        <v>19</v>
      </c>
    </row>
    <row r="205" spans="2:8" ht="12.75">
      <c r="B205" s="1">
        <v>21</v>
      </c>
      <c r="C205" s="1" t="s">
        <v>345</v>
      </c>
      <c r="D205" s="1" t="s">
        <v>346</v>
      </c>
      <c r="E205" s="1" t="s">
        <v>61</v>
      </c>
      <c r="F205" s="1" t="s">
        <v>62</v>
      </c>
      <c r="G205" s="1" t="s">
        <v>63</v>
      </c>
      <c r="H205" s="1">
        <v>20</v>
      </c>
    </row>
    <row r="206" spans="2:8" ht="12.75">
      <c r="B206" s="1">
        <v>23</v>
      </c>
      <c r="C206" s="1" t="s">
        <v>345</v>
      </c>
      <c r="D206" s="1" t="s">
        <v>346</v>
      </c>
      <c r="E206" s="1" t="s">
        <v>61</v>
      </c>
      <c r="F206" s="1" t="s">
        <v>62</v>
      </c>
      <c r="G206" s="1" t="s">
        <v>63</v>
      </c>
      <c r="H206" s="1">
        <v>22</v>
      </c>
    </row>
    <row r="207" spans="2:8" ht="12.75">
      <c r="B207" s="1">
        <v>25</v>
      </c>
      <c r="C207" s="1" t="s">
        <v>345</v>
      </c>
      <c r="D207" s="1" t="s">
        <v>346</v>
      </c>
      <c r="E207" s="1" t="s">
        <v>61</v>
      </c>
      <c r="F207" s="1" t="s">
        <v>62</v>
      </c>
      <c r="G207" s="1" t="s">
        <v>63</v>
      </c>
      <c r="H207" s="1">
        <v>24</v>
      </c>
    </row>
    <row r="208" spans="2:8" ht="12.75">
      <c r="B208" s="1">
        <v>27</v>
      </c>
      <c r="C208" s="1" t="s">
        <v>345</v>
      </c>
      <c r="D208" s="1" t="s">
        <v>346</v>
      </c>
      <c r="E208" s="1" t="s">
        <v>61</v>
      </c>
      <c r="F208" s="1" t="s">
        <v>62</v>
      </c>
      <c r="G208" s="1" t="s">
        <v>63</v>
      </c>
      <c r="H208" s="1">
        <v>26</v>
      </c>
    </row>
    <row r="209" spans="2:8" ht="12.75">
      <c r="B209" s="1">
        <v>28</v>
      </c>
      <c r="C209" s="1" t="s">
        <v>345</v>
      </c>
      <c r="D209" s="1" t="s">
        <v>346</v>
      </c>
      <c r="E209" s="1" t="s">
        <v>61</v>
      </c>
      <c r="F209" s="1" t="s">
        <v>62</v>
      </c>
      <c r="G209" s="1" t="s">
        <v>63</v>
      </c>
      <c r="H209" s="1">
        <v>27</v>
      </c>
    </row>
    <row r="210" spans="2:8" ht="12.75">
      <c r="B210" s="1">
        <v>30</v>
      </c>
      <c r="C210" s="1" t="s">
        <v>345</v>
      </c>
      <c r="D210" s="1" t="s">
        <v>346</v>
      </c>
      <c r="E210" s="1" t="s">
        <v>61</v>
      </c>
      <c r="F210" s="1" t="s">
        <v>62</v>
      </c>
      <c r="G210" s="1" t="s">
        <v>63</v>
      </c>
      <c r="H210" s="1">
        <v>29</v>
      </c>
    </row>
    <row r="211" spans="2:8" ht="12.75">
      <c r="B211" s="1">
        <v>31</v>
      </c>
      <c r="C211" s="1" t="s">
        <v>345</v>
      </c>
      <c r="D211" s="1" t="s">
        <v>346</v>
      </c>
      <c r="E211" s="1" t="s">
        <v>61</v>
      </c>
      <c r="F211" s="1" t="s">
        <v>62</v>
      </c>
      <c r="G211" s="1" t="s">
        <v>63</v>
      </c>
      <c r="H211" s="1">
        <v>30</v>
      </c>
    </row>
    <row r="212" spans="2:8" ht="12.75">
      <c r="B212" s="1">
        <v>33</v>
      </c>
      <c r="C212" s="1" t="s">
        <v>345</v>
      </c>
      <c r="D212" s="1" t="s">
        <v>346</v>
      </c>
      <c r="E212" s="1" t="s">
        <v>61</v>
      </c>
      <c r="F212" s="1" t="s">
        <v>62</v>
      </c>
      <c r="G212" s="1" t="s">
        <v>63</v>
      </c>
      <c r="H212" s="1">
        <v>32</v>
      </c>
    </row>
    <row r="213" spans="2:8" ht="12.75">
      <c r="B213" s="1">
        <v>34</v>
      </c>
      <c r="C213" s="1" t="s">
        <v>345</v>
      </c>
      <c r="D213" s="1" t="s">
        <v>346</v>
      </c>
      <c r="E213" s="1" t="s">
        <v>61</v>
      </c>
      <c r="F213" s="1" t="s">
        <v>62</v>
      </c>
      <c r="G213" s="1" t="s">
        <v>63</v>
      </c>
      <c r="H213" s="1">
        <v>33</v>
      </c>
    </row>
    <row r="214" spans="2:8" ht="12.75">
      <c r="B214" s="1">
        <v>35</v>
      </c>
      <c r="C214" s="1" t="s">
        <v>345</v>
      </c>
      <c r="D214" s="1" t="s">
        <v>346</v>
      </c>
      <c r="E214" s="1" t="s">
        <v>61</v>
      </c>
      <c r="F214" s="1" t="s">
        <v>62</v>
      </c>
      <c r="G214" s="1" t="s">
        <v>63</v>
      </c>
      <c r="H214" s="1">
        <v>31</v>
      </c>
    </row>
    <row r="215" spans="2:8" ht="12.75">
      <c r="B215" s="1">
        <v>37</v>
      </c>
      <c r="C215" s="1" t="s">
        <v>345</v>
      </c>
      <c r="D215" s="1" t="s">
        <v>346</v>
      </c>
      <c r="E215" s="1" t="s">
        <v>61</v>
      </c>
      <c r="F215" s="1" t="s">
        <v>62</v>
      </c>
      <c r="G215" s="1" t="s">
        <v>63</v>
      </c>
      <c r="H215" s="1">
        <v>36</v>
      </c>
    </row>
    <row r="216" spans="2:8" ht="12.75">
      <c r="B216" s="1">
        <v>41</v>
      </c>
      <c r="C216" s="1" t="s">
        <v>345</v>
      </c>
      <c r="D216" s="1" t="s">
        <v>346</v>
      </c>
      <c r="E216" s="1" t="s">
        <v>61</v>
      </c>
      <c r="F216" s="1" t="s">
        <v>62</v>
      </c>
      <c r="G216" s="1" t="s">
        <v>63</v>
      </c>
      <c r="H216" s="1">
        <v>40</v>
      </c>
    </row>
    <row r="217" spans="2:8" ht="12.75">
      <c r="B217" s="1">
        <v>42</v>
      </c>
      <c r="C217" s="1" t="s">
        <v>345</v>
      </c>
      <c r="D217" s="1" t="s">
        <v>346</v>
      </c>
      <c r="E217" s="1" t="s">
        <v>61</v>
      </c>
      <c r="F217" s="1" t="s">
        <v>62</v>
      </c>
      <c r="G217" s="1" t="s">
        <v>63</v>
      </c>
      <c r="H217" s="1">
        <v>39</v>
      </c>
    </row>
    <row r="218" spans="2:8" ht="12.75">
      <c r="B218" s="1">
        <v>42</v>
      </c>
      <c r="C218" s="1" t="s">
        <v>346</v>
      </c>
      <c r="D218" s="1" t="s">
        <v>314</v>
      </c>
      <c r="E218" s="1" t="s">
        <v>347</v>
      </c>
      <c r="F218" s="1" t="s">
        <v>62</v>
      </c>
      <c r="G218" s="1" t="s">
        <v>63</v>
      </c>
      <c r="H218" s="1">
        <v>-36</v>
      </c>
    </row>
    <row r="219" spans="2:8" ht="12.75">
      <c r="B219" s="1">
        <v>43</v>
      </c>
      <c r="C219" s="1" t="s">
        <v>345</v>
      </c>
      <c r="D219" s="1" t="s">
        <v>346</v>
      </c>
      <c r="E219" s="1" t="s">
        <v>61</v>
      </c>
      <c r="F219" s="1" t="s">
        <v>62</v>
      </c>
      <c r="G219" s="1" t="s">
        <v>63</v>
      </c>
      <c r="H219" s="1">
        <v>42</v>
      </c>
    </row>
    <row r="220" spans="2:8" ht="12.75">
      <c r="B220" s="1">
        <v>43</v>
      </c>
      <c r="C220" s="1" t="s">
        <v>346</v>
      </c>
      <c r="D220" s="1" t="s">
        <v>314</v>
      </c>
      <c r="E220" s="1" t="s">
        <v>347</v>
      </c>
      <c r="F220" s="1" t="s">
        <v>62</v>
      </c>
      <c r="G220" s="1" t="s">
        <v>63</v>
      </c>
      <c r="H220" s="1">
        <v>-37</v>
      </c>
    </row>
    <row r="221" spans="2:8" ht="12.75">
      <c r="B221" s="1">
        <v>44</v>
      </c>
      <c r="C221" s="1" t="s">
        <v>346</v>
      </c>
      <c r="D221" s="1" t="s">
        <v>314</v>
      </c>
      <c r="E221" s="1" t="s">
        <v>347</v>
      </c>
      <c r="F221" s="1" t="s">
        <v>62</v>
      </c>
      <c r="G221" s="1" t="s">
        <v>63</v>
      </c>
      <c r="H221" s="1">
        <v>-31</v>
      </c>
    </row>
    <row r="222" spans="2:8" ht="12.75">
      <c r="B222" s="1">
        <v>45</v>
      </c>
      <c r="C222" s="1" t="s">
        <v>345</v>
      </c>
      <c r="D222" s="1" t="s">
        <v>346</v>
      </c>
      <c r="E222" s="1" t="s">
        <v>61</v>
      </c>
      <c r="F222" s="1" t="s">
        <v>62</v>
      </c>
      <c r="G222" s="1" t="s">
        <v>63</v>
      </c>
      <c r="H222" s="1">
        <v>44</v>
      </c>
    </row>
    <row r="223" spans="2:8" ht="12.75">
      <c r="B223" s="1">
        <v>45</v>
      </c>
      <c r="C223" s="1" t="s">
        <v>346</v>
      </c>
      <c r="D223" s="1" t="s">
        <v>314</v>
      </c>
      <c r="E223" s="1" t="s">
        <v>347</v>
      </c>
      <c r="F223" s="1" t="s">
        <v>62</v>
      </c>
      <c r="G223" s="1" t="s">
        <v>63</v>
      </c>
      <c r="H223" s="1">
        <v>-35</v>
      </c>
    </row>
    <row r="224" spans="2:8" ht="12.75">
      <c r="B224" s="1">
        <v>48</v>
      </c>
      <c r="C224" s="1" t="s">
        <v>345</v>
      </c>
      <c r="D224" s="1" t="s">
        <v>346</v>
      </c>
      <c r="E224" s="1" t="s">
        <v>61</v>
      </c>
      <c r="F224" s="1" t="s">
        <v>62</v>
      </c>
      <c r="G224" s="1" t="s">
        <v>63</v>
      </c>
      <c r="H224" s="1">
        <v>47</v>
      </c>
    </row>
    <row r="225" spans="2:8" ht="12.75">
      <c r="B225" s="1">
        <v>49</v>
      </c>
      <c r="C225" s="1" t="s">
        <v>345</v>
      </c>
      <c r="D225" s="1" t="s">
        <v>346</v>
      </c>
      <c r="E225" s="1" t="s">
        <v>61</v>
      </c>
      <c r="F225" s="1" t="s">
        <v>62</v>
      </c>
      <c r="G225" s="1" t="s">
        <v>63</v>
      </c>
      <c r="H225" s="1">
        <v>48</v>
      </c>
    </row>
    <row r="226" spans="2:8" ht="12.75">
      <c r="B226" s="1">
        <v>50</v>
      </c>
      <c r="C226" s="1" t="s">
        <v>345</v>
      </c>
      <c r="D226" s="1" t="s">
        <v>346</v>
      </c>
      <c r="E226" s="1" t="s">
        <v>61</v>
      </c>
      <c r="F226" s="1" t="s">
        <v>62</v>
      </c>
      <c r="G226" s="1" t="s">
        <v>63</v>
      </c>
      <c r="H226" s="1">
        <v>46</v>
      </c>
    </row>
    <row r="227" spans="2:8" ht="12.75">
      <c r="B227" s="1">
        <v>54</v>
      </c>
      <c r="C227" s="1" t="s">
        <v>345</v>
      </c>
      <c r="D227" s="1" t="s">
        <v>346</v>
      </c>
      <c r="E227" s="1" t="s">
        <v>61</v>
      </c>
      <c r="F227" s="1" t="s">
        <v>62</v>
      </c>
      <c r="G227" s="1" t="s">
        <v>63</v>
      </c>
      <c r="H227" s="1">
        <v>53</v>
      </c>
    </row>
    <row r="228" spans="2:8" ht="12.75">
      <c r="B228" s="1">
        <v>55</v>
      </c>
      <c r="C228" s="1" t="s">
        <v>345</v>
      </c>
      <c r="D228" s="1" t="s">
        <v>346</v>
      </c>
      <c r="E228" s="1" t="s">
        <v>61</v>
      </c>
      <c r="F228" s="1" t="s">
        <v>62</v>
      </c>
      <c r="G228" s="1" t="s">
        <v>63</v>
      </c>
      <c r="H228" s="1">
        <v>52</v>
      </c>
    </row>
    <row r="229" spans="2:8" ht="12.75">
      <c r="B229" s="1">
        <v>55</v>
      </c>
      <c r="C229" s="1" t="s">
        <v>346</v>
      </c>
      <c r="D229" s="1" t="s">
        <v>314</v>
      </c>
      <c r="E229" s="1" t="s">
        <v>347</v>
      </c>
      <c r="F229" s="1" t="s">
        <v>62</v>
      </c>
      <c r="G229" s="1" t="s">
        <v>63</v>
      </c>
      <c r="H229" s="1">
        <v>-46</v>
      </c>
    </row>
    <row r="230" spans="2:8" ht="12.75">
      <c r="B230" s="1">
        <v>56</v>
      </c>
      <c r="C230" s="1" t="s">
        <v>345</v>
      </c>
      <c r="D230" s="1" t="s">
        <v>346</v>
      </c>
      <c r="E230" s="1" t="s">
        <v>61</v>
      </c>
      <c r="F230" s="1" t="s">
        <v>62</v>
      </c>
      <c r="G230" s="1" t="s">
        <v>63</v>
      </c>
      <c r="H230" s="1">
        <v>55</v>
      </c>
    </row>
    <row r="231" spans="2:8" ht="12.75">
      <c r="B231" s="1">
        <v>56</v>
      </c>
      <c r="C231" s="1" t="s">
        <v>346</v>
      </c>
      <c r="D231" s="1" t="s">
        <v>314</v>
      </c>
      <c r="E231" s="1" t="s">
        <v>347</v>
      </c>
      <c r="F231" s="1" t="s">
        <v>62</v>
      </c>
      <c r="G231" s="1" t="s">
        <v>63</v>
      </c>
      <c r="H231" s="1">
        <v>-50</v>
      </c>
    </row>
    <row r="232" spans="2:8" ht="12.75">
      <c r="B232" s="1">
        <v>58</v>
      </c>
      <c r="C232" s="1" t="s">
        <v>345</v>
      </c>
      <c r="D232" s="1" t="s">
        <v>346</v>
      </c>
      <c r="E232" s="1" t="s">
        <v>61</v>
      </c>
      <c r="F232" s="1" t="s">
        <v>62</v>
      </c>
      <c r="G232" s="1" t="s">
        <v>63</v>
      </c>
      <c r="H232" s="1">
        <v>57</v>
      </c>
    </row>
    <row r="233" spans="2:8" ht="12.75">
      <c r="B233" s="1">
        <v>62</v>
      </c>
      <c r="C233" s="1" t="s">
        <v>345</v>
      </c>
      <c r="D233" s="1" t="s">
        <v>346</v>
      </c>
      <c r="E233" s="1" t="s">
        <v>61</v>
      </c>
      <c r="F233" s="1" t="s">
        <v>62</v>
      </c>
      <c r="G233" s="1" t="s">
        <v>63</v>
      </c>
      <c r="H233" s="1">
        <v>61</v>
      </c>
    </row>
    <row r="234" spans="2:8" ht="12.75">
      <c r="B234" s="1">
        <v>63</v>
      </c>
      <c r="C234" s="1" t="s">
        <v>345</v>
      </c>
      <c r="D234" s="1" t="s">
        <v>346</v>
      </c>
      <c r="E234" s="1" t="s">
        <v>61</v>
      </c>
      <c r="F234" s="1" t="s">
        <v>62</v>
      </c>
      <c r="G234" s="1" t="s">
        <v>63</v>
      </c>
      <c r="H234" s="1">
        <v>60</v>
      </c>
    </row>
    <row r="236" spans="2:4" ht="12.75">
      <c r="B236" s="1" t="s">
        <v>53</v>
      </c>
      <c r="C236" s="1" t="s">
        <v>59</v>
      </c>
      <c r="D236" s="1" t="s">
        <v>57</v>
      </c>
    </row>
    <row r="238" spans="2:11" ht="12.75">
      <c r="B238" s="1" t="s">
        <v>53</v>
      </c>
      <c r="C238" s="1" t="s">
        <v>59</v>
      </c>
      <c r="D238" s="1" t="s">
        <v>62</v>
      </c>
      <c r="E238" s="1" t="s">
        <v>200</v>
      </c>
      <c r="F238" s="1" t="s">
        <v>58</v>
      </c>
      <c r="G238" s="1" t="s">
        <v>59</v>
      </c>
      <c r="H238" s="1" t="s">
        <v>60</v>
      </c>
      <c r="I238" s="1" t="s">
        <v>61</v>
      </c>
      <c r="J238" s="1" t="s">
        <v>62</v>
      </c>
      <c r="K238" s="1">
        <v>9</v>
      </c>
    </row>
    <row r="239" ht="12.75">
      <c r="B239" s="1" t="s">
        <v>332</v>
      </c>
    </row>
    <row r="240" spans="2:9" ht="12.75">
      <c r="B240" s="1" t="s">
        <v>51</v>
      </c>
      <c r="C240" s="1" t="s">
        <v>17</v>
      </c>
      <c r="D240" s="1" t="s">
        <v>81</v>
      </c>
      <c r="E240" s="1" t="s">
        <v>82</v>
      </c>
      <c r="F240" s="1" t="s">
        <v>348</v>
      </c>
      <c r="G240" s="1" t="s">
        <v>333</v>
      </c>
      <c r="H240" s="1" t="s">
        <v>334</v>
      </c>
      <c r="I240" s="1" t="s">
        <v>335</v>
      </c>
    </row>
    <row r="241" ht="12.75">
      <c r="B241" s="1" t="s">
        <v>332</v>
      </c>
    </row>
    <row r="242" spans="2:8" ht="12.75">
      <c r="B242" s="1">
        <v>1</v>
      </c>
      <c r="C242" s="1">
        <v>0</v>
      </c>
      <c r="D242" s="1">
        <v>56.739172</v>
      </c>
      <c r="E242" s="1">
        <v>-1050.071422</v>
      </c>
      <c r="F242" s="1">
        <v>-0.18293</v>
      </c>
      <c r="G242" s="1">
        <v>0</v>
      </c>
      <c r="H242" s="1">
        <v>0</v>
      </c>
    </row>
    <row r="243" spans="2:8" ht="12.75">
      <c r="B243" s="1">
        <v>2</v>
      </c>
      <c r="C243" s="1">
        <v>0</v>
      </c>
      <c r="D243" s="1">
        <v>0</v>
      </c>
      <c r="E243" s="4">
        <v>16700</v>
      </c>
      <c r="F243" s="1">
        <v>0</v>
      </c>
      <c r="G243" s="1">
        <v>0</v>
      </c>
      <c r="H243" s="1">
        <v>0</v>
      </c>
    </row>
    <row r="244" spans="2:8" ht="12.75">
      <c r="B244" s="1">
        <v>3</v>
      </c>
      <c r="C244" s="1">
        <v>0</v>
      </c>
      <c r="D244" s="1">
        <v>0</v>
      </c>
      <c r="E244" s="4">
        <v>16700</v>
      </c>
      <c r="F244" s="1">
        <v>0</v>
      </c>
      <c r="G244" s="1">
        <v>0</v>
      </c>
      <c r="H244" s="1">
        <v>0</v>
      </c>
    </row>
    <row r="245" spans="2:8" ht="12.75">
      <c r="B245" s="1">
        <v>4</v>
      </c>
      <c r="C245" s="1">
        <v>0</v>
      </c>
      <c r="D245" s="1">
        <v>0</v>
      </c>
      <c r="E245" s="1">
        <v>-1050.162</v>
      </c>
      <c r="F245" s="1">
        <v>0</v>
      </c>
      <c r="G245" s="1">
        <v>0</v>
      </c>
      <c r="H245" s="1">
        <v>0</v>
      </c>
    </row>
    <row r="246" spans="2:8" ht="12.75">
      <c r="B246" s="1">
        <v>5</v>
      </c>
      <c r="C246" s="1">
        <v>0</v>
      </c>
      <c r="D246" s="1">
        <v>0</v>
      </c>
      <c r="E246" s="1">
        <v>-3050.162</v>
      </c>
      <c r="F246" s="1">
        <v>0</v>
      </c>
      <c r="G246" s="1">
        <v>0</v>
      </c>
      <c r="H246" s="1">
        <v>0</v>
      </c>
    </row>
    <row r="247" spans="2:8" ht="12.75">
      <c r="B247" s="1">
        <v>6</v>
      </c>
      <c r="C247" s="1">
        <v>0</v>
      </c>
      <c r="D247" s="1">
        <v>0</v>
      </c>
      <c r="E247" s="1">
        <v>-1050.162</v>
      </c>
      <c r="F247" s="1">
        <v>0</v>
      </c>
      <c r="G247" s="1">
        <v>0</v>
      </c>
      <c r="H247" s="1">
        <v>0</v>
      </c>
    </row>
    <row r="248" spans="2:8" ht="12.75">
      <c r="B248" s="1" t="s">
        <v>241</v>
      </c>
      <c r="C248" s="1">
        <v>0</v>
      </c>
      <c r="D248" s="1">
        <v>0</v>
      </c>
      <c r="E248" s="1">
        <v>-2638.131</v>
      </c>
      <c r="F248" s="1">
        <v>0</v>
      </c>
      <c r="G248" s="1">
        <v>0</v>
      </c>
      <c r="H248" s="1">
        <v>0</v>
      </c>
    </row>
    <row r="249" spans="2:8" ht="12.75">
      <c r="B249" s="1">
        <v>8</v>
      </c>
      <c r="C249" s="1">
        <v>0</v>
      </c>
      <c r="D249" s="1">
        <v>0</v>
      </c>
      <c r="E249" s="1">
        <v>-1050.162</v>
      </c>
      <c r="F249" s="1">
        <v>0</v>
      </c>
      <c r="G249" s="1">
        <v>0</v>
      </c>
      <c r="H249" s="1">
        <v>0</v>
      </c>
    </row>
    <row r="250" spans="2:8" ht="12.75">
      <c r="B250" s="1">
        <v>9</v>
      </c>
      <c r="C250" s="1">
        <v>0</v>
      </c>
      <c r="D250" s="1">
        <v>0</v>
      </c>
      <c r="E250" s="1">
        <v>0</v>
      </c>
      <c r="F250" s="1">
        <v>0</v>
      </c>
      <c r="G250" s="1">
        <v>0</v>
      </c>
      <c r="H250" s="1">
        <v>0</v>
      </c>
    </row>
    <row r="251" spans="2:8" ht="12.75">
      <c r="B251" s="1">
        <v>10</v>
      </c>
      <c r="C251" s="1">
        <v>0</v>
      </c>
      <c r="D251" s="1">
        <v>-91.048</v>
      </c>
      <c r="E251" s="1">
        <v>0</v>
      </c>
      <c r="F251" s="1">
        <v>-1.9766</v>
      </c>
      <c r="G251" s="1">
        <v>0</v>
      </c>
      <c r="H251" s="1">
        <v>0</v>
      </c>
    </row>
    <row r="252" spans="2:8" ht="12.75">
      <c r="B252" s="1">
        <v>11</v>
      </c>
      <c r="C252" s="1">
        <v>0</v>
      </c>
      <c r="D252" s="1">
        <v>-243.065859</v>
      </c>
      <c r="E252" s="1">
        <v>78.379337</v>
      </c>
      <c r="F252" s="1">
        <v>-8.6832</v>
      </c>
      <c r="G252" s="1">
        <v>0</v>
      </c>
      <c r="H252" s="1">
        <v>0</v>
      </c>
    </row>
    <row r="253" spans="2:8" ht="12.75">
      <c r="B253" s="1">
        <v>12</v>
      </c>
      <c r="C253" s="1">
        <v>0</v>
      </c>
      <c r="D253" s="1">
        <v>-93.493436</v>
      </c>
      <c r="E253" s="1">
        <v>70.857814</v>
      </c>
      <c r="F253" s="1">
        <v>29.9534</v>
      </c>
      <c r="G253" s="1">
        <v>0</v>
      </c>
      <c r="H253" s="1">
        <v>0</v>
      </c>
    </row>
    <row r="254" spans="2:8" ht="12.75">
      <c r="B254" s="1">
        <v>13</v>
      </c>
      <c r="C254" s="1">
        <v>0</v>
      </c>
      <c r="D254" s="1">
        <v>-200.09302</v>
      </c>
      <c r="E254" s="1">
        <v>-114.125371</v>
      </c>
      <c r="F254" s="1">
        <v>17.9434</v>
      </c>
      <c r="G254" s="1">
        <v>0</v>
      </c>
      <c r="H254" s="1">
        <v>0</v>
      </c>
    </row>
    <row r="255" spans="2:8" ht="12.75">
      <c r="B255" s="1">
        <v>14</v>
      </c>
      <c r="C255" s="1">
        <v>0</v>
      </c>
      <c r="D255" s="1">
        <v>-200.09302</v>
      </c>
      <c r="E255" s="1">
        <v>-114.125371</v>
      </c>
      <c r="F255" s="1">
        <v>17.9434</v>
      </c>
      <c r="G255" s="1">
        <v>0</v>
      </c>
      <c r="H255" s="1">
        <v>0</v>
      </c>
    </row>
    <row r="256" spans="2:8" ht="12.75">
      <c r="B256" s="1">
        <v>15</v>
      </c>
      <c r="C256" s="1">
        <v>0</v>
      </c>
      <c r="D256" s="1">
        <v>-200.09302</v>
      </c>
      <c r="E256" s="1">
        <v>-114.125371</v>
      </c>
      <c r="F256" s="1">
        <v>17.9434</v>
      </c>
      <c r="G256" s="1">
        <v>0</v>
      </c>
      <c r="H256" s="1">
        <v>0</v>
      </c>
    </row>
    <row r="257" spans="2:8" ht="12.75">
      <c r="B257" s="1">
        <v>16</v>
      </c>
      <c r="C257" s="1">
        <v>0</v>
      </c>
      <c r="D257" s="1">
        <v>-200.09302</v>
      </c>
      <c r="E257" s="1">
        <v>-114.125371</v>
      </c>
      <c r="F257" s="1">
        <v>5.9334</v>
      </c>
      <c r="G257" s="1">
        <v>0</v>
      </c>
      <c r="H257" s="1">
        <v>0</v>
      </c>
    </row>
    <row r="258" spans="2:8" ht="12.75">
      <c r="B258" s="1">
        <v>17</v>
      </c>
      <c r="C258" s="1">
        <v>0</v>
      </c>
      <c r="D258" s="1">
        <v>-179.687314</v>
      </c>
      <c r="E258" s="1">
        <v>82.217104</v>
      </c>
      <c r="F258" s="1">
        <v>15.1454</v>
      </c>
      <c r="G258" s="1">
        <v>0</v>
      </c>
      <c r="H258" s="1">
        <v>0</v>
      </c>
    </row>
    <row r="259" spans="2:8" ht="12.75">
      <c r="B259" s="1">
        <v>18</v>
      </c>
      <c r="C259" s="1">
        <v>0</v>
      </c>
      <c r="D259" s="1">
        <v>-179.687314</v>
      </c>
      <c r="E259" s="1">
        <v>82.217104</v>
      </c>
      <c r="F259" s="1">
        <v>24.3574</v>
      </c>
      <c r="G259" s="1">
        <v>0</v>
      </c>
      <c r="H259" s="1">
        <v>0</v>
      </c>
    </row>
    <row r="260" spans="2:8" ht="12.75">
      <c r="B260" s="1">
        <v>19</v>
      </c>
      <c r="C260" s="1">
        <v>0</v>
      </c>
      <c r="D260" s="1">
        <v>-259.533222</v>
      </c>
      <c r="E260" s="1">
        <v>-94.150668</v>
      </c>
      <c r="F260" s="1">
        <v>-8.5396</v>
      </c>
      <c r="G260" s="1">
        <v>0</v>
      </c>
      <c r="H260" s="1">
        <v>0</v>
      </c>
    </row>
    <row r="261" spans="2:8" ht="12.75">
      <c r="B261" s="1">
        <v>20</v>
      </c>
      <c r="C261" s="1">
        <v>0</v>
      </c>
      <c r="D261" s="1">
        <v>-259.533222</v>
      </c>
      <c r="E261" s="1">
        <v>-94.150668</v>
      </c>
      <c r="F261" s="1">
        <v>9.3574</v>
      </c>
      <c r="G261" s="1">
        <v>0</v>
      </c>
      <c r="H261" s="1">
        <v>0</v>
      </c>
    </row>
    <row r="262" spans="2:8" ht="12.75">
      <c r="B262" s="1">
        <v>21</v>
      </c>
      <c r="C262" s="1">
        <v>0</v>
      </c>
      <c r="D262" s="1">
        <v>-259.533222</v>
      </c>
      <c r="E262" s="1">
        <v>-94.150668</v>
      </c>
      <c r="F262" s="1">
        <v>-5.6426</v>
      </c>
      <c r="G262" s="1">
        <v>0</v>
      </c>
      <c r="H262" s="1">
        <v>0</v>
      </c>
    </row>
    <row r="263" spans="2:8" ht="12.75">
      <c r="B263" s="1">
        <v>22</v>
      </c>
      <c r="C263" s="1">
        <v>0</v>
      </c>
      <c r="D263" s="1">
        <v>-279.482925</v>
      </c>
      <c r="E263" s="1">
        <v>107.766194</v>
      </c>
      <c r="F263" s="1">
        <v>16.6474</v>
      </c>
      <c r="G263" s="1">
        <v>0</v>
      </c>
      <c r="H263" s="1">
        <v>0</v>
      </c>
    </row>
    <row r="264" spans="2:8" ht="12.75">
      <c r="B264" s="1">
        <v>23</v>
      </c>
      <c r="C264" s="1">
        <v>0</v>
      </c>
      <c r="D264" s="1">
        <v>-279.482925</v>
      </c>
      <c r="E264" s="1">
        <v>107.766194</v>
      </c>
      <c r="F264" s="1">
        <v>38.9374</v>
      </c>
      <c r="G264" s="1">
        <v>0</v>
      </c>
      <c r="H264" s="1">
        <v>0</v>
      </c>
    </row>
    <row r="265" spans="2:8" ht="12.75">
      <c r="B265" s="1">
        <v>24</v>
      </c>
      <c r="C265" s="1">
        <v>0</v>
      </c>
      <c r="D265" s="1">
        <v>-397.635459</v>
      </c>
      <c r="E265" s="1">
        <v>-38.466424</v>
      </c>
      <c r="F265" s="1">
        <v>-4.1106</v>
      </c>
      <c r="G265" s="1">
        <v>0</v>
      </c>
      <c r="H265" s="1">
        <v>0</v>
      </c>
    </row>
    <row r="266" spans="2:8" ht="12.75">
      <c r="B266" s="1">
        <v>25</v>
      </c>
      <c r="C266" s="1">
        <v>0</v>
      </c>
      <c r="D266" s="1">
        <v>-397.635459</v>
      </c>
      <c r="E266" s="1">
        <v>-38.466424</v>
      </c>
      <c r="F266" s="1">
        <v>-47.1586</v>
      </c>
      <c r="G266" s="1">
        <v>0</v>
      </c>
      <c r="H266" s="1">
        <v>0</v>
      </c>
    </row>
    <row r="267" spans="2:8" ht="12.75">
      <c r="B267" s="1">
        <v>26</v>
      </c>
      <c r="C267" s="1">
        <v>0</v>
      </c>
      <c r="D267" s="1">
        <v>-448.96217</v>
      </c>
      <c r="E267" s="1">
        <v>9.131566</v>
      </c>
      <c r="F267" s="1">
        <v>-47.1586</v>
      </c>
      <c r="G267" s="1">
        <v>0</v>
      </c>
      <c r="H267" s="1">
        <v>0</v>
      </c>
    </row>
    <row r="268" spans="2:8" ht="12.75">
      <c r="B268" s="1">
        <v>27</v>
      </c>
      <c r="C268" s="1">
        <v>0</v>
      </c>
      <c r="D268" s="1">
        <v>-544.283205</v>
      </c>
      <c r="E268" s="1">
        <v>97.527835</v>
      </c>
      <c r="F268" s="1">
        <v>-27.1586</v>
      </c>
      <c r="G268" s="1">
        <v>0</v>
      </c>
      <c r="H268" s="1">
        <v>0</v>
      </c>
    </row>
    <row r="269" spans="2:8" ht="12.75">
      <c r="B269" s="1">
        <v>28</v>
      </c>
      <c r="C269" s="1">
        <v>0</v>
      </c>
      <c r="D269" s="1">
        <v>-544.283205</v>
      </c>
      <c r="E269" s="1">
        <v>97.527835</v>
      </c>
      <c r="F269" s="1">
        <v>-7.1586</v>
      </c>
      <c r="G269" s="1">
        <v>0</v>
      </c>
      <c r="H269" s="1">
        <v>0</v>
      </c>
    </row>
    <row r="270" spans="2:8" ht="12.75">
      <c r="B270" s="1">
        <v>29</v>
      </c>
      <c r="C270" s="1">
        <v>0</v>
      </c>
      <c r="D270" s="1">
        <v>-504.405979</v>
      </c>
      <c r="E270" s="1">
        <v>-219.977766</v>
      </c>
      <c r="F270" s="1">
        <v>-7.1586</v>
      </c>
      <c r="G270" s="1">
        <v>0</v>
      </c>
      <c r="H270" s="1">
        <v>0</v>
      </c>
    </row>
    <row r="271" spans="2:8" ht="12.75">
      <c r="B271" s="1">
        <v>30</v>
      </c>
      <c r="C271" s="1">
        <v>0</v>
      </c>
      <c r="D271" s="1">
        <v>-504.405979</v>
      </c>
      <c r="E271" s="1">
        <v>-219.977766</v>
      </c>
      <c r="F271" s="1">
        <v>-7.1586</v>
      </c>
      <c r="G271" s="1">
        <v>0</v>
      </c>
      <c r="H271" s="1">
        <v>0</v>
      </c>
    </row>
    <row r="272" spans="2:8" ht="12.75">
      <c r="B272" s="1">
        <v>31</v>
      </c>
      <c r="C272" s="1">
        <v>0</v>
      </c>
      <c r="D272" s="1">
        <v>-527.460001</v>
      </c>
      <c r="E272" s="1">
        <v>-36.419841</v>
      </c>
      <c r="F272" s="1">
        <v>-25.1586</v>
      </c>
      <c r="G272" s="1">
        <v>0</v>
      </c>
      <c r="H272" s="1">
        <v>0</v>
      </c>
    </row>
    <row r="273" spans="2:8" ht="12.75">
      <c r="B273" s="1">
        <v>32</v>
      </c>
      <c r="C273" s="1">
        <v>0</v>
      </c>
      <c r="D273" s="1">
        <v>-525.334374</v>
      </c>
      <c r="E273" s="1">
        <v>-40.945513</v>
      </c>
      <c r="F273" s="1">
        <v>-25.1586</v>
      </c>
      <c r="G273" s="1">
        <v>0</v>
      </c>
      <c r="H273" s="1">
        <v>0</v>
      </c>
    </row>
    <row r="274" spans="2:8" ht="12.75">
      <c r="B274" s="1">
        <v>33</v>
      </c>
      <c r="C274" s="1">
        <v>0</v>
      </c>
      <c r="D274" s="1">
        <v>-529.585628</v>
      </c>
      <c r="E274" s="1">
        <v>-31.894168</v>
      </c>
      <c r="F274" s="1">
        <v>-25.1586</v>
      </c>
      <c r="G274" s="1">
        <v>0</v>
      </c>
      <c r="H274" s="1">
        <v>0</v>
      </c>
    </row>
    <row r="275" spans="2:8" ht="12.75">
      <c r="B275" s="1">
        <v>34</v>
      </c>
      <c r="C275" s="1">
        <v>0</v>
      </c>
      <c r="D275" s="1">
        <v>-527.460001</v>
      </c>
      <c r="E275" s="1">
        <v>-36.419841</v>
      </c>
      <c r="F275" s="1">
        <v>-25.1586</v>
      </c>
      <c r="G275" s="1">
        <v>0</v>
      </c>
      <c r="H275" s="1">
        <v>0</v>
      </c>
    </row>
    <row r="276" spans="2:8" ht="12.75">
      <c r="B276" s="1">
        <v>35</v>
      </c>
      <c r="C276" s="1">
        <v>0</v>
      </c>
      <c r="D276" s="1">
        <v>-527.460001</v>
      </c>
      <c r="E276" s="1">
        <v>-36.419841</v>
      </c>
      <c r="F276" s="1">
        <v>-43.1586</v>
      </c>
      <c r="G276" s="1">
        <v>0</v>
      </c>
      <c r="H276" s="1">
        <v>0</v>
      </c>
    </row>
    <row r="277" spans="2:8" ht="12.75">
      <c r="B277" s="1">
        <v>36</v>
      </c>
      <c r="C277" s="4">
        <v>1.82E-14</v>
      </c>
      <c r="D277" s="1">
        <v>-619.802728</v>
      </c>
      <c r="E277" s="1">
        <v>62.057673</v>
      </c>
      <c r="F277" s="1">
        <v>-43.1586</v>
      </c>
      <c r="G277" s="1">
        <v>-45</v>
      </c>
      <c r="H277" s="1">
        <v>0</v>
      </c>
    </row>
    <row r="278" spans="2:8" ht="12.75">
      <c r="B278" s="1">
        <v>37</v>
      </c>
      <c r="C278" s="4">
        <v>-3.85E-15</v>
      </c>
      <c r="D278" s="1">
        <v>-619.802728</v>
      </c>
      <c r="E278" s="1">
        <v>62.057673</v>
      </c>
      <c r="F278" s="1">
        <v>0</v>
      </c>
      <c r="G278" s="1">
        <v>-90</v>
      </c>
      <c r="H278" s="1">
        <v>0</v>
      </c>
    </row>
    <row r="279" spans="2:8" ht="12.75">
      <c r="B279" s="1">
        <v>38</v>
      </c>
      <c r="C279" s="1">
        <v>-50</v>
      </c>
      <c r="D279" s="1">
        <v>-619.802728</v>
      </c>
      <c r="E279" s="1">
        <v>62.057673</v>
      </c>
      <c r="F279" s="1">
        <v>0</v>
      </c>
      <c r="G279" s="1">
        <v>-90</v>
      </c>
      <c r="H279" s="1">
        <v>0</v>
      </c>
    </row>
    <row r="280" spans="2:8" ht="12.75">
      <c r="B280" s="1">
        <v>39</v>
      </c>
      <c r="C280" s="1">
        <v>-34.14</v>
      </c>
      <c r="D280" s="1">
        <v>-619.802728</v>
      </c>
      <c r="E280" s="1">
        <v>62.057673</v>
      </c>
      <c r="F280" s="1">
        <v>0</v>
      </c>
      <c r="G280" s="1">
        <v>-90</v>
      </c>
      <c r="H280" s="1">
        <v>0</v>
      </c>
    </row>
    <row r="281" spans="2:8" ht="12.75">
      <c r="B281" s="1">
        <v>40</v>
      </c>
      <c r="C281" s="1">
        <v>-29.14</v>
      </c>
      <c r="D281" s="1">
        <v>-619.802728</v>
      </c>
      <c r="E281" s="1">
        <v>62.057673</v>
      </c>
      <c r="F281" s="1">
        <v>0</v>
      </c>
      <c r="G281" s="1">
        <v>-90</v>
      </c>
      <c r="H281" s="1">
        <v>0</v>
      </c>
    </row>
    <row r="282" spans="2:8" ht="12.75">
      <c r="B282" s="1">
        <v>41</v>
      </c>
      <c r="C282" s="1">
        <v>-34.14</v>
      </c>
      <c r="D282" s="1">
        <v>-619.802728</v>
      </c>
      <c r="E282" s="1">
        <v>62.057673</v>
      </c>
      <c r="F282" s="1">
        <v>0</v>
      </c>
      <c r="G282" s="1">
        <v>-90</v>
      </c>
      <c r="H282" s="1">
        <v>0</v>
      </c>
    </row>
    <row r="283" spans="2:8" ht="12.75">
      <c r="B283" s="1">
        <v>42</v>
      </c>
      <c r="C283" s="4">
        <v>1.82E-14</v>
      </c>
      <c r="D283" s="1">
        <v>-619.802728</v>
      </c>
      <c r="E283" s="1">
        <v>62.057673</v>
      </c>
      <c r="F283" s="1">
        <v>-43.1586</v>
      </c>
      <c r="G283" s="1">
        <v>-45</v>
      </c>
      <c r="H283" s="1">
        <v>0</v>
      </c>
    </row>
    <row r="284" spans="2:8" ht="12.75">
      <c r="B284" s="1">
        <v>43</v>
      </c>
      <c r="C284" s="4">
        <v>-3.44E-15</v>
      </c>
      <c r="D284" s="1">
        <v>-619.802728</v>
      </c>
      <c r="E284" s="1">
        <v>62.057673</v>
      </c>
      <c r="F284" s="1">
        <v>-43.1586</v>
      </c>
      <c r="G284" s="1">
        <v>0</v>
      </c>
      <c r="H284" s="1">
        <v>0</v>
      </c>
    </row>
    <row r="285" spans="2:8" ht="12.75">
      <c r="B285" s="1">
        <v>44</v>
      </c>
      <c r="C285" s="4">
        <v>2.02E-15</v>
      </c>
      <c r="D285" s="1">
        <v>-527.460001</v>
      </c>
      <c r="E285" s="1">
        <v>-36.419841</v>
      </c>
      <c r="F285" s="1">
        <v>-25.1586</v>
      </c>
      <c r="G285" s="1">
        <v>0</v>
      </c>
      <c r="H285" s="1">
        <v>0</v>
      </c>
    </row>
    <row r="286" spans="2:8" ht="12.75">
      <c r="B286" s="1">
        <v>45</v>
      </c>
      <c r="C286" s="4">
        <v>2.02E-15</v>
      </c>
      <c r="D286" s="1">
        <v>-527.460001</v>
      </c>
      <c r="E286" s="1">
        <v>-36.419841</v>
      </c>
      <c r="F286" s="1">
        <v>-7.1586</v>
      </c>
      <c r="G286" s="1">
        <v>0</v>
      </c>
      <c r="H286" s="1">
        <v>0</v>
      </c>
    </row>
    <row r="287" spans="2:8" ht="12.75">
      <c r="B287" s="1">
        <v>46</v>
      </c>
      <c r="C287" s="4">
        <v>7.15E-15</v>
      </c>
      <c r="D287" s="1">
        <v>-514.998367</v>
      </c>
      <c r="E287" s="1">
        <v>-135.640341</v>
      </c>
      <c r="F287" s="1">
        <v>-7.1586</v>
      </c>
      <c r="G287" s="1">
        <v>25</v>
      </c>
      <c r="H287" s="1">
        <v>0</v>
      </c>
    </row>
    <row r="288" spans="2:8" ht="12.75">
      <c r="B288" s="1">
        <v>47</v>
      </c>
      <c r="C288" s="1">
        <v>2.113091</v>
      </c>
      <c r="D288" s="1">
        <v>-514.433664</v>
      </c>
      <c r="E288" s="1">
        <v>-140.136557</v>
      </c>
      <c r="F288" s="1">
        <v>-7.1586</v>
      </c>
      <c r="G288" s="1">
        <v>25</v>
      </c>
      <c r="H288" s="1">
        <v>0</v>
      </c>
    </row>
    <row r="289" spans="2:8" ht="12.75">
      <c r="B289" s="1">
        <v>48</v>
      </c>
      <c r="C289" s="1">
        <v>-2.113091</v>
      </c>
      <c r="D289" s="1">
        <v>-515.563071</v>
      </c>
      <c r="E289" s="1">
        <v>-131.144126</v>
      </c>
      <c r="F289" s="1">
        <v>-7.1586</v>
      </c>
      <c r="G289" s="1">
        <v>25</v>
      </c>
      <c r="H289" s="1">
        <v>0</v>
      </c>
    </row>
    <row r="290" spans="2:8" ht="12.75">
      <c r="B290" s="1">
        <v>49</v>
      </c>
      <c r="C290" s="4">
        <v>7.15E-15</v>
      </c>
      <c r="D290" s="1">
        <v>-514.998367</v>
      </c>
      <c r="E290" s="1">
        <v>-135.640341</v>
      </c>
      <c r="F290" s="1">
        <v>-7.1586</v>
      </c>
      <c r="G290" s="1">
        <v>25</v>
      </c>
      <c r="H290" s="1">
        <v>0</v>
      </c>
    </row>
    <row r="291" spans="2:8" ht="12.75">
      <c r="B291" s="1">
        <v>50</v>
      </c>
      <c r="C291" s="1">
        <v>0</v>
      </c>
      <c r="D291" s="1">
        <v>-514.998367</v>
      </c>
      <c r="E291" s="1">
        <v>-135.640341</v>
      </c>
      <c r="F291" s="1">
        <v>-7.1586</v>
      </c>
      <c r="G291" s="1">
        <v>50</v>
      </c>
      <c r="H291" s="1">
        <v>0</v>
      </c>
    </row>
    <row r="292" spans="2:8" ht="12.75">
      <c r="B292" s="1">
        <v>51</v>
      </c>
      <c r="C292" s="1">
        <v>-65.113778</v>
      </c>
      <c r="D292" s="1">
        <v>-521.807023</v>
      </c>
      <c r="E292" s="1">
        <v>-81.429289</v>
      </c>
      <c r="F292" s="1">
        <v>-7.1586</v>
      </c>
      <c r="G292" s="1">
        <v>50</v>
      </c>
      <c r="H292" s="1">
        <v>0</v>
      </c>
    </row>
    <row r="293" spans="2:8" ht="12.75">
      <c r="B293" s="1">
        <v>52</v>
      </c>
      <c r="C293" s="1">
        <v>-58.6024</v>
      </c>
      <c r="D293" s="1">
        <v>-521.126158</v>
      </c>
      <c r="E293" s="1">
        <v>-86.850394</v>
      </c>
      <c r="F293" s="1">
        <v>-7.1586</v>
      </c>
      <c r="G293" s="1">
        <v>50</v>
      </c>
      <c r="H293" s="1">
        <v>0</v>
      </c>
    </row>
    <row r="294" spans="2:8" ht="12.75">
      <c r="B294" s="1">
        <v>53</v>
      </c>
      <c r="C294" s="1">
        <v>-54.772178</v>
      </c>
      <c r="D294" s="1">
        <v>-520.725649</v>
      </c>
      <c r="E294" s="1">
        <v>-90.03928</v>
      </c>
      <c r="F294" s="1">
        <v>-7.1586</v>
      </c>
      <c r="G294" s="1">
        <v>50</v>
      </c>
      <c r="H294" s="1">
        <v>0</v>
      </c>
    </row>
    <row r="295" spans="2:8" ht="12.75">
      <c r="B295" s="1">
        <v>54</v>
      </c>
      <c r="C295" s="1">
        <v>-58.6024</v>
      </c>
      <c r="D295" s="1">
        <v>-521.126158</v>
      </c>
      <c r="E295" s="1">
        <v>-86.850394</v>
      </c>
      <c r="F295" s="1">
        <v>-7.1586</v>
      </c>
      <c r="G295" s="1">
        <v>50</v>
      </c>
      <c r="H295" s="1">
        <v>0</v>
      </c>
    </row>
    <row r="296" spans="2:8" ht="12.75">
      <c r="B296" s="1">
        <v>55</v>
      </c>
      <c r="C296" s="4">
        <v>-7.15E-15</v>
      </c>
      <c r="D296" s="1">
        <v>-514.998367</v>
      </c>
      <c r="E296" s="1">
        <v>-135.640341</v>
      </c>
      <c r="F296" s="1">
        <v>-7.1586</v>
      </c>
      <c r="G296" s="1">
        <v>25</v>
      </c>
      <c r="H296" s="1">
        <v>0</v>
      </c>
    </row>
    <row r="297" spans="2:8" ht="12.75">
      <c r="B297" s="1">
        <v>56</v>
      </c>
      <c r="C297" s="4">
        <v>-7.91E-15</v>
      </c>
      <c r="D297" s="1">
        <v>-514.998367</v>
      </c>
      <c r="E297" s="1">
        <v>-135.640341</v>
      </c>
      <c r="F297" s="1">
        <v>-7.1586</v>
      </c>
      <c r="G297" s="1">
        <v>0</v>
      </c>
      <c r="H297" s="1">
        <v>0</v>
      </c>
    </row>
    <row r="298" spans="2:8" ht="12.75">
      <c r="B298" s="1">
        <v>57</v>
      </c>
      <c r="C298" s="4">
        <v>-1.28E-14</v>
      </c>
      <c r="D298" s="1">
        <v>-509.515249</v>
      </c>
      <c r="E298" s="1">
        <v>-179.297361</v>
      </c>
      <c r="F298" s="1">
        <v>41.4214</v>
      </c>
      <c r="G298" s="1">
        <v>0</v>
      </c>
      <c r="H298" s="1">
        <v>0</v>
      </c>
    </row>
    <row r="299" spans="2:8" ht="12.75">
      <c r="B299" s="1">
        <v>58</v>
      </c>
      <c r="C299" s="4">
        <v>-1.28E-14</v>
      </c>
      <c r="D299" s="1">
        <v>-509.515249</v>
      </c>
      <c r="E299" s="1">
        <v>-179.297361</v>
      </c>
      <c r="F299" s="1">
        <v>90.0014</v>
      </c>
      <c r="G299" s="1">
        <v>0</v>
      </c>
      <c r="H299" s="1">
        <v>0</v>
      </c>
    </row>
    <row r="300" spans="2:8" ht="12.75">
      <c r="B300" s="1">
        <v>59</v>
      </c>
      <c r="C300" s="4">
        <v>-1.34E-14</v>
      </c>
      <c r="D300" s="1">
        <v>-468.515249</v>
      </c>
      <c r="E300" s="1">
        <v>-179.298363</v>
      </c>
      <c r="F300" s="1">
        <v>90.0014</v>
      </c>
      <c r="G300" s="1">
        <v>0</v>
      </c>
      <c r="H300" s="1">
        <v>0</v>
      </c>
    </row>
    <row r="301" spans="2:8" ht="12.75">
      <c r="B301" s="1">
        <v>60</v>
      </c>
      <c r="C301" s="4">
        <v>-1.33E-14</v>
      </c>
      <c r="D301" s="1">
        <v>-477.505249</v>
      </c>
      <c r="E301" s="1">
        <v>-179.298143</v>
      </c>
      <c r="F301" s="1">
        <v>90.0014</v>
      </c>
      <c r="G301" s="1">
        <v>0</v>
      </c>
      <c r="H301" s="1">
        <v>0</v>
      </c>
    </row>
    <row r="302" spans="2:8" ht="12.75">
      <c r="B302" s="1">
        <v>61</v>
      </c>
      <c r="C302" s="4">
        <v>-1.32E-14</v>
      </c>
      <c r="D302" s="1">
        <v>-482.505249</v>
      </c>
      <c r="E302" s="1">
        <v>-179.298021</v>
      </c>
      <c r="F302" s="1">
        <v>90.0014</v>
      </c>
      <c r="G302" s="1">
        <v>0</v>
      </c>
      <c r="H302" s="1">
        <v>0</v>
      </c>
    </row>
    <row r="303" spans="2:8" ht="12.75">
      <c r="B303" s="1">
        <v>62</v>
      </c>
      <c r="C303" s="4">
        <v>-1.33E-14</v>
      </c>
      <c r="D303" s="1">
        <v>-477.505249</v>
      </c>
      <c r="E303" s="1">
        <v>-179.298143</v>
      </c>
      <c r="F303" s="1">
        <v>90.0014</v>
      </c>
      <c r="G303" s="1">
        <v>0</v>
      </c>
      <c r="H303" s="1">
        <v>0</v>
      </c>
    </row>
    <row r="304" spans="2:8" ht="12.75">
      <c r="B304" s="1">
        <v>63</v>
      </c>
      <c r="C304" s="4">
        <v>-1.34E-14</v>
      </c>
      <c r="D304" s="1">
        <v>-468.515249</v>
      </c>
      <c r="E304" s="1">
        <v>-179.298363</v>
      </c>
      <c r="F304" s="1">
        <v>90.0014</v>
      </c>
      <c r="G304" s="1">
        <v>0</v>
      </c>
      <c r="H304" s="1">
        <v>0</v>
      </c>
    </row>
    <row r="306" spans="2:13" ht="12.75">
      <c r="B306" s="1" t="s">
        <v>349</v>
      </c>
      <c r="C306" s="1" t="s">
        <v>350</v>
      </c>
      <c r="D306" s="1" t="s">
        <v>351</v>
      </c>
      <c r="E306" s="1" t="s">
        <v>352</v>
      </c>
      <c r="F306" s="1" t="s">
        <v>353</v>
      </c>
      <c r="G306" s="1" t="s">
        <v>354</v>
      </c>
      <c r="H306" s="1" t="s">
        <v>355</v>
      </c>
      <c r="I306" s="1" t="s">
        <v>356</v>
      </c>
      <c r="J306" s="1" t="s">
        <v>357</v>
      </c>
      <c r="K306" s="1" t="s">
        <v>358</v>
      </c>
      <c r="L306" s="1" t="s">
        <v>359</v>
      </c>
      <c r="M306" s="1" t="s">
        <v>360</v>
      </c>
    </row>
    <row r="307" ht="12.75">
      <c r="B307" s="1" t="s">
        <v>39</v>
      </c>
    </row>
    <row r="308" ht="12.75">
      <c r="B308" s="1" t="s">
        <v>39</v>
      </c>
    </row>
    <row r="309" spans="2:4" ht="12.75">
      <c r="B309" s="1" t="s">
        <v>39</v>
      </c>
      <c r="C309" s="1" t="s">
        <v>86</v>
      </c>
      <c r="D309" s="1" t="s">
        <v>87</v>
      </c>
    </row>
  </sheetData>
  <printOptions/>
  <pageMargins left="0.7874015748031497" right="0.7874015748031497" top="0.984251968503937" bottom="0.984251968503937" header="0.5118110236220472" footer="0.5118110236220472"/>
  <pageSetup horizontalDpi="600" verticalDpi="600" orientation="portrait" paperSize="9" scale="50" r:id="rId1"/>
  <headerFooter alignWithMargins="0">
    <oddHeader>&amp;L&amp;F, &amp;A&amp;R&amp;T, &amp;D</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B1:J88"/>
  <sheetViews>
    <sheetView workbookViewId="0" topLeftCell="A1">
      <selection activeCell="J27" sqref="J27"/>
    </sheetView>
  </sheetViews>
  <sheetFormatPr defaultColWidth="12" defaultRowHeight="12.75"/>
  <cols>
    <col min="1" max="16384" width="12" style="1" customWidth="1"/>
  </cols>
  <sheetData>
    <row r="1" ht="12.75">
      <c r="B1" s="1" t="s">
        <v>39</v>
      </c>
    </row>
    <row r="2" spans="2:3" ht="12.75">
      <c r="B2" s="1" t="s">
        <v>39</v>
      </c>
      <c r="C2" s="1" t="s">
        <v>40</v>
      </c>
    </row>
    <row r="4" spans="2:10" ht="12.75">
      <c r="B4" s="1" t="s">
        <v>41</v>
      </c>
      <c r="C4" s="1" t="s">
        <v>42</v>
      </c>
      <c r="D4" s="1" t="s">
        <v>43</v>
      </c>
      <c r="E4" s="1" t="s">
        <v>44</v>
      </c>
      <c r="F4" s="1" t="s">
        <v>45</v>
      </c>
      <c r="G4" s="1" t="s">
        <v>44</v>
      </c>
      <c r="H4" s="1" t="s">
        <v>46</v>
      </c>
      <c r="I4" s="1" t="s">
        <v>47</v>
      </c>
      <c r="J4" s="1" t="s">
        <v>48</v>
      </c>
    </row>
    <row r="6" spans="2:3" ht="12.75">
      <c r="B6" s="1" t="s">
        <v>39</v>
      </c>
      <c r="C6" s="1" t="s">
        <v>49</v>
      </c>
    </row>
    <row r="7" spans="2:3" ht="12.75">
      <c r="B7" s="2">
        <v>36728</v>
      </c>
      <c r="C7" s="3">
        <v>0.6857291666666666</v>
      </c>
    </row>
    <row r="8" ht="12.75">
      <c r="B8" s="1" t="s">
        <v>39</v>
      </c>
    </row>
    <row r="9" spans="2:10" ht="12.75">
      <c r="B9" s="1" t="s">
        <v>39</v>
      </c>
      <c r="C9" s="1" t="s">
        <v>50</v>
      </c>
      <c r="D9" s="1">
        <v>2</v>
      </c>
      <c r="E9" s="1">
        <v>0</v>
      </c>
      <c r="F9" s="1">
        <v>0</v>
      </c>
      <c r="G9" s="1">
        <v>0</v>
      </c>
      <c r="H9" s="1" t="s">
        <v>51</v>
      </c>
      <c r="I9" s="1">
        <v>0</v>
      </c>
      <c r="J9" s="1" t="s">
        <v>52</v>
      </c>
    </row>
    <row r="10" spans="2:8" ht="12.75">
      <c r="B10" s="1" t="s">
        <v>44</v>
      </c>
      <c r="C10" s="1" t="s">
        <v>46</v>
      </c>
      <c r="D10" s="1" t="s">
        <v>47</v>
      </c>
      <c r="E10" s="1" t="s">
        <v>48</v>
      </c>
      <c r="F10" s="1">
        <v>212</v>
      </c>
      <c r="G10" s="2">
        <v>36728</v>
      </c>
      <c r="H10" s="3">
        <v>0.6857291666666666</v>
      </c>
    </row>
    <row r="12" spans="2:4" ht="12.75">
      <c r="B12" s="1" t="s">
        <v>53</v>
      </c>
      <c r="C12" s="1" t="s">
        <v>54</v>
      </c>
      <c r="D12" s="1" t="s">
        <v>55</v>
      </c>
    </row>
    <row r="14" spans="2:10" ht="12.75">
      <c r="B14" s="1" t="s">
        <v>56</v>
      </c>
      <c r="C14" s="1" t="s">
        <v>57</v>
      </c>
      <c r="D14" s="1" t="s">
        <v>58</v>
      </c>
      <c r="E14" s="1" t="s">
        <v>59</v>
      </c>
      <c r="F14" s="1" t="s">
        <v>60</v>
      </c>
      <c r="G14" s="1" t="s">
        <v>61</v>
      </c>
      <c r="H14" s="1" t="s">
        <v>62</v>
      </c>
      <c r="I14" s="1" t="s">
        <v>63</v>
      </c>
      <c r="J14" s="1">
        <v>9</v>
      </c>
    </row>
    <row r="16" spans="2:8" ht="12.75">
      <c r="B16" s="1" t="s">
        <v>64</v>
      </c>
      <c r="C16" s="1" t="s">
        <v>65</v>
      </c>
      <c r="D16" s="1" t="s">
        <v>66</v>
      </c>
      <c r="E16" s="1" t="s">
        <v>67</v>
      </c>
      <c r="F16" s="1">
        <v>0</v>
      </c>
      <c r="G16" s="1" t="s">
        <v>68</v>
      </c>
      <c r="H16" s="1">
        <v>0</v>
      </c>
    </row>
    <row r="17" spans="2:9" ht="12.75">
      <c r="B17" s="1" t="s">
        <v>64</v>
      </c>
      <c r="C17" s="1" t="s">
        <v>69</v>
      </c>
      <c r="D17" s="1" t="s">
        <v>70</v>
      </c>
      <c r="E17" s="1" t="s">
        <v>71</v>
      </c>
      <c r="F17" s="1" t="s">
        <v>72</v>
      </c>
      <c r="G17" s="1">
        <v>0</v>
      </c>
      <c r="H17" s="1" t="s">
        <v>73</v>
      </c>
      <c r="I17" s="1">
        <v>0</v>
      </c>
    </row>
    <row r="18" spans="2:4" ht="12.75">
      <c r="B18" s="1" t="s">
        <v>74</v>
      </c>
      <c r="C18" s="1" t="s">
        <v>75</v>
      </c>
      <c r="D18" s="1">
        <v>2</v>
      </c>
    </row>
    <row r="20" spans="2:9" ht="12.75">
      <c r="B20" s="1" t="s">
        <v>56</v>
      </c>
      <c r="C20" s="1" t="s">
        <v>76</v>
      </c>
      <c r="D20" s="1" t="s">
        <v>77</v>
      </c>
      <c r="E20" s="1" t="s">
        <v>78</v>
      </c>
      <c r="F20" s="1" t="s">
        <v>79</v>
      </c>
      <c r="G20" s="1" t="s">
        <v>80</v>
      </c>
      <c r="H20" s="1" t="s">
        <v>78</v>
      </c>
      <c r="I20" s="1" t="s">
        <v>79</v>
      </c>
    </row>
    <row r="21" spans="2:7" ht="12.75">
      <c r="B21" s="1" t="s">
        <v>51</v>
      </c>
      <c r="C21" s="1" t="s">
        <v>17</v>
      </c>
      <c r="D21" s="1" t="s">
        <v>81</v>
      </c>
      <c r="E21" s="1" t="s">
        <v>82</v>
      </c>
      <c r="F21" s="1" t="s">
        <v>83</v>
      </c>
      <c r="G21" s="1" t="s">
        <v>84</v>
      </c>
    </row>
    <row r="22" ht="12.75">
      <c r="B22" s="1" t="s">
        <v>85</v>
      </c>
    </row>
    <row r="23" spans="2:7" ht="12.75">
      <c r="B23" s="1">
        <v>1</v>
      </c>
      <c r="C23" s="1">
        <v>0</v>
      </c>
      <c r="D23" s="1">
        <v>54.787891</v>
      </c>
      <c r="E23" s="1">
        <v>-1050.077652</v>
      </c>
      <c r="F23" s="1">
        <v>0</v>
      </c>
      <c r="G23" s="1">
        <v>-0.003193</v>
      </c>
    </row>
    <row r="24" spans="2:7" ht="12.75">
      <c r="B24" s="1">
        <v>2</v>
      </c>
      <c r="C24" s="1">
        <v>0</v>
      </c>
      <c r="D24" s="1">
        <v>-1.951301</v>
      </c>
      <c r="E24" s="1">
        <v>16720.938</v>
      </c>
      <c r="F24" s="1">
        <v>0</v>
      </c>
      <c r="G24" s="1">
        <v>-0.003193</v>
      </c>
    </row>
    <row r="25" spans="2:7" ht="12.75">
      <c r="B25" s="1">
        <v>3</v>
      </c>
      <c r="C25" s="1">
        <v>0</v>
      </c>
      <c r="D25" s="1">
        <v>-1.951301</v>
      </c>
      <c r="E25" s="1">
        <v>16720.938</v>
      </c>
      <c r="F25" s="1">
        <v>0</v>
      </c>
      <c r="G25" s="1">
        <v>-0.003193</v>
      </c>
    </row>
    <row r="26" spans="2:7" ht="12.75">
      <c r="B26" s="1">
        <v>4</v>
      </c>
      <c r="C26" s="1">
        <v>0</v>
      </c>
      <c r="D26" s="1">
        <v>54.78816</v>
      </c>
      <c r="E26" s="1">
        <v>-1050.162</v>
      </c>
      <c r="F26" s="1">
        <v>0</v>
      </c>
      <c r="G26" s="1">
        <v>-0.003193</v>
      </c>
    </row>
    <row r="27" spans="2:7" ht="12.75">
      <c r="B27" s="1">
        <v>5</v>
      </c>
      <c r="C27" s="1">
        <v>0</v>
      </c>
      <c r="D27" s="1">
        <v>61.173748</v>
      </c>
      <c r="E27" s="1">
        <v>-3050.162</v>
      </c>
      <c r="F27" s="1">
        <v>0</v>
      </c>
      <c r="G27" s="1">
        <v>-0.003193</v>
      </c>
    </row>
    <row r="28" spans="2:7" ht="12.75">
      <c r="B28" s="1">
        <v>6</v>
      </c>
      <c r="C28" s="1">
        <v>0</v>
      </c>
      <c r="D28" s="1">
        <v>54.789529</v>
      </c>
      <c r="E28" s="1">
        <v>-1050.590842</v>
      </c>
      <c r="F28" s="1">
        <v>0</v>
      </c>
      <c r="G28" s="1">
        <v>0.034512</v>
      </c>
    </row>
    <row r="29" spans="2:7" ht="12.75">
      <c r="B29" s="1">
        <v>7</v>
      </c>
      <c r="C29" s="1">
        <v>0</v>
      </c>
      <c r="D29" s="4">
        <v>1.42E-14</v>
      </c>
      <c r="E29" s="1">
        <v>-2638.131</v>
      </c>
      <c r="F29" s="1">
        <v>0</v>
      </c>
      <c r="G29" s="1">
        <v>-0.034512</v>
      </c>
    </row>
    <row r="30" spans="2:7" ht="12.75">
      <c r="B30" s="1">
        <v>8</v>
      </c>
      <c r="C30" s="1">
        <v>0</v>
      </c>
      <c r="D30" s="1">
        <v>-54.80433</v>
      </c>
      <c r="E30" s="1">
        <v>-1050.162</v>
      </c>
      <c r="F30" s="1">
        <v>0</v>
      </c>
      <c r="G30" s="1">
        <v>-0.034512</v>
      </c>
    </row>
    <row r="31" spans="2:7" ht="12.75">
      <c r="B31" s="1">
        <v>9</v>
      </c>
      <c r="C31" s="1">
        <v>0</v>
      </c>
      <c r="D31" s="1">
        <v>-90.137232</v>
      </c>
      <c r="E31" s="1">
        <v>-26.382426</v>
      </c>
      <c r="F31" s="1">
        <v>0</v>
      </c>
      <c r="G31" s="1">
        <v>-0.034512</v>
      </c>
    </row>
    <row r="32" spans="2:7" ht="12.75">
      <c r="B32" s="1">
        <v>10</v>
      </c>
      <c r="C32" s="1">
        <v>0</v>
      </c>
      <c r="D32" s="1">
        <v>-91.047748</v>
      </c>
      <c r="E32" s="4">
        <v>8.69E-06</v>
      </c>
      <c r="F32" s="1">
        <v>0</v>
      </c>
      <c r="G32" s="1">
        <v>-0.034512</v>
      </c>
    </row>
    <row r="33" spans="2:7" ht="12.75">
      <c r="B33" s="1">
        <v>11</v>
      </c>
      <c r="C33" s="1">
        <v>0</v>
      </c>
      <c r="D33" s="1">
        <v>-93.493223</v>
      </c>
      <c r="E33" s="1">
        <v>70.858245</v>
      </c>
      <c r="F33" s="1">
        <v>0</v>
      </c>
      <c r="G33" s="1">
        <v>0.576269</v>
      </c>
    </row>
    <row r="34" spans="2:7" ht="12.75">
      <c r="B34" s="1">
        <v>12</v>
      </c>
      <c r="C34" s="1">
        <v>0</v>
      </c>
      <c r="D34" s="1">
        <v>-93.493462</v>
      </c>
      <c r="E34" s="1">
        <v>70.85783</v>
      </c>
      <c r="F34" s="1">
        <v>0</v>
      </c>
      <c r="G34" s="1">
        <v>0.576269</v>
      </c>
    </row>
    <row r="35" spans="2:7" ht="12.75">
      <c r="B35" s="1">
        <v>13</v>
      </c>
      <c r="C35" s="1">
        <v>0</v>
      </c>
      <c r="D35" s="1">
        <v>-200.093508</v>
      </c>
      <c r="E35" s="1">
        <v>-114.125212</v>
      </c>
      <c r="F35" s="1">
        <v>0</v>
      </c>
      <c r="G35" s="1">
        <v>0.576269</v>
      </c>
    </row>
    <row r="36" spans="2:7" ht="12.75">
      <c r="B36" s="1">
        <v>14</v>
      </c>
      <c r="C36" s="1">
        <v>0</v>
      </c>
      <c r="D36" s="1">
        <v>-200.093508</v>
      </c>
      <c r="E36" s="1">
        <v>-114.125212</v>
      </c>
      <c r="F36" s="1">
        <v>0</v>
      </c>
      <c r="G36" s="1">
        <v>0.103927</v>
      </c>
    </row>
    <row r="37" spans="2:7" ht="12.75">
      <c r="B37" s="1">
        <v>15</v>
      </c>
      <c r="C37" s="1">
        <v>0</v>
      </c>
      <c r="D37" s="1">
        <v>-200.093508</v>
      </c>
      <c r="E37" s="1">
        <v>-114.125212</v>
      </c>
      <c r="F37" s="1">
        <v>0</v>
      </c>
      <c r="G37" s="1">
        <v>0.103927</v>
      </c>
    </row>
    <row r="38" spans="2:7" ht="12.75">
      <c r="B38" s="1">
        <v>16</v>
      </c>
      <c r="C38" s="1">
        <v>0</v>
      </c>
      <c r="D38" s="1">
        <v>-200.093519</v>
      </c>
      <c r="E38" s="1">
        <v>-114.125319</v>
      </c>
      <c r="F38" s="1">
        <v>0</v>
      </c>
      <c r="G38" s="1">
        <v>0.103927</v>
      </c>
    </row>
    <row r="39" spans="2:7" ht="12.75">
      <c r="B39" s="1">
        <v>17</v>
      </c>
      <c r="C39" s="1">
        <v>0</v>
      </c>
      <c r="D39" s="1">
        <v>-179.688231</v>
      </c>
      <c r="E39" s="1">
        <v>82.217352</v>
      </c>
      <c r="F39" s="1">
        <v>0</v>
      </c>
      <c r="G39" s="1">
        <v>0.452719</v>
      </c>
    </row>
    <row r="40" spans="2:7" ht="12.75">
      <c r="B40" s="1">
        <v>18</v>
      </c>
      <c r="C40" s="1">
        <v>0</v>
      </c>
      <c r="D40" s="1">
        <v>-179.688168</v>
      </c>
      <c r="E40" s="1">
        <v>82.217491</v>
      </c>
      <c r="F40" s="1">
        <v>0</v>
      </c>
      <c r="G40" s="1">
        <v>0.452719</v>
      </c>
    </row>
    <row r="41" spans="2:7" ht="12.75">
      <c r="B41" s="1">
        <v>19</v>
      </c>
      <c r="C41" s="1">
        <v>0</v>
      </c>
      <c r="D41" s="1">
        <v>-259.53336</v>
      </c>
      <c r="E41" s="1">
        <v>-94.150689</v>
      </c>
      <c r="F41" s="1">
        <v>0</v>
      </c>
      <c r="G41" s="1">
        <v>0.452719</v>
      </c>
    </row>
    <row r="42" spans="2:7" ht="12.75">
      <c r="B42" s="1">
        <v>20</v>
      </c>
      <c r="C42" s="1">
        <v>0</v>
      </c>
      <c r="D42" s="1">
        <v>-259.533341</v>
      </c>
      <c r="E42" s="1">
        <v>-94.150648</v>
      </c>
      <c r="F42" s="1">
        <v>0</v>
      </c>
      <c r="G42" s="1">
        <v>-0.098798</v>
      </c>
    </row>
    <row r="43" spans="2:7" ht="12.75">
      <c r="B43" s="1">
        <v>21</v>
      </c>
      <c r="C43" s="1">
        <v>0</v>
      </c>
      <c r="D43" s="1">
        <v>-259.533338</v>
      </c>
      <c r="E43" s="1">
        <v>-94.15068</v>
      </c>
      <c r="F43" s="1">
        <v>0</v>
      </c>
      <c r="G43" s="1">
        <v>-0.098798</v>
      </c>
    </row>
    <row r="44" spans="2:7" ht="12.75">
      <c r="B44" s="1">
        <v>22</v>
      </c>
      <c r="C44" s="1">
        <v>0</v>
      </c>
      <c r="D44" s="1">
        <v>-279.48232</v>
      </c>
      <c r="E44" s="1">
        <v>107.766013</v>
      </c>
      <c r="F44" s="1">
        <v>0</v>
      </c>
      <c r="G44" s="1">
        <v>0.807977</v>
      </c>
    </row>
    <row r="45" spans="2:7" ht="12.75">
      <c r="B45" s="1">
        <v>23</v>
      </c>
      <c r="C45" s="1">
        <v>0</v>
      </c>
      <c r="D45" s="1">
        <v>-279.482471</v>
      </c>
      <c r="E45" s="1">
        <v>107.765827</v>
      </c>
      <c r="F45" s="1">
        <v>0</v>
      </c>
      <c r="G45" s="1">
        <v>0.807977</v>
      </c>
    </row>
    <row r="46" spans="2:7" ht="12.75">
      <c r="B46" s="1">
        <v>24</v>
      </c>
      <c r="C46" s="1">
        <v>0</v>
      </c>
      <c r="D46" s="1">
        <v>-397.634755</v>
      </c>
      <c r="E46" s="1">
        <v>-38.466374</v>
      </c>
      <c r="F46" s="1">
        <v>0</v>
      </c>
      <c r="G46" s="1">
        <v>-1.078328</v>
      </c>
    </row>
    <row r="47" spans="2:7" ht="12.75">
      <c r="B47" s="1">
        <v>25</v>
      </c>
      <c r="C47" s="1">
        <v>0</v>
      </c>
      <c r="D47" s="1">
        <v>-397.635108</v>
      </c>
      <c r="E47" s="1">
        <v>-38.466046</v>
      </c>
      <c r="F47" s="1">
        <v>0</v>
      </c>
      <c r="G47" s="1">
        <v>-1.078328</v>
      </c>
    </row>
    <row r="48" spans="2:7" ht="12.75">
      <c r="B48" s="1">
        <v>26</v>
      </c>
      <c r="C48" s="1">
        <v>0</v>
      </c>
      <c r="D48" s="1">
        <v>-448.961602</v>
      </c>
      <c r="E48" s="1">
        <v>9.132179</v>
      </c>
      <c r="F48" s="1">
        <v>0</v>
      </c>
      <c r="G48" s="1">
        <v>-1.078328</v>
      </c>
    </row>
    <row r="49" spans="2:7" ht="12.75">
      <c r="B49" s="1">
        <v>27</v>
      </c>
      <c r="C49" s="1">
        <v>0</v>
      </c>
      <c r="D49" s="1">
        <v>-544.281853</v>
      </c>
      <c r="E49" s="1">
        <v>97.528529</v>
      </c>
      <c r="F49" s="1">
        <v>0</v>
      </c>
      <c r="G49" s="1">
        <v>-0.125591</v>
      </c>
    </row>
    <row r="50" spans="2:7" ht="12.75">
      <c r="B50" s="1">
        <v>28</v>
      </c>
      <c r="C50" s="1">
        <v>0</v>
      </c>
      <c r="D50" s="1">
        <v>-544.281788</v>
      </c>
      <c r="E50" s="1">
        <v>97.528013</v>
      </c>
      <c r="F50" s="1">
        <v>0</v>
      </c>
      <c r="G50" s="1">
        <v>-0.125591</v>
      </c>
    </row>
    <row r="51" spans="2:7" ht="12.75">
      <c r="B51" s="1">
        <v>29</v>
      </c>
      <c r="C51" s="1">
        <v>0</v>
      </c>
      <c r="D51" s="1">
        <v>-504.405865</v>
      </c>
      <c r="E51" s="1">
        <v>-219.977752</v>
      </c>
      <c r="F51" s="1">
        <v>0</v>
      </c>
      <c r="G51" s="1">
        <v>-0.125591</v>
      </c>
    </row>
    <row r="52" spans="2:7" ht="12.75">
      <c r="B52" s="1">
        <v>30</v>
      </c>
      <c r="C52" s="1">
        <v>0</v>
      </c>
      <c r="D52" s="1">
        <v>-504.405865</v>
      </c>
      <c r="E52" s="1">
        <v>-219.977752</v>
      </c>
      <c r="F52" s="1">
        <v>0</v>
      </c>
      <c r="G52" s="1">
        <v>-0.125591</v>
      </c>
    </row>
    <row r="53" spans="2:7" ht="12.75">
      <c r="B53" s="1">
        <v>31</v>
      </c>
      <c r="C53" s="1">
        <v>0</v>
      </c>
      <c r="D53" s="1">
        <v>-527.459168</v>
      </c>
      <c r="E53" s="1">
        <v>-36.41945</v>
      </c>
      <c r="F53" s="1">
        <v>0</v>
      </c>
      <c r="G53" s="1">
        <v>-0.937711</v>
      </c>
    </row>
    <row r="54" spans="2:7" ht="12.75">
      <c r="B54" s="1">
        <v>32</v>
      </c>
      <c r="C54" s="1">
        <v>0</v>
      </c>
      <c r="D54" s="1">
        <v>-523.863041</v>
      </c>
      <c r="E54" s="1">
        <v>-40.254454</v>
      </c>
      <c r="F54" s="1">
        <v>0</v>
      </c>
      <c r="G54" s="1">
        <v>-0.937711</v>
      </c>
    </row>
    <row r="55" spans="2:7" ht="12.75">
      <c r="B55" s="1">
        <v>33</v>
      </c>
      <c r="C55" s="1">
        <v>0</v>
      </c>
      <c r="D55" s="1">
        <v>-531.055296</v>
      </c>
      <c r="E55" s="1">
        <v>-32.584445</v>
      </c>
      <c r="F55" s="1">
        <v>0</v>
      </c>
      <c r="G55" s="1">
        <v>-0.937711</v>
      </c>
    </row>
    <row r="56" spans="2:7" ht="12.75">
      <c r="B56" s="1">
        <v>34</v>
      </c>
      <c r="C56" s="1">
        <v>0</v>
      </c>
      <c r="D56" s="1">
        <v>-527.459168</v>
      </c>
      <c r="E56" s="1">
        <v>-36.41945</v>
      </c>
      <c r="F56" s="1">
        <v>0</v>
      </c>
      <c r="G56" s="1">
        <v>-0.937711</v>
      </c>
    </row>
    <row r="57" spans="2:7" ht="12.75">
      <c r="B57" s="1">
        <v>35</v>
      </c>
      <c r="C57" s="1">
        <v>0</v>
      </c>
      <c r="D57" s="1">
        <v>-527.459363</v>
      </c>
      <c r="E57" s="1">
        <v>-36.419243</v>
      </c>
      <c r="F57" s="1">
        <v>0</v>
      </c>
      <c r="G57" s="1">
        <v>-0.937711</v>
      </c>
    </row>
    <row r="58" spans="2:7" ht="12.75">
      <c r="B58" s="1">
        <v>36</v>
      </c>
      <c r="C58" s="4">
        <v>1.82E-14</v>
      </c>
      <c r="D58" s="1">
        <v>-619.802494</v>
      </c>
      <c r="E58" s="1">
        <v>62.057893</v>
      </c>
      <c r="F58" s="4">
        <v>356000</v>
      </c>
      <c r="G58" s="1">
        <v>1.066622</v>
      </c>
    </row>
    <row r="59" spans="2:7" ht="12.75">
      <c r="B59" s="1">
        <v>37</v>
      </c>
      <c r="C59" s="4">
        <v>-3.85E-15</v>
      </c>
      <c r="D59" s="1">
        <v>-619.802494</v>
      </c>
      <c r="E59" s="1">
        <v>62.057893</v>
      </c>
      <c r="F59" s="4">
        <v>356000</v>
      </c>
      <c r="G59" s="1">
        <v>1.066622</v>
      </c>
    </row>
    <row r="60" spans="2:7" ht="12.75">
      <c r="B60" s="1">
        <v>38</v>
      </c>
      <c r="C60" s="1">
        <v>-50</v>
      </c>
      <c r="D60" s="1">
        <v>-619.802643</v>
      </c>
      <c r="E60" s="1">
        <v>62.057752</v>
      </c>
      <c r="F60" s="4">
        <v>356000</v>
      </c>
      <c r="G60" s="1">
        <v>1.066622</v>
      </c>
    </row>
    <row r="61" spans="2:7" ht="12.75">
      <c r="B61" s="1">
        <v>39</v>
      </c>
      <c r="C61" s="1">
        <v>-34.14</v>
      </c>
      <c r="D61" s="1">
        <v>-619.802596</v>
      </c>
      <c r="E61" s="1">
        <v>62.057797</v>
      </c>
      <c r="F61" s="4">
        <v>356000</v>
      </c>
      <c r="G61" s="1">
        <v>1.066622</v>
      </c>
    </row>
    <row r="62" spans="2:7" ht="12.75">
      <c r="B62" s="1">
        <v>40</v>
      </c>
      <c r="C62" s="1">
        <v>-29.14</v>
      </c>
      <c r="D62" s="1">
        <v>-619.802581</v>
      </c>
      <c r="E62" s="1">
        <v>62.057811</v>
      </c>
      <c r="F62" s="4">
        <v>356000</v>
      </c>
      <c r="G62" s="1">
        <v>1.066622</v>
      </c>
    </row>
    <row r="63" spans="2:7" ht="12.75">
      <c r="B63" s="1">
        <v>41</v>
      </c>
      <c r="C63" s="1">
        <v>-34.14</v>
      </c>
      <c r="D63" s="1">
        <v>-619.802596</v>
      </c>
      <c r="E63" s="1">
        <v>62.057797</v>
      </c>
      <c r="F63" s="4">
        <v>356000</v>
      </c>
      <c r="G63" s="1">
        <v>1.066622</v>
      </c>
    </row>
    <row r="64" spans="2:7" ht="12.75">
      <c r="B64" s="1">
        <v>42</v>
      </c>
      <c r="C64" s="4">
        <v>1.82E-14</v>
      </c>
      <c r="D64" s="1">
        <v>-619.802494</v>
      </c>
      <c r="E64" s="1">
        <v>62.057893</v>
      </c>
      <c r="F64" s="4">
        <v>3.23E-16</v>
      </c>
      <c r="G64" s="1">
        <v>-0.937711</v>
      </c>
    </row>
    <row r="65" spans="2:7" ht="12.75">
      <c r="B65" s="1">
        <v>43</v>
      </c>
      <c r="C65" s="4">
        <v>-3.44E-15</v>
      </c>
      <c r="D65" s="1">
        <v>-619.802494</v>
      </c>
      <c r="E65" s="1">
        <v>62.057893</v>
      </c>
      <c r="F65" s="4">
        <v>2.42E-16</v>
      </c>
      <c r="G65" s="1">
        <v>-0.937711</v>
      </c>
    </row>
    <row r="66" spans="2:7" ht="12.75">
      <c r="B66" s="1">
        <v>44</v>
      </c>
      <c r="C66" s="4">
        <v>-2.72E-14</v>
      </c>
      <c r="D66" s="1">
        <v>-527.459168</v>
      </c>
      <c r="E66" s="1">
        <v>-36.41945</v>
      </c>
      <c r="F66" s="4">
        <v>-2.74E-16</v>
      </c>
      <c r="G66" s="1">
        <v>-0.125591</v>
      </c>
    </row>
    <row r="67" spans="2:7" ht="12.75">
      <c r="B67" s="1">
        <v>45</v>
      </c>
      <c r="C67" s="4">
        <v>-2.72E-14</v>
      </c>
      <c r="D67" s="1">
        <v>-527.459133</v>
      </c>
      <c r="E67" s="1">
        <v>-36.419732</v>
      </c>
      <c r="F67" s="4">
        <v>-2.74E-16</v>
      </c>
      <c r="G67" s="1">
        <v>-0.125591</v>
      </c>
    </row>
    <row r="68" spans="2:7" ht="12.75">
      <c r="B68" s="1">
        <v>46</v>
      </c>
      <c r="C68" s="4">
        <v>-4.41E-16</v>
      </c>
      <c r="D68" s="1">
        <v>-514.997907</v>
      </c>
      <c r="E68" s="1">
        <v>-135.640283</v>
      </c>
      <c r="F68" s="1">
        <v>-1.201117</v>
      </c>
      <c r="G68" s="1">
        <v>-0.125602</v>
      </c>
    </row>
    <row r="69" spans="2:7" ht="12.75">
      <c r="B69" s="1">
        <v>47</v>
      </c>
      <c r="C69" s="1">
        <v>4.226183</v>
      </c>
      <c r="D69" s="1">
        <v>-514.555971</v>
      </c>
      <c r="E69" s="1">
        <v>-139.158826</v>
      </c>
      <c r="F69" s="1">
        <v>-1.201117</v>
      </c>
      <c r="G69" s="1">
        <v>-0.125602</v>
      </c>
    </row>
    <row r="70" spans="2:7" ht="12.75">
      <c r="B70" s="1">
        <v>48</v>
      </c>
      <c r="C70" s="1">
        <v>-4.226183</v>
      </c>
      <c r="D70" s="1">
        <v>-515.439842</v>
      </c>
      <c r="E70" s="1">
        <v>-132.12174</v>
      </c>
      <c r="F70" s="1">
        <v>-1.201117</v>
      </c>
      <c r="G70" s="1">
        <v>-0.125602</v>
      </c>
    </row>
    <row r="71" spans="2:7" ht="12.75">
      <c r="B71" s="1">
        <v>49</v>
      </c>
      <c r="C71" s="4">
        <v>-5E-16</v>
      </c>
      <c r="D71" s="1">
        <v>-514.997907</v>
      </c>
      <c r="E71" s="1">
        <v>-135.640283</v>
      </c>
      <c r="F71" s="1">
        <v>-1.201117</v>
      </c>
      <c r="G71" s="1">
        <v>-0.125602</v>
      </c>
    </row>
    <row r="72" spans="2:7" ht="12.75">
      <c r="B72" s="1">
        <v>50</v>
      </c>
      <c r="C72" s="4">
        <v>-4.92E-15</v>
      </c>
      <c r="D72" s="1">
        <v>-514.997907</v>
      </c>
      <c r="E72" s="1">
        <v>-135.640283</v>
      </c>
      <c r="F72" s="1">
        <v>-1.201117</v>
      </c>
      <c r="G72" s="1">
        <v>-0.125602</v>
      </c>
    </row>
    <row r="73" spans="2:7" ht="12.75">
      <c r="B73" s="1">
        <v>51</v>
      </c>
      <c r="C73" s="1">
        <v>-65.113778</v>
      </c>
      <c r="D73" s="1">
        <v>-521.806909</v>
      </c>
      <c r="E73" s="1">
        <v>-81.429275</v>
      </c>
      <c r="F73" s="1">
        <v>-1.201117</v>
      </c>
      <c r="G73" s="1">
        <v>-0.125602</v>
      </c>
    </row>
    <row r="74" spans="2:7" ht="12.75">
      <c r="B74" s="1">
        <v>52</v>
      </c>
      <c r="C74" s="1">
        <v>-58.6024</v>
      </c>
      <c r="D74" s="1">
        <v>-521.126009</v>
      </c>
      <c r="E74" s="1">
        <v>-86.850376</v>
      </c>
      <c r="F74" s="1">
        <v>-1.201117</v>
      </c>
      <c r="G74" s="1">
        <v>-0.125602</v>
      </c>
    </row>
    <row r="75" spans="2:7" ht="12.75">
      <c r="B75" s="1">
        <v>53</v>
      </c>
      <c r="C75" s="1">
        <v>-54.772178</v>
      </c>
      <c r="D75" s="1">
        <v>-520.725479</v>
      </c>
      <c r="E75" s="1">
        <v>-90.039258</v>
      </c>
      <c r="F75" s="1">
        <v>-1.201117</v>
      </c>
      <c r="G75" s="1">
        <v>-0.125602</v>
      </c>
    </row>
    <row r="76" spans="2:7" ht="12.75">
      <c r="B76" s="1">
        <v>54</v>
      </c>
      <c r="C76" s="1">
        <v>-58.6024</v>
      </c>
      <c r="D76" s="1">
        <v>-521.126009</v>
      </c>
      <c r="E76" s="1">
        <v>-86.850376</v>
      </c>
      <c r="F76" s="1">
        <v>-1.201117</v>
      </c>
      <c r="G76" s="1">
        <v>-0.125602</v>
      </c>
    </row>
    <row r="77" spans="2:7" ht="12.75">
      <c r="B77" s="1">
        <v>55</v>
      </c>
      <c r="C77" s="4">
        <v>-1.48E-14</v>
      </c>
      <c r="D77" s="1">
        <v>-514.997907</v>
      </c>
      <c r="E77" s="1">
        <v>-135.640283</v>
      </c>
      <c r="F77" s="4">
        <v>-3.55E-16</v>
      </c>
      <c r="G77" s="1">
        <v>-0.125591</v>
      </c>
    </row>
    <row r="78" spans="2:7" ht="12.75">
      <c r="B78" s="1">
        <v>56</v>
      </c>
      <c r="C78" s="4">
        <v>-1.56E-14</v>
      </c>
      <c r="D78" s="1">
        <v>-514.997907</v>
      </c>
      <c r="E78" s="1">
        <v>-135.640283</v>
      </c>
      <c r="F78" s="4">
        <v>-2.47E-16</v>
      </c>
      <c r="G78" s="1">
        <v>-0.125591</v>
      </c>
    </row>
    <row r="79" spans="2:7" ht="12.75">
      <c r="B79" s="1">
        <v>57</v>
      </c>
      <c r="C79" s="4">
        <v>-4.78E-15</v>
      </c>
      <c r="D79" s="1">
        <v>-509.514927</v>
      </c>
      <c r="E79" s="1">
        <v>-179.297645</v>
      </c>
      <c r="F79" s="4">
        <v>-1.69E-11</v>
      </c>
      <c r="G79" s="1">
        <v>-49183.88669</v>
      </c>
    </row>
    <row r="80" spans="2:7" ht="12.75">
      <c r="B80" s="1">
        <v>58</v>
      </c>
      <c r="C80" s="4">
        <v>-4.78E-15</v>
      </c>
      <c r="D80" s="1">
        <v>-509.515249</v>
      </c>
      <c r="E80" s="1">
        <v>-179.297645</v>
      </c>
      <c r="F80" s="4">
        <v>-1.69E-11</v>
      </c>
      <c r="G80" s="1">
        <v>-49183.88669</v>
      </c>
    </row>
    <row r="81" spans="2:7" ht="12.75">
      <c r="B81" s="1">
        <v>59</v>
      </c>
      <c r="C81" s="4">
        <v>9.28E-15</v>
      </c>
      <c r="D81" s="1">
        <v>-468.515249</v>
      </c>
      <c r="E81" s="1">
        <v>-179.298479</v>
      </c>
      <c r="F81" s="4">
        <v>-1.69E-11</v>
      </c>
      <c r="G81" s="1">
        <v>-49183.88669</v>
      </c>
    </row>
    <row r="82" spans="2:7" ht="12.75">
      <c r="B82" s="1">
        <v>60</v>
      </c>
      <c r="C82" s="4">
        <v>6.2E-15</v>
      </c>
      <c r="D82" s="1">
        <v>-477.505249</v>
      </c>
      <c r="E82" s="1">
        <v>-179.298296</v>
      </c>
      <c r="F82" s="4">
        <v>-1.69E-11</v>
      </c>
      <c r="G82" s="1">
        <v>-49183.88669</v>
      </c>
    </row>
    <row r="83" spans="2:7" ht="12.75">
      <c r="B83" s="1">
        <v>61</v>
      </c>
      <c r="C83" s="4">
        <v>4.48E-15</v>
      </c>
      <c r="D83" s="1">
        <v>-482.505249</v>
      </c>
      <c r="E83" s="1">
        <v>-179.298194</v>
      </c>
      <c r="F83" s="4">
        <v>-1.69E-11</v>
      </c>
      <c r="G83" s="1">
        <v>-49183.88669</v>
      </c>
    </row>
    <row r="84" spans="2:7" ht="12.75">
      <c r="B84" s="1">
        <v>62</v>
      </c>
      <c r="C84" s="4">
        <v>6.2E-15</v>
      </c>
      <c r="D84" s="1">
        <v>-477.505249</v>
      </c>
      <c r="E84" s="1">
        <v>-179.298296</v>
      </c>
      <c r="F84" s="4">
        <v>-1.69E-11</v>
      </c>
      <c r="G84" s="1">
        <v>-49183.88669</v>
      </c>
    </row>
    <row r="85" spans="2:5" ht="12.75">
      <c r="B85" s="1">
        <v>63</v>
      </c>
      <c r="C85" s="4">
        <v>9.28E-15</v>
      </c>
      <c r="D85" s="1">
        <v>-468.515249</v>
      </c>
      <c r="E85" s="1">
        <v>-179.298479</v>
      </c>
    </row>
    <row r="86" ht="12.75">
      <c r="B86" s="1" t="s">
        <v>39</v>
      </c>
    </row>
    <row r="87" ht="12.75">
      <c r="B87" s="1" t="s">
        <v>39</v>
      </c>
    </row>
    <row r="88" spans="2:4" ht="12.75">
      <c r="B88" s="1" t="s">
        <v>39</v>
      </c>
      <c r="C88" s="1" t="s">
        <v>86</v>
      </c>
      <c r="D88" s="1" t="s">
        <v>87</v>
      </c>
    </row>
  </sheetData>
  <printOptions/>
  <pageMargins left="0.7874015748031497" right="0.7874015748031497" top="0.984251968503937" bottom="0.984251968503937" header="0.5118110236220472" footer="0.5118110236220472"/>
  <pageSetup horizontalDpi="600" verticalDpi="600" orientation="portrait" paperSize="9" scale="50" r:id="rId1"/>
  <headerFooter alignWithMargins="0">
    <oddHeader>&amp;L&amp;F, &amp;A&amp;R&amp;T, &amp;D</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B1:J88"/>
  <sheetViews>
    <sheetView workbookViewId="0" topLeftCell="A1">
      <selection activeCell="A1" sqref="A1:J88"/>
    </sheetView>
  </sheetViews>
  <sheetFormatPr defaultColWidth="12" defaultRowHeight="12.75"/>
  <cols>
    <col min="1" max="16384" width="12" style="1" customWidth="1"/>
  </cols>
  <sheetData>
    <row r="1" ht="12.75">
      <c r="B1" s="1" t="s">
        <v>39</v>
      </c>
    </row>
    <row r="2" spans="2:3" ht="12.75">
      <c r="B2" s="1" t="s">
        <v>39</v>
      </c>
      <c r="C2" s="1" t="s">
        <v>40</v>
      </c>
    </row>
    <row r="4" spans="2:10" ht="12.75">
      <c r="B4" s="1" t="s">
        <v>41</v>
      </c>
      <c r="C4" s="1" t="s">
        <v>42</v>
      </c>
      <c r="D4" s="1" t="s">
        <v>43</v>
      </c>
      <c r="E4" s="1" t="s">
        <v>44</v>
      </c>
      <c r="F4" s="1" t="s">
        <v>45</v>
      </c>
      <c r="G4" s="1" t="s">
        <v>44</v>
      </c>
      <c r="H4" s="1" t="s">
        <v>46</v>
      </c>
      <c r="I4" s="1" t="s">
        <v>47</v>
      </c>
      <c r="J4" s="1" t="s">
        <v>417</v>
      </c>
    </row>
    <row r="6" spans="2:3" ht="12.75">
      <c r="B6" s="1" t="s">
        <v>39</v>
      </c>
      <c r="C6" s="1" t="s">
        <v>49</v>
      </c>
    </row>
    <row r="7" spans="2:3" ht="12.75">
      <c r="B7" s="2">
        <v>36907</v>
      </c>
      <c r="C7" s="3">
        <v>0.7617476851851852</v>
      </c>
    </row>
    <row r="8" ht="12.75">
      <c r="B8" s="1" t="s">
        <v>39</v>
      </c>
    </row>
    <row r="9" spans="2:10" ht="12.75">
      <c r="B9" s="1" t="s">
        <v>39</v>
      </c>
      <c r="C9" s="1" t="s">
        <v>50</v>
      </c>
      <c r="D9" s="1">
        <v>2</v>
      </c>
      <c r="E9" s="1" t="s">
        <v>89</v>
      </c>
      <c r="F9" s="1">
        <v>0</v>
      </c>
      <c r="G9" s="1">
        <v>0</v>
      </c>
      <c r="H9" s="1" t="s">
        <v>51</v>
      </c>
      <c r="I9" s="1" t="s">
        <v>90</v>
      </c>
      <c r="J9" s="1" t="s">
        <v>52</v>
      </c>
    </row>
    <row r="10" spans="2:8" ht="12.75">
      <c r="B10" s="1" t="s">
        <v>44</v>
      </c>
      <c r="C10" s="1" t="s">
        <v>46</v>
      </c>
      <c r="D10" s="1" t="s">
        <v>47</v>
      </c>
      <c r="E10" s="1" t="s">
        <v>417</v>
      </c>
      <c r="F10" s="1">
        <v>238</v>
      </c>
      <c r="G10" s="2">
        <v>36907</v>
      </c>
      <c r="H10" s="3">
        <v>0.7617476851851852</v>
      </c>
    </row>
    <row r="12" spans="2:4" ht="12.75">
      <c r="B12" s="1" t="s">
        <v>53</v>
      </c>
      <c r="C12" s="1" t="s">
        <v>54</v>
      </c>
      <c r="D12" s="1" t="s">
        <v>55</v>
      </c>
    </row>
    <row r="14" spans="2:10" ht="12.75">
      <c r="B14" s="1" t="s">
        <v>56</v>
      </c>
      <c r="C14" s="1" t="s">
        <v>57</v>
      </c>
      <c r="D14" s="1" t="s">
        <v>58</v>
      </c>
      <c r="E14" s="1" t="s">
        <v>59</v>
      </c>
      <c r="F14" s="1" t="s">
        <v>60</v>
      </c>
      <c r="G14" s="1" t="s">
        <v>61</v>
      </c>
      <c r="H14" s="1" t="s">
        <v>62</v>
      </c>
      <c r="I14" s="1" t="s">
        <v>63</v>
      </c>
      <c r="J14" s="1">
        <v>9</v>
      </c>
    </row>
    <row r="16" spans="2:8" ht="12.75">
      <c r="B16" s="1" t="s">
        <v>64</v>
      </c>
      <c r="C16" s="1" t="s">
        <v>65</v>
      </c>
      <c r="D16" s="1" t="s">
        <v>66</v>
      </c>
      <c r="E16" s="1" t="s">
        <v>67</v>
      </c>
      <c r="F16" s="1">
        <v>-0.2026</v>
      </c>
      <c r="G16" s="1" t="s">
        <v>68</v>
      </c>
      <c r="H16" s="1">
        <v>-2.2892</v>
      </c>
    </row>
    <row r="17" spans="2:9" ht="12.75">
      <c r="B17" s="1" t="s">
        <v>64</v>
      </c>
      <c r="C17" s="1" t="s">
        <v>69</v>
      </c>
      <c r="D17" s="1" t="s">
        <v>70</v>
      </c>
      <c r="E17" s="1" t="s">
        <v>71</v>
      </c>
      <c r="F17" s="1" t="s">
        <v>72</v>
      </c>
      <c r="G17" s="1">
        <v>0</v>
      </c>
      <c r="H17" s="1" t="s">
        <v>73</v>
      </c>
      <c r="I17" s="1">
        <v>0</v>
      </c>
    </row>
    <row r="18" spans="2:4" ht="12.75">
      <c r="B18" s="1" t="s">
        <v>74</v>
      </c>
      <c r="C18" s="1" t="s">
        <v>75</v>
      </c>
      <c r="D18" s="1">
        <v>2</v>
      </c>
    </row>
    <row r="20" spans="2:9" ht="12.75">
      <c r="B20" s="1" t="s">
        <v>56</v>
      </c>
      <c r="C20" s="1" t="s">
        <v>76</v>
      </c>
      <c r="D20" s="1" t="s">
        <v>77</v>
      </c>
      <c r="E20" s="1" t="s">
        <v>78</v>
      </c>
      <c r="F20" s="1" t="s">
        <v>79</v>
      </c>
      <c r="G20" s="1" t="s">
        <v>80</v>
      </c>
      <c r="H20" s="1" t="s">
        <v>78</v>
      </c>
      <c r="I20" s="1" t="s">
        <v>79</v>
      </c>
    </row>
    <row r="21" spans="2:7" ht="12.75">
      <c r="B21" s="1" t="s">
        <v>51</v>
      </c>
      <c r="C21" s="1" t="s">
        <v>17</v>
      </c>
      <c r="D21" s="1" t="s">
        <v>81</v>
      </c>
      <c r="E21" s="1" t="s">
        <v>82</v>
      </c>
      <c r="F21" s="1" t="s">
        <v>83</v>
      </c>
      <c r="G21" s="1" t="s">
        <v>84</v>
      </c>
    </row>
    <row r="22" ht="12.75">
      <c r="B22" s="1" t="s">
        <v>85</v>
      </c>
    </row>
    <row r="23" spans="2:7" ht="12.75">
      <c r="B23" s="1">
        <v>1</v>
      </c>
      <c r="C23" s="1">
        <v>11.427556</v>
      </c>
      <c r="D23" s="1">
        <v>55.801639</v>
      </c>
      <c r="E23" s="1">
        <v>-1050.074415</v>
      </c>
      <c r="F23" s="1">
        <v>-0.000666</v>
      </c>
      <c r="G23" s="1">
        <v>-0.003252</v>
      </c>
    </row>
    <row r="24" spans="2:7" ht="12.75">
      <c r="B24" s="1">
        <v>2</v>
      </c>
      <c r="C24" s="1">
        <v>-0.406484</v>
      </c>
      <c r="D24" s="1">
        <v>-1.984891</v>
      </c>
      <c r="E24" s="1">
        <v>16720.938</v>
      </c>
      <c r="F24" s="1">
        <v>-0.000666</v>
      </c>
      <c r="G24" s="1">
        <v>-0.003252</v>
      </c>
    </row>
    <row r="25" spans="2:7" ht="12.75">
      <c r="B25" s="1">
        <v>3</v>
      </c>
      <c r="C25" s="1">
        <v>-0.406484</v>
      </c>
      <c r="D25" s="1">
        <v>-1.984891</v>
      </c>
      <c r="E25" s="1">
        <v>16720.938</v>
      </c>
      <c r="F25" s="1">
        <v>-0.000666</v>
      </c>
      <c r="G25" s="1">
        <v>-0.003252</v>
      </c>
    </row>
    <row r="26" spans="2:7" ht="12.75">
      <c r="B26" s="1">
        <v>4</v>
      </c>
      <c r="C26" s="1">
        <v>11.427614</v>
      </c>
      <c r="D26" s="1">
        <v>55.801923</v>
      </c>
      <c r="E26" s="1">
        <v>-1050.162</v>
      </c>
      <c r="F26" s="1">
        <v>-0.000666</v>
      </c>
      <c r="G26" s="1">
        <v>-0.003252</v>
      </c>
    </row>
    <row r="27" spans="2:7" ht="12.75">
      <c r="B27" s="1">
        <v>5</v>
      </c>
      <c r="C27" s="1">
        <v>12.75945</v>
      </c>
      <c r="D27" s="1">
        <v>62.305383</v>
      </c>
      <c r="E27" s="1">
        <v>-3050.162</v>
      </c>
      <c r="F27" s="1">
        <v>-0.000666</v>
      </c>
      <c r="G27" s="1">
        <v>-0.003252</v>
      </c>
    </row>
    <row r="28" spans="2:7" ht="12.75">
      <c r="B28" s="1">
        <v>6</v>
      </c>
      <c r="C28" s="1">
        <v>11.427923</v>
      </c>
      <c r="D28" s="1">
        <v>55.803431</v>
      </c>
      <c r="E28" s="1">
        <v>-1050.625517</v>
      </c>
      <c r="F28" s="1">
        <v>0.007199</v>
      </c>
      <c r="G28" s="1">
        <v>0.035152</v>
      </c>
    </row>
    <row r="29" spans="2:7" ht="12.75">
      <c r="B29" s="1">
        <v>7</v>
      </c>
      <c r="C29" s="4">
        <v>3.55E-15</v>
      </c>
      <c r="D29" s="4">
        <v>1.42E-14</v>
      </c>
      <c r="E29" s="1">
        <v>-2638.131</v>
      </c>
      <c r="F29" s="1">
        <v>-0.007199</v>
      </c>
      <c r="G29" s="1">
        <v>-0.035152</v>
      </c>
    </row>
    <row r="30" spans="2:7" ht="12.75">
      <c r="B30" s="1">
        <v>8</v>
      </c>
      <c r="C30" s="1">
        <v>-11.431259</v>
      </c>
      <c r="D30" s="1">
        <v>-55.819724</v>
      </c>
      <c r="E30" s="1">
        <v>-1050.162</v>
      </c>
      <c r="F30" s="1">
        <v>-0.007199</v>
      </c>
      <c r="G30" s="1">
        <v>-0.035152</v>
      </c>
    </row>
    <row r="31" spans="2:7" ht="12.75">
      <c r="B31" s="1">
        <v>9</v>
      </c>
      <c r="C31" s="1">
        <v>-18.784562</v>
      </c>
      <c r="D31" s="1">
        <v>-91.72647</v>
      </c>
      <c r="E31" s="1">
        <v>-28.68079</v>
      </c>
      <c r="F31" s="1">
        <v>-0.007199</v>
      </c>
      <c r="G31" s="1">
        <v>-0.035152</v>
      </c>
    </row>
    <row r="32" spans="2:7" ht="12.75">
      <c r="B32" s="1">
        <v>10</v>
      </c>
      <c r="C32" s="1">
        <v>-18.990607</v>
      </c>
      <c r="D32" s="1">
        <v>-92.732603</v>
      </c>
      <c r="E32" s="1">
        <v>-0.058139</v>
      </c>
      <c r="F32" s="1">
        <v>-0.007199</v>
      </c>
      <c r="G32" s="1">
        <v>-0.035152</v>
      </c>
    </row>
    <row r="33" spans="2:7" ht="12.75">
      <c r="B33" s="1">
        <v>11</v>
      </c>
      <c r="C33" s="1">
        <v>-19.500476</v>
      </c>
      <c r="D33" s="1">
        <v>-95.222336</v>
      </c>
      <c r="E33" s="1">
        <v>70.770194</v>
      </c>
      <c r="F33" s="1">
        <v>-0.105458</v>
      </c>
      <c r="G33" s="1">
        <v>0.56735</v>
      </c>
    </row>
    <row r="34" spans="2:7" ht="12.75">
      <c r="B34" s="1">
        <v>12</v>
      </c>
      <c r="C34" s="1">
        <v>-19.586621</v>
      </c>
      <c r="D34" s="1">
        <v>-94.75889</v>
      </c>
      <c r="E34" s="1">
        <v>71.587053</v>
      </c>
      <c r="F34" s="1">
        <v>-0.105458</v>
      </c>
      <c r="G34" s="1">
        <v>0.56735</v>
      </c>
    </row>
    <row r="35" spans="2:7" ht="12.75">
      <c r="B35" s="1">
        <v>13</v>
      </c>
      <c r="C35" s="1">
        <v>-0.002619</v>
      </c>
      <c r="D35" s="1">
        <v>-200.11827</v>
      </c>
      <c r="E35" s="1">
        <v>-114.117194</v>
      </c>
      <c r="F35" s="1">
        <v>-0.105458</v>
      </c>
      <c r="G35" s="1">
        <v>0.56735</v>
      </c>
    </row>
    <row r="36" spans="2:7" ht="12.75">
      <c r="B36" s="1">
        <v>14</v>
      </c>
      <c r="C36" s="1">
        <v>-0.002619</v>
      </c>
      <c r="D36" s="1">
        <v>-200.11827</v>
      </c>
      <c r="E36" s="1">
        <v>-114.117194</v>
      </c>
      <c r="F36" s="1">
        <v>0.092284</v>
      </c>
      <c r="G36" s="1">
        <v>0.110726</v>
      </c>
    </row>
    <row r="37" spans="2:7" ht="12.75">
      <c r="B37" s="1">
        <v>15</v>
      </c>
      <c r="C37" s="1">
        <v>-0.002619</v>
      </c>
      <c r="D37" s="1">
        <v>-200.11827</v>
      </c>
      <c r="E37" s="1">
        <v>-114.117194</v>
      </c>
      <c r="F37" s="1">
        <v>0.092284</v>
      </c>
      <c r="G37" s="1">
        <v>0.110726</v>
      </c>
    </row>
    <row r="38" spans="2:7" ht="12.75">
      <c r="B38" s="1">
        <v>16</v>
      </c>
      <c r="C38" s="1">
        <v>-0.003126</v>
      </c>
      <c r="D38" s="1">
        <v>-200.118878</v>
      </c>
      <c r="E38" s="1">
        <v>-114.122683</v>
      </c>
      <c r="F38" s="1">
        <v>0.092284</v>
      </c>
      <c r="G38" s="1">
        <v>0.110726</v>
      </c>
    </row>
    <row r="39" spans="2:7" ht="12.75">
      <c r="B39" s="1">
        <v>17</v>
      </c>
      <c r="C39" s="1">
        <v>18.0297</v>
      </c>
      <c r="D39" s="1">
        <v>-178.482563</v>
      </c>
      <c r="E39" s="1">
        <v>81.282101</v>
      </c>
      <c r="F39" s="1">
        <v>0.040144</v>
      </c>
      <c r="G39" s="1">
        <v>0.455486</v>
      </c>
    </row>
    <row r="40" spans="2:7" ht="12.75">
      <c r="B40" s="1">
        <v>18</v>
      </c>
      <c r="C40" s="1">
        <v>18.042666</v>
      </c>
      <c r="D40" s="1">
        <v>-178.335449</v>
      </c>
      <c r="E40" s="1">
        <v>81.605082</v>
      </c>
      <c r="F40" s="1">
        <v>0.040144</v>
      </c>
      <c r="G40" s="1">
        <v>0.455486</v>
      </c>
    </row>
    <row r="41" spans="2:7" ht="12.75">
      <c r="B41" s="1">
        <v>19</v>
      </c>
      <c r="C41" s="1">
        <v>10.994499</v>
      </c>
      <c r="D41" s="1">
        <v>-258.30578</v>
      </c>
      <c r="E41" s="1">
        <v>-93.966358</v>
      </c>
      <c r="F41" s="1">
        <v>0.040144</v>
      </c>
      <c r="G41" s="1">
        <v>0.455486</v>
      </c>
    </row>
    <row r="42" spans="2:7" ht="12.75">
      <c r="B42" s="1">
        <v>20</v>
      </c>
      <c r="C42" s="1">
        <v>10.973657</v>
      </c>
      <c r="D42" s="1">
        <v>-258.542261</v>
      </c>
      <c r="E42" s="1">
        <v>-94.485541</v>
      </c>
      <c r="F42" s="1">
        <v>0.022597</v>
      </c>
      <c r="G42" s="1">
        <v>-0.094222</v>
      </c>
    </row>
    <row r="43" spans="2:7" ht="12.75">
      <c r="B43" s="1">
        <v>21</v>
      </c>
      <c r="C43" s="1">
        <v>10.983347</v>
      </c>
      <c r="D43" s="1">
        <v>-258.582662</v>
      </c>
      <c r="E43" s="1">
        <v>-94.056751</v>
      </c>
      <c r="F43" s="1">
        <v>0.022597</v>
      </c>
      <c r="G43" s="1">
        <v>-0.094222</v>
      </c>
    </row>
    <row r="44" spans="2:7" ht="12.75">
      <c r="B44" s="1">
        <v>22</v>
      </c>
      <c r="C44" s="1">
        <v>15.521875</v>
      </c>
      <c r="D44" s="1">
        <v>-277.506548</v>
      </c>
      <c r="E44" s="1">
        <v>106.787347</v>
      </c>
      <c r="F44" s="1">
        <v>0.08344</v>
      </c>
      <c r="G44" s="1">
        <v>0.82359</v>
      </c>
    </row>
    <row r="45" spans="2:7" ht="12.75">
      <c r="B45" s="1">
        <v>23</v>
      </c>
      <c r="C45" s="1">
        <v>15.490912</v>
      </c>
      <c r="D45" s="1">
        <v>-277.812169</v>
      </c>
      <c r="E45" s="1">
        <v>106.416262</v>
      </c>
      <c r="F45" s="1">
        <v>0.08344</v>
      </c>
      <c r="G45" s="1">
        <v>0.82359</v>
      </c>
    </row>
    <row r="46" spans="2:7" ht="12.75">
      <c r="B46" s="1">
        <v>24</v>
      </c>
      <c r="C46" s="1">
        <v>3.403216</v>
      </c>
      <c r="D46" s="1">
        <v>-397.122812</v>
      </c>
      <c r="E46" s="1">
        <v>-38.450296</v>
      </c>
      <c r="F46" s="1">
        <v>-0.069661</v>
      </c>
      <c r="G46" s="1">
        <v>-1.088966</v>
      </c>
    </row>
    <row r="47" spans="2:7" ht="12.75">
      <c r="B47" s="1">
        <v>25</v>
      </c>
      <c r="C47" s="1">
        <v>3.386021</v>
      </c>
      <c r="D47" s="1">
        <v>-397.391603</v>
      </c>
      <c r="E47" s="1">
        <v>-38.203465</v>
      </c>
      <c r="F47" s="1">
        <v>-0.069661</v>
      </c>
      <c r="G47" s="1">
        <v>-1.088966</v>
      </c>
    </row>
    <row r="48" spans="2:7" ht="12.75">
      <c r="B48" s="1">
        <v>26</v>
      </c>
      <c r="C48" s="1">
        <v>0.087781</v>
      </c>
      <c r="D48" s="1">
        <v>-448.950976</v>
      </c>
      <c r="E48" s="1">
        <v>9.143638</v>
      </c>
      <c r="F48" s="1">
        <v>-0.069661</v>
      </c>
      <c r="G48" s="1">
        <v>-1.088966</v>
      </c>
    </row>
    <row r="49" spans="2:7" ht="12.75">
      <c r="B49" s="1">
        <v>27</v>
      </c>
      <c r="C49" s="1">
        <v>-6.04551</v>
      </c>
      <c r="D49" s="1">
        <v>-544.828974</v>
      </c>
      <c r="E49" s="1">
        <v>97.188646</v>
      </c>
      <c r="F49" s="1">
        <v>0.014846</v>
      </c>
      <c r="G49" s="1">
        <v>-0.124712</v>
      </c>
    </row>
    <row r="50" spans="2:7" ht="12.75">
      <c r="B50" s="1">
        <v>28</v>
      </c>
      <c r="C50" s="1">
        <v>-6.041554</v>
      </c>
      <c r="D50" s="1">
        <v>-544.862206</v>
      </c>
      <c r="E50" s="1">
        <v>97.455115</v>
      </c>
      <c r="F50" s="1">
        <v>0.014846</v>
      </c>
      <c r="G50" s="1">
        <v>-0.124712</v>
      </c>
    </row>
    <row r="51" spans="2:7" ht="12.75">
      <c r="B51" s="1">
        <v>29</v>
      </c>
      <c r="C51" s="1">
        <v>-10.755735</v>
      </c>
      <c r="D51" s="1">
        <v>-505.261042</v>
      </c>
      <c r="E51" s="1">
        <v>-220.085158</v>
      </c>
      <c r="F51" s="1">
        <v>0.014846</v>
      </c>
      <c r="G51" s="1">
        <v>-0.124712</v>
      </c>
    </row>
    <row r="52" spans="2:7" ht="12.75">
      <c r="B52" s="1">
        <v>30</v>
      </c>
      <c r="C52" s="1">
        <v>-10.755735</v>
      </c>
      <c r="D52" s="1">
        <v>-505.261042</v>
      </c>
      <c r="E52" s="1">
        <v>-220.085158</v>
      </c>
      <c r="F52" s="1">
        <v>0.014846</v>
      </c>
      <c r="G52" s="1">
        <v>-0.124712</v>
      </c>
    </row>
    <row r="53" spans="2:7" ht="12.75">
      <c r="B53" s="1">
        <v>31</v>
      </c>
      <c r="C53" s="1">
        <v>-8.033705</v>
      </c>
      <c r="D53" s="1">
        <v>-528.127272</v>
      </c>
      <c r="E53" s="1">
        <v>-36.733246</v>
      </c>
      <c r="F53" s="1">
        <v>-0.020212</v>
      </c>
      <c r="G53" s="1">
        <v>-0.939339</v>
      </c>
    </row>
    <row r="54" spans="2:7" ht="12.75">
      <c r="B54" s="1">
        <v>32</v>
      </c>
      <c r="C54" s="1">
        <v>-7.956233</v>
      </c>
      <c r="D54" s="1">
        <v>-524.526814</v>
      </c>
      <c r="E54" s="1">
        <v>-40.566217</v>
      </c>
      <c r="F54" s="1">
        <v>-0.020212</v>
      </c>
      <c r="G54" s="1">
        <v>-0.939339</v>
      </c>
    </row>
    <row r="55" spans="2:7" ht="12.75">
      <c r="B55" s="1">
        <v>33</v>
      </c>
      <c r="C55" s="1">
        <v>-8.111177</v>
      </c>
      <c r="D55" s="1">
        <v>-531.727731</v>
      </c>
      <c r="E55" s="1">
        <v>-32.900276</v>
      </c>
      <c r="F55" s="1">
        <v>-0.020212</v>
      </c>
      <c r="G55" s="1">
        <v>-0.939339</v>
      </c>
    </row>
    <row r="56" spans="2:7" ht="12.75">
      <c r="B56" s="1">
        <v>34</v>
      </c>
      <c r="C56" s="1">
        <v>-8.033705</v>
      </c>
      <c r="D56" s="1">
        <v>-528.127272</v>
      </c>
      <c r="E56" s="1">
        <v>-36.733246</v>
      </c>
      <c r="F56" s="1">
        <v>-0.020212</v>
      </c>
      <c r="G56" s="1">
        <v>-0.939339</v>
      </c>
    </row>
    <row r="57" spans="2:7" ht="12.75">
      <c r="B57" s="1">
        <v>35</v>
      </c>
      <c r="C57" s="1">
        <v>-8.030349</v>
      </c>
      <c r="D57" s="1">
        <v>-527.971302</v>
      </c>
      <c r="E57" s="1">
        <v>-36.89929</v>
      </c>
      <c r="F57" s="1">
        <v>-0.020212</v>
      </c>
      <c r="G57" s="1">
        <v>-0.939339</v>
      </c>
    </row>
    <row r="58" spans="2:7" ht="12.75">
      <c r="B58" s="1">
        <v>36</v>
      </c>
      <c r="C58" s="1">
        <v>-10.168951</v>
      </c>
      <c r="D58" s="1">
        <v>-627.36187</v>
      </c>
      <c r="E58" s="1">
        <v>68.909762</v>
      </c>
      <c r="F58" s="1">
        <v>-98.506828</v>
      </c>
      <c r="G58" s="1">
        <v>-1.055117</v>
      </c>
    </row>
    <row r="59" spans="2:7" ht="12.75">
      <c r="B59" s="1">
        <v>37</v>
      </c>
      <c r="C59" s="4">
        <v>3.59E-09</v>
      </c>
      <c r="D59" s="1">
        <v>-627.252949</v>
      </c>
      <c r="E59" s="1">
        <v>68.806531</v>
      </c>
      <c r="F59" s="1">
        <v>-98.506828</v>
      </c>
      <c r="G59" s="1">
        <v>-1.055117</v>
      </c>
    </row>
    <row r="60" spans="2:7" ht="12.75">
      <c r="B60" s="1">
        <v>38</v>
      </c>
      <c r="C60" s="1">
        <v>-50</v>
      </c>
      <c r="D60" s="1">
        <v>-627.788504</v>
      </c>
      <c r="E60" s="1">
        <v>69.31411</v>
      </c>
      <c r="F60" s="1">
        <v>-98.506828</v>
      </c>
      <c r="G60" s="1">
        <v>-1.055117</v>
      </c>
    </row>
    <row r="61" spans="2:7" ht="12.75">
      <c r="B61" s="1">
        <v>39</v>
      </c>
      <c r="C61" s="1">
        <v>-34.14</v>
      </c>
      <c r="D61" s="1">
        <v>-627.618626</v>
      </c>
      <c r="E61" s="1">
        <v>69.153106</v>
      </c>
      <c r="F61" s="1">
        <v>-98.506828</v>
      </c>
      <c r="G61" s="1">
        <v>-1.055117</v>
      </c>
    </row>
    <row r="62" spans="2:7" ht="12.75">
      <c r="B62" s="1">
        <v>40</v>
      </c>
      <c r="C62" s="1">
        <v>-29.14</v>
      </c>
      <c r="D62" s="1">
        <v>-627.565071</v>
      </c>
      <c r="E62" s="1">
        <v>69.102348</v>
      </c>
      <c r="F62" s="1">
        <v>-98.506828</v>
      </c>
      <c r="G62" s="1">
        <v>-1.055117</v>
      </c>
    </row>
    <row r="63" spans="2:7" ht="12.75">
      <c r="B63" s="1">
        <v>41</v>
      </c>
      <c r="C63" s="1">
        <v>-34.14</v>
      </c>
      <c r="D63" s="1">
        <v>-627.618626</v>
      </c>
      <c r="E63" s="1">
        <v>69.153106</v>
      </c>
      <c r="F63" s="1">
        <v>-98.506828</v>
      </c>
      <c r="G63" s="1">
        <v>-1.055117</v>
      </c>
    </row>
    <row r="64" spans="2:7" ht="12.75">
      <c r="B64" s="1">
        <v>42</v>
      </c>
      <c r="C64" s="1">
        <v>-10.168951</v>
      </c>
      <c r="D64" s="1">
        <v>-627.36187</v>
      </c>
      <c r="E64" s="1">
        <v>68.909762</v>
      </c>
      <c r="F64" s="1">
        <v>-0.020212</v>
      </c>
      <c r="G64" s="1">
        <v>-0.939339</v>
      </c>
    </row>
    <row r="65" spans="2:7" ht="12.75">
      <c r="B65" s="1">
        <v>43</v>
      </c>
      <c r="C65" s="1">
        <v>-10.019144</v>
      </c>
      <c r="D65" s="1">
        <v>-620.399652</v>
      </c>
      <c r="E65" s="1">
        <v>61.497935</v>
      </c>
      <c r="F65" s="1">
        <v>-0.020212</v>
      </c>
      <c r="G65" s="1">
        <v>-0.939339</v>
      </c>
    </row>
    <row r="66" spans="2:7" ht="12.75">
      <c r="B66" s="1">
        <v>44</v>
      </c>
      <c r="C66" s="1">
        <v>-8.033705</v>
      </c>
      <c r="D66" s="1">
        <v>-528.127272</v>
      </c>
      <c r="E66" s="1">
        <v>-36.733246</v>
      </c>
      <c r="F66" s="1">
        <v>0.014846</v>
      </c>
      <c r="G66" s="1">
        <v>-0.124712</v>
      </c>
    </row>
    <row r="67" spans="2:7" ht="12.75">
      <c r="B67" s="1">
        <v>45</v>
      </c>
      <c r="C67" s="1">
        <v>-8.030349</v>
      </c>
      <c r="D67" s="1">
        <v>-528.155465</v>
      </c>
      <c r="E67" s="1">
        <v>-36.507188</v>
      </c>
      <c r="F67" s="1">
        <v>0.014846</v>
      </c>
      <c r="G67" s="1">
        <v>-0.124712</v>
      </c>
    </row>
    <row r="68" spans="2:7" ht="12.75">
      <c r="B68" s="1">
        <v>46</v>
      </c>
      <c r="C68" s="1">
        <v>-9.569267</v>
      </c>
      <c r="D68" s="1">
        <v>-515.227885</v>
      </c>
      <c r="E68" s="1">
        <v>-140.166446</v>
      </c>
      <c r="F68" s="1">
        <v>-1.237908</v>
      </c>
      <c r="G68" s="1">
        <v>-0.126994</v>
      </c>
    </row>
    <row r="69" spans="2:7" ht="12.75">
      <c r="B69" s="1">
        <v>47</v>
      </c>
      <c r="C69" s="1">
        <v>-5.261249</v>
      </c>
      <c r="D69" s="1">
        <v>-514.785935</v>
      </c>
      <c r="E69" s="1">
        <v>-143.646527</v>
      </c>
      <c r="F69" s="1">
        <v>-1.237908</v>
      </c>
      <c r="G69" s="1">
        <v>-0.126994</v>
      </c>
    </row>
    <row r="70" spans="2:7" ht="12.75">
      <c r="B70" s="1">
        <v>48</v>
      </c>
      <c r="C70" s="1">
        <v>-13.877286</v>
      </c>
      <c r="D70" s="1">
        <v>-515.669835</v>
      </c>
      <c r="E70" s="1">
        <v>-136.686366</v>
      </c>
      <c r="F70" s="1">
        <v>-1.237908</v>
      </c>
      <c r="G70" s="1">
        <v>-0.126994</v>
      </c>
    </row>
    <row r="71" spans="2:7" ht="12.75">
      <c r="B71" s="1">
        <v>49</v>
      </c>
      <c r="C71" s="1">
        <v>-9.569267</v>
      </c>
      <c r="D71" s="1">
        <v>-515.227885</v>
      </c>
      <c r="E71" s="1">
        <v>-140.166446</v>
      </c>
      <c r="F71" s="1">
        <v>-1.237908</v>
      </c>
      <c r="G71" s="1">
        <v>-0.126994</v>
      </c>
    </row>
    <row r="72" spans="2:7" ht="12.75">
      <c r="B72" s="1">
        <v>50</v>
      </c>
      <c r="C72" s="1">
        <v>-6.108752</v>
      </c>
      <c r="D72" s="1">
        <v>-514.872878</v>
      </c>
      <c r="E72" s="1">
        <v>-142.961902</v>
      </c>
      <c r="F72" s="1">
        <v>-1.237908</v>
      </c>
      <c r="G72" s="1">
        <v>-0.126994</v>
      </c>
    </row>
    <row r="73" spans="2:7" ht="12.75">
      <c r="B73" s="1">
        <v>51</v>
      </c>
      <c r="C73" s="1">
        <v>-72.027431</v>
      </c>
      <c r="D73" s="1">
        <v>-521.635326</v>
      </c>
      <c r="E73" s="1">
        <v>-89.711826</v>
      </c>
      <c r="F73" s="1">
        <v>-1.237908</v>
      </c>
      <c r="G73" s="1">
        <v>-0.126994</v>
      </c>
    </row>
    <row r="74" spans="2:7" ht="12.75">
      <c r="B74" s="1">
        <v>52</v>
      </c>
      <c r="C74" s="1">
        <v>-65.435563</v>
      </c>
      <c r="D74" s="1">
        <v>-520.959081</v>
      </c>
      <c r="E74" s="1">
        <v>-95.036834</v>
      </c>
      <c r="F74" s="1">
        <v>-1.237908</v>
      </c>
      <c r="G74" s="1">
        <v>-0.126994</v>
      </c>
    </row>
    <row r="75" spans="2:7" ht="12.75">
      <c r="B75" s="1">
        <v>53</v>
      </c>
      <c r="C75" s="1">
        <v>-61.557994</v>
      </c>
      <c r="D75" s="1">
        <v>-520.56129</v>
      </c>
      <c r="E75" s="1">
        <v>-98.169191</v>
      </c>
      <c r="F75" s="1">
        <v>-1.237908</v>
      </c>
      <c r="G75" s="1">
        <v>-0.126994</v>
      </c>
    </row>
    <row r="76" spans="2:7" ht="12.75">
      <c r="B76" s="1">
        <v>54</v>
      </c>
      <c r="C76" s="1">
        <v>-65.435563</v>
      </c>
      <c r="D76" s="1">
        <v>-520.959081</v>
      </c>
      <c r="E76" s="1">
        <v>-95.036834</v>
      </c>
      <c r="F76" s="1">
        <v>-1.237908</v>
      </c>
      <c r="G76" s="1">
        <v>-0.126994</v>
      </c>
    </row>
    <row r="77" spans="2:7" ht="12.75">
      <c r="B77" s="1">
        <v>55</v>
      </c>
      <c r="C77" s="1">
        <v>-9.569267</v>
      </c>
      <c r="D77" s="1">
        <v>-515.227885</v>
      </c>
      <c r="E77" s="1">
        <v>-140.166446</v>
      </c>
      <c r="F77" s="1">
        <v>0.014846</v>
      </c>
      <c r="G77" s="1">
        <v>-0.124712</v>
      </c>
    </row>
    <row r="78" spans="2:7" ht="12.75">
      <c r="B78" s="1">
        <v>56</v>
      </c>
      <c r="C78" s="1">
        <v>-9.503531</v>
      </c>
      <c r="D78" s="1">
        <v>-515.780101</v>
      </c>
      <c r="E78" s="1">
        <v>-135.738523</v>
      </c>
      <c r="F78" s="1">
        <v>0.014846</v>
      </c>
      <c r="G78" s="1">
        <v>-0.124712</v>
      </c>
    </row>
    <row r="79" spans="2:7" ht="12.75">
      <c r="B79" s="1">
        <v>57</v>
      </c>
      <c r="C79" s="1">
        <v>-10.137949</v>
      </c>
      <c r="D79" s="1">
        <v>-510.45071</v>
      </c>
      <c r="E79" s="1">
        <v>-178.47202</v>
      </c>
      <c r="F79" s="1">
        <v>-17.433341</v>
      </c>
      <c r="G79" s="1">
        <v>1183.380263</v>
      </c>
    </row>
    <row r="80" spans="2:7" ht="12.75">
      <c r="B80" s="1">
        <v>58</v>
      </c>
      <c r="C80" s="1">
        <v>-10.151731</v>
      </c>
      <c r="D80" s="1">
        <v>-509.515229</v>
      </c>
      <c r="E80" s="1">
        <v>-178.471229</v>
      </c>
      <c r="F80" s="1">
        <v>-17.433341</v>
      </c>
      <c r="G80" s="1">
        <v>1183.380263</v>
      </c>
    </row>
    <row r="81" spans="2:7" ht="12.75">
      <c r="B81" s="1">
        <v>59</v>
      </c>
      <c r="C81" s="1">
        <v>-10.755735</v>
      </c>
      <c r="D81" s="1">
        <v>-468.515228</v>
      </c>
      <c r="E81" s="1">
        <v>-178.436583</v>
      </c>
      <c r="F81" s="1">
        <v>-17.433341</v>
      </c>
      <c r="G81" s="1">
        <v>1183.380263</v>
      </c>
    </row>
    <row r="82" spans="2:7" ht="12.75">
      <c r="B82" s="1">
        <v>60</v>
      </c>
      <c r="C82" s="1">
        <v>-10.623296</v>
      </c>
      <c r="D82" s="1">
        <v>-477.505228</v>
      </c>
      <c r="E82" s="1">
        <v>-178.44418</v>
      </c>
      <c r="F82" s="1">
        <v>-17.433341</v>
      </c>
      <c r="G82" s="1">
        <v>1183.380263</v>
      </c>
    </row>
    <row r="83" spans="2:7" ht="12.75">
      <c r="B83" s="1">
        <v>61</v>
      </c>
      <c r="C83" s="1">
        <v>-10.549637</v>
      </c>
      <c r="D83" s="1">
        <v>-482.505228</v>
      </c>
      <c r="E83" s="1">
        <v>-178.448405</v>
      </c>
      <c r="F83" s="1">
        <v>-17.433341</v>
      </c>
      <c r="G83" s="1">
        <v>1183.380263</v>
      </c>
    </row>
    <row r="84" spans="2:7" ht="12.75">
      <c r="B84" s="1">
        <v>62</v>
      </c>
      <c r="C84" s="1">
        <v>-10.623296</v>
      </c>
      <c r="D84" s="1">
        <v>-477.505228</v>
      </c>
      <c r="E84" s="1">
        <v>-178.44418</v>
      </c>
      <c r="F84" s="1">
        <v>-17.433341</v>
      </c>
      <c r="G84" s="1">
        <v>1183.380263</v>
      </c>
    </row>
    <row r="85" spans="2:5" ht="12.75">
      <c r="B85" s="1">
        <v>63</v>
      </c>
      <c r="C85" s="1">
        <v>-10.755735</v>
      </c>
      <c r="D85" s="1">
        <v>-468.515228</v>
      </c>
      <c r="E85" s="1">
        <v>-178.436583</v>
      </c>
    </row>
    <row r="86" ht="12.75">
      <c r="B86" s="1" t="s">
        <v>39</v>
      </c>
    </row>
    <row r="87" ht="12.75">
      <c r="B87" s="1" t="s">
        <v>39</v>
      </c>
    </row>
    <row r="88" spans="2:4" ht="12.75">
      <c r="B88" s="1" t="s">
        <v>39</v>
      </c>
      <c r="C88" s="1" t="s">
        <v>86</v>
      </c>
      <c r="D88" s="1" t="s">
        <v>87</v>
      </c>
    </row>
  </sheetData>
  <printOptions/>
  <pageMargins left="0.7874015748031497" right="0.7874015748031497" top="0.984251968503937" bottom="0.984251968503937" header="0.5118110236220472" footer="0.5118110236220472"/>
  <pageSetup horizontalDpi="600" verticalDpi="600" orientation="portrait" paperSize="9" scale="50" r:id="rId1"/>
  <headerFooter alignWithMargins="0">
    <oddHeader>&amp;L&amp;F, &amp;A&amp;R&amp;T, &amp;D</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B1:J88"/>
  <sheetViews>
    <sheetView workbookViewId="0" topLeftCell="A1">
      <selection activeCell="A1" sqref="A1:J88"/>
    </sheetView>
  </sheetViews>
  <sheetFormatPr defaultColWidth="12" defaultRowHeight="12.75"/>
  <cols>
    <col min="1" max="16384" width="12" style="1" customWidth="1"/>
  </cols>
  <sheetData>
    <row r="1" ht="12.75">
      <c r="B1" s="1" t="s">
        <v>39</v>
      </c>
    </row>
    <row r="2" spans="2:3" ht="12.75">
      <c r="B2" s="1" t="s">
        <v>39</v>
      </c>
      <c r="C2" s="1" t="s">
        <v>40</v>
      </c>
    </row>
    <row r="4" spans="2:10" ht="12.75">
      <c r="B4" s="1" t="s">
        <v>41</v>
      </c>
      <c r="C4" s="1" t="s">
        <v>42</v>
      </c>
      <c r="D4" s="1" t="s">
        <v>43</v>
      </c>
      <c r="E4" s="1" t="s">
        <v>44</v>
      </c>
      <c r="F4" s="1" t="s">
        <v>45</v>
      </c>
      <c r="G4" s="1" t="s">
        <v>44</v>
      </c>
      <c r="H4" s="1" t="s">
        <v>46</v>
      </c>
      <c r="I4" s="1" t="s">
        <v>47</v>
      </c>
      <c r="J4" s="1" t="s">
        <v>417</v>
      </c>
    </row>
    <row r="6" spans="2:3" ht="12.75">
      <c r="B6" s="1" t="s">
        <v>39</v>
      </c>
      <c r="C6" s="1" t="s">
        <v>49</v>
      </c>
    </row>
    <row r="7" spans="2:3" ht="12.75">
      <c r="B7" s="2">
        <v>36907</v>
      </c>
      <c r="C7" s="3">
        <v>0.7790856481481482</v>
      </c>
    </row>
    <row r="8" ht="12.75">
      <c r="B8" s="1" t="s">
        <v>39</v>
      </c>
    </row>
    <row r="9" spans="2:10" ht="12.75">
      <c r="B9" s="1" t="s">
        <v>39</v>
      </c>
      <c r="C9" s="1" t="s">
        <v>50</v>
      </c>
      <c r="D9" s="1">
        <v>2</v>
      </c>
      <c r="E9" s="1" t="s">
        <v>89</v>
      </c>
      <c r="F9" s="1">
        <v>0</v>
      </c>
      <c r="G9" s="1">
        <v>0</v>
      </c>
      <c r="H9" s="1" t="s">
        <v>51</v>
      </c>
      <c r="I9" s="1" t="s">
        <v>90</v>
      </c>
      <c r="J9" s="1" t="s">
        <v>52</v>
      </c>
    </row>
    <row r="10" spans="2:8" ht="12.75">
      <c r="B10" s="1" t="s">
        <v>44</v>
      </c>
      <c r="C10" s="1" t="s">
        <v>46</v>
      </c>
      <c r="D10" s="1" t="s">
        <v>47</v>
      </c>
      <c r="E10" s="1" t="s">
        <v>417</v>
      </c>
      <c r="F10" s="1">
        <v>238</v>
      </c>
      <c r="G10" s="2">
        <v>36907</v>
      </c>
      <c r="H10" s="3">
        <v>0.7790856481481482</v>
      </c>
    </row>
    <row r="12" spans="2:4" ht="12.75">
      <c r="B12" s="1" t="s">
        <v>53</v>
      </c>
      <c r="C12" s="1" t="s">
        <v>54</v>
      </c>
      <c r="D12" s="1" t="s">
        <v>55</v>
      </c>
    </row>
    <row r="14" spans="2:10" ht="12.75">
      <c r="B14" s="1" t="s">
        <v>56</v>
      </c>
      <c r="C14" s="1" t="s">
        <v>57</v>
      </c>
      <c r="D14" s="1" t="s">
        <v>58</v>
      </c>
      <c r="E14" s="1" t="s">
        <v>59</v>
      </c>
      <c r="F14" s="1" t="s">
        <v>60</v>
      </c>
      <c r="G14" s="1" t="s">
        <v>61</v>
      </c>
      <c r="H14" s="1" t="s">
        <v>62</v>
      </c>
      <c r="I14" s="1" t="s">
        <v>63</v>
      </c>
      <c r="J14" s="1">
        <v>9</v>
      </c>
    </row>
    <row r="16" spans="2:8" ht="12.75">
      <c r="B16" s="1" t="s">
        <v>64</v>
      </c>
      <c r="C16" s="1" t="s">
        <v>65</v>
      </c>
      <c r="D16" s="1" t="s">
        <v>66</v>
      </c>
      <c r="E16" s="1" t="s">
        <v>67</v>
      </c>
      <c r="F16" s="1">
        <v>0.1572</v>
      </c>
      <c r="G16" s="1" t="s">
        <v>68</v>
      </c>
      <c r="H16" s="1">
        <v>-2.4791</v>
      </c>
    </row>
    <row r="17" spans="2:9" ht="12.75">
      <c r="B17" s="1" t="s">
        <v>64</v>
      </c>
      <c r="C17" s="1" t="s">
        <v>69</v>
      </c>
      <c r="D17" s="1" t="s">
        <v>70</v>
      </c>
      <c r="E17" s="1" t="s">
        <v>71</v>
      </c>
      <c r="F17" s="1" t="s">
        <v>72</v>
      </c>
      <c r="G17" s="1">
        <v>0</v>
      </c>
      <c r="H17" s="1" t="s">
        <v>73</v>
      </c>
      <c r="I17" s="1">
        <v>0</v>
      </c>
    </row>
    <row r="18" spans="2:4" ht="12.75">
      <c r="B18" s="1" t="s">
        <v>74</v>
      </c>
      <c r="C18" s="1" t="s">
        <v>75</v>
      </c>
      <c r="D18" s="1">
        <v>2</v>
      </c>
    </row>
    <row r="20" spans="2:9" ht="12.75">
      <c r="B20" s="1" t="s">
        <v>56</v>
      </c>
      <c r="C20" s="1" t="s">
        <v>76</v>
      </c>
      <c r="D20" s="1" t="s">
        <v>77</v>
      </c>
      <c r="E20" s="1" t="s">
        <v>78</v>
      </c>
      <c r="F20" s="1" t="s">
        <v>79</v>
      </c>
      <c r="G20" s="1" t="s">
        <v>80</v>
      </c>
      <c r="H20" s="1" t="s">
        <v>78</v>
      </c>
      <c r="I20" s="1" t="s">
        <v>79</v>
      </c>
    </row>
    <row r="21" spans="2:7" ht="12.75">
      <c r="B21" s="1" t="s">
        <v>51</v>
      </c>
      <c r="C21" s="1" t="s">
        <v>17</v>
      </c>
      <c r="D21" s="1" t="s">
        <v>81</v>
      </c>
      <c r="E21" s="1" t="s">
        <v>82</v>
      </c>
      <c r="F21" s="1" t="s">
        <v>83</v>
      </c>
      <c r="G21" s="1" t="s">
        <v>84</v>
      </c>
    </row>
    <row r="22" ht="12.75">
      <c r="B22" s="1" t="s">
        <v>85</v>
      </c>
    </row>
    <row r="23" spans="2:7" ht="12.75">
      <c r="B23" s="1">
        <v>1</v>
      </c>
      <c r="C23" s="1">
        <v>12.375137</v>
      </c>
      <c r="D23" s="1">
        <v>54.003853</v>
      </c>
      <c r="E23" s="1">
        <v>-1050.080155</v>
      </c>
      <c r="F23" s="1">
        <v>-0.000721</v>
      </c>
      <c r="G23" s="1">
        <v>-0.003147</v>
      </c>
    </row>
    <row r="24" spans="2:7" ht="12.75">
      <c r="B24" s="1">
        <v>2</v>
      </c>
      <c r="C24" s="1">
        <v>-0.440591</v>
      </c>
      <c r="D24" s="1">
        <v>-1.922697</v>
      </c>
      <c r="E24" s="1">
        <v>16720.938</v>
      </c>
      <c r="F24" s="1">
        <v>-0.000721</v>
      </c>
      <c r="G24" s="1">
        <v>-0.003147</v>
      </c>
    </row>
    <row r="25" spans="2:7" ht="12.75">
      <c r="B25" s="1">
        <v>3</v>
      </c>
      <c r="C25" s="1">
        <v>-0.440591</v>
      </c>
      <c r="D25" s="1">
        <v>-1.922697</v>
      </c>
      <c r="E25" s="1">
        <v>16720.938</v>
      </c>
      <c r="F25" s="1">
        <v>-0.000721</v>
      </c>
      <c r="G25" s="1">
        <v>-0.003147</v>
      </c>
    </row>
    <row r="26" spans="2:7" ht="12.75">
      <c r="B26" s="1">
        <v>4</v>
      </c>
      <c r="C26" s="1">
        <v>12.375196</v>
      </c>
      <c r="D26" s="1">
        <v>54.00411</v>
      </c>
      <c r="E26" s="1">
        <v>-1050.162</v>
      </c>
      <c r="F26" s="1">
        <v>-0.000721</v>
      </c>
      <c r="G26" s="1">
        <v>-0.003147</v>
      </c>
    </row>
    <row r="27" spans="2:7" ht="12.75">
      <c r="B27" s="1">
        <v>5</v>
      </c>
      <c r="C27" s="1">
        <v>13.817514</v>
      </c>
      <c r="D27" s="1">
        <v>60.298241</v>
      </c>
      <c r="E27" s="1">
        <v>-3050.162</v>
      </c>
      <c r="F27" s="1">
        <v>-0.000721</v>
      </c>
      <c r="G27" s="1">
        <v>-0.003147</v>
      </c>
    </row>
    <row r="28" spans="2:7" ht="12.75">
      <c r="B28" s="1">
        <v>6</v>
      </c>
      <c r="C28" s="1">
        <v>12.375513</v>
      </c>
      <c r="D28" s="1">
        <v>54.005491</v>
      </c>
      <c r="E28" s="1">
        <v>-1050.600535</v>
      </c>
      <c r="F28" s="1">
        <v>0.007795</v>
      </c>
      <c r="G28" s="1">
        <v>0.034019</v>
      </c>
    </row>
    <row r="29" spans="2:7" ht="12.75">
      <c r="B29" s="1">
        <v>7</v>
      </c>
      <c r="C29" s="4">
        <v>1.78E-15</v>
      </c>
      <c r="D29" s="4">
        <v>-7.11E-15</v>
      </c>
      <c r="E29" s="1">
        <v>-2638.131</v>
      </c>
      <c r="F29" s="1">
        <v>-0.007795</v>
      </c>
      <c r="G29" s="1">
        <v>-0.034019</v>
      </c>
    </row>
    <row r="30" spans="2:7" ht="12.75">
      <c r="B30" s="1">
        <v>8</v>
      </c>
      <c r="C30" s="1">
        <v>-12.378931</v>
      </c>
      <c r="D30" s="1">
        <v>-54.020409</v>
      </c>
      <c r="E30" s="1">
        <v>-1050.162</v>
      </c>
      <c r="F30" s="1">
        <v>-0.007795</v>
      </c>
      <c r="G30" s="1">
        <v>-0.034019</v>
      </c>
    </row>
    <row r="31" spans="2:7" ht="12.75">
      <c r="B31" s="1">
        <v>9</v>
      </c>
      <c r="C31" s="1">
        <v>-20.354767</v>
      </c>
      <c r="D31" s="1">
        <v>-88.826152</v>
      </c>
      <c r="E31" s="1">
        <v>-27.022003</v>
      </c>
      <c r="F31" s="1">
        <v>-0.007795</v>
      </c>
      <c r="G31" s="1">
        <v>-0.034019</v>
      </c>
    </row>
    <row r="32" spans="2:7" ht="12.75">
      <c r="B32" s="1">
        <v>10</v>
      </c>
      <c r="C32" s="1">
        <v>-20.565766</v>
      </c>
      <c r="D32" s="1">
        <v>-89.746929</v>
      </c>
      <c r="E32" s="1">
        <v>0.044902</v>
      </c>
      <c r="F32" s="1">
        <v>-0.007795</v>
      </c>
      <c r="G32" s="1">
        <v>-0.034019</v>
      </c>
    </row>
    <row r="33" spans="2:7" ht="12.75">
      <c r="B33" s="1">
        <v>11</v>
      </c>
      <c r="C33" s="1">
        <v>-21.110403</v>
      </c>
      <c r="D33" s="1">
        <v>-92.123671</v>
      </c>
      <c r="E33" s="1">
        <v>69.910954</v>
      </c>
      <c r="F33" s="1">
        <v>-0.114752</v>
      </c>
      <c r="G33" s="1">
        <v>0.586866</v>
      </c>
    </row>
    <row r="34" spans="2:7" ht="12.75">
      <c r="B34" s="1">
        <v>12</v>
      </c>
      <c r="C34" s="1">
        <v>-21.12391</v>
      </c>
      <c r="D34" s="1">
        <v>-92.054594</v>
      </c>
      <c r="E34" s="1">
        <v>70.028658</v>
      </c>
      <c r="F34" s="1">
        <v>-0.114752</v>
      </c>
      <c r="G34" s="1">
        <v>0.586866</v>
      </c>
    </row>
    <row r="35" spans="2:7" ht="12.75">
      <c r="B35" s="1">
        <v>13</v>
      </c>
      <c r="C35" s="1">
        <v>0.00704</v>
      </c>
      <c r="D35" s="1">
        <v>-200.122747</v>
      </c>
      <c r="E35" s="1">
        <v>-114.115744</v>
      </c>
      <c r="F35" s="1">
        <v>-0.114752</v>
      </c>
      <c r="G35" s="1">
        <v>0.586866</v>
      </c>
    </row>
    <row r="36" spans="2:7" ht="12.75">
      <c r="B36" s="1">
        <v>14</v>
      </c>
      <c r="C36" s="1">
        <v>0.00704</v>
      </c>
      <c r="D36" s="1">
        <v>-200.122747</v>
      </c>
      <c r="E36" s="1">
        <v>-114.115744</v>
      </c>
      <c r="F36" s="1">
        <v>0.099422</v>
      </c>
      <c r="G36" s="1">
        <v>0.095929</v>
      </c>
    </row>
    <row r="37" spans="2:7" ht="12.75">
      <c r="B37" s="1">
        <v>15</v>
      </c>
      <c r="C37" s="1">
        <v>0.00704</v>
      </c>
      <c r="D37" s="1">
        <v>-200.122747</v>
      </c>
      <c r="E37" s="1">
        <v>-114.115744</v>
      </c>
      <c r="F37" s="1">
        <v>0.099422</v>
      </c>
      <c r="G37" s="1">
        <v>0.095929</v>
      </c>
    </row>
    <row r="38" spans="2:7" ht="12.75">
      <c r="B38" s="1">
        <v>16</v>
      </c>
      <c r="C38" s="1">
        <v>0.006397</v>
      </c>
      <c r="D38" s="1">
        <v>-200.123368</v>
      </c>
      <c r="E38" s="1">
        <v>-114.122216</v>
      </c>
      <c r="F38" s="1">
        <v>0.099422</v>
      </c>
      <c r="G38" s="1">
        <v>0.095929</v>
      </c>
    </row>
    <row r="39" spans="2:7" ht="12.75">
      <c r="B39" s="1">
        <v>17</v>
      </c>
      <c r="C39" s="1">
        <v>19.499867</v>
      </c>
      <c r="D39" s="1">
        <v>-181.314796</v>
      </c>
      <c r="E39" s="1">
        <v>81.945342</v>
      </c>
      <c r="F39" s="1">
        <v>0.043529</v>
      </c>
      <c r="G39" s="1">
        <v>0.449163</v>
      </c>
    </row>
    <row r="40" spans="2:7" ht="12.75">
      <c r="B40" s="1">
        <v>18</v>
      </c>
      <c r="C40" s="1">
        <v>19.53635</v>
      </c>
      <c r="D40" s="1">
        <v>-180.938338</v>
      </c>
      <c r="E40" s="1">
        <v>82.783472</v>
      </c>
      <c r="F40" s="1">
        <v>0.043529</v>
      </c>
      <c r="G40" s="1">
        <v>0.449163</v>
      </c>
    </row>
    <row r="41" spans="2:7" ht="12.75">
      <c r="B41" s="1">
        <v>19</v>
      </c>
      <c r="C41" s="1">
        <v>11.828507</v>
      </c>
      <c r="D41" s="1">
        <v>-260.474142</v>
      </c>
      <c r="E41" s="1">
        <v>-94.291954</v>
      </c>
      <c r="F41" s="1">
        <v>0.043529</v>
      </c>
      <c r="G41" s="1">
        <v>0.449163</v>
      </c>
    </row>
    <row r="42" spans="2:7" ht="12.75">
      <c r="B42" s="1">
        <v>20</v>
      </c>
      <c r="C42" s="1">
        <v>11.832463</v>
      </c>
      <c r="D42" s="1">
        <v>-260.433321</v>
      </c>
      <c r="E42" s="1">
        <v>-94.20107</v>
      </c>
      <c r="F42" s="1">
        <v>0.024055</v>
      </c>
      <c r="G42" s="1">
        <v>-0.101461</v>
      </c>
    </row>
    <row r="43" spans="2:7" ht="12.75">
      <c r="B43" s="1">
        <v>21</v>
      </c>
      <c r="C43" s="1">
        <v>11.831546</v>
      </c>
      <c r="D43" s="1">
        <v>-260.42945</v>
      </c>
      <c r="E43" s="1">
        <v>-94.239217</v>
      </c>
      <c r="F43" s="1">
        <v>0.024055</v>
      </c>
      <c r="G43" s="1">
        <v>-0.101461</v>
      </c>
    </row>
    <row r="44" spans="2:7" ht="12.75">
      <c r="B44" s="1">
        <v>22</v>
      </c>
      <c r="C44" s="1">
        <v>16.690589</v>
      </c>
      <c r="D44" s="1">
        <v>-280.923961</v>
      </c>
      <c r="E44" s="1">
        <v>107.75419</v>
      </c>
      <c r="F44" s="1">
        <v>0.089229</v>
      </c>
      <c r="G44" s="1">
        <v>0.800018</v>
      </c>
    </row>
    <row r="45" spans="2:7" ht="12.75">
      <c r="B45" s="1">
        <v>23</v>
      </c>
      <c r="C45" s="1">
        <v>16.754343</v>
      </c>
      <c r="D45" s="1">
        <v>-280.352359</v>
      </c>
      <c r="E45" s="1">
        <v>108.468676</v>
      </c>
      <c r="F45" s="1">
        <v>0.089229</v>
      </c>
      <c r="G45" s="1">
        <v>0.800018</v>
      </c>
    </row>
    <row r="46" spans="2:7" ht="12.75">
      <c r="B46" s="1">
        <v>24</v>
      </c>
      <c r="C46" s="1">
        <v>3.639387</v>
      </c>
      <c r="D46" s="1">
        <v>-397.939241</v>
      </c>
      <c r="E46" s="1">
        <v>-38.511584</v>
      </c>
      <c r="F46" s="1">
        <v>-0.074667</v>
      </c>
      <c r="G46" s="1">
        <v>-1.070286</v>
      </c>
    </row>
    <row r="47" spans="2:7" ht="12.75">
      <c r="B47" s="1">
        <v>25</v>
      </c>
      <c r="C47" s="1">
        <v>3.649176</v>
      </c>
      <c r="D47" s="1">
        <v>-397.79892</v>
      </c>
      <c r="E47" s="1">
        <v>-38.64269</v>
      </c>
      <c r="F47" s="1">
        <v>-0.074667</v>
      </c>
      <c r="G47" s="1">
        <v>-1.070286</v>
      </c>
    </row>
    <row r="48" spans="2:7" ht="12.75">
      <c r="B48" s="1">
        <v>26</v>
      </c>
      <c r="C48" s="1">
        <v>0.080828</v>
      </c>
      <c r="D48" s="1">
        <v>-448.947719</v>
      </c>
      <c r="E48" s="1">
        <v>9.14715</v>
      </c>
      <c r="F48" s="1">
        <v>-0.074667</v>
      </c>
      <c r="G48" s="1">
        <v>-1.070286</v>
      </c>
    </row>
    <row r="49" spans="2:7" ht="12.75">
      <c r="B49" s="1">
        <v>27</v>
      </c>
      <c r="C49" s="1">
        <v>-6.533386</v>
      </c>
      <c r="D49" s="1">
        <v>-543.756057</v>
      </c>
      <c r="E49" s="1">
        <v>97.729392</v>
      </c>
      <c r="F49" s="1">
        <v>0.016031</v>
      </c>
      <c r="G49" s="1">
        <v>-0.126573</v>
      </c>
    </row>
    <row r="50" spans="2:7" ht="12.75">
      <c r="B50" s="1">
        <v>28</v>
      </c>
      <c r="C50" s="1">
        <v>-6.535522</v>
      </c>
      <c r="D50" s="1">
        <v>-543.739193</v>
      </c>
      <c r="E50" s="1">
        <v>97.59616</v>
      </c>
      <c r="F50" s="1">
        <v>0.016031</v>
      </c>
      <c r="G50" s="1">
        <v>-0.126573</v>
      </c>
    </row>
    <row r="51" spans="2:7" ht="12.75">
      <c r="B51" s="1">
        <v>29</v>
      </c>
      <c r="C51" s="1">
        <v>-11.624777</v>
      </c>
      <c r="D51" s="1">
        <v>-503.556441</v>
      </c>
      <c r="E51" s="1">
        <v>-219.871068</v>
      </c>
      <c r="F51" s="1">
        <v>0.016031</v>
      </c>
      <c r="G51" s="1">
        <v>-0.126573</v>
      </c>
    </row>
    <row r="52" spans="2:7" ht="12.75">
      <c r="B52" s="1">
        <v>30</v>
      </c>
      <c r="C52" s="1">
        <v>-11.624777</v>
      </c>
      <c r="D52" s="1">
        <v>-503.556441</v>
      </c>
      <c r="E52" s="1">
        <v>-219.871068</v>
      </c>
      <c r="F52" s="1">
        <v>0.016031</v>
      </c>
      <c r="G52" s="1">
        <v>-0.126573</v>
      </c>
    </row>
    <row r="53" spans="2:7" ht="12.75">
      <c r="B53" s="1">
        <v>31</v>
      </c>
      <c r="C53" s="1">
        <v>-8.679048</v>
      </c>
      <c r="D53" s="1">
        <v>-526.814757</v>
      </c>
      <c r="E53" s="1">
        <v>-36.116781</v>
      </c>
      <c r="F53" s="1">
        <v>-0.021783</v>
      </c>
      <c r="G53" s="1">
        <v>-0.935897</v>
      </c>
    </row>
    <row r="54" spans="2:7" ht="12.75">
      <c r="B54" s="1">
        <v>32</v>
      </c>
      <c r="C54" s="1">
        <v>-8.595462</v>
      </c>
      <c r="D54" s="1">
        <v>-523.223463</v>
      </c>
      <c r="E54" s="1">
        <v>-39.954056</v>
      </c>
      <c r="F54" s="1">
        <v>-0.021783</v>
      </c>
      <c r="G54" s="1">
        <v>-0.935897</v>
      </c>
    </row>
    <row r="55" spans="2:7" ht="12.75">
      <c r="B55" s="1">
        <v>33</v>
      </c>
      <c r="C55" s="1">
        <v>-8.762634</v>
      </c>
      <c r="D55" s="1">
        <v>-530.40605</v>
      </c>
      <c r="E55" s="1">
        <v>-32.279506</v>
      </c>
      <c r="F55" s="1">
        <v>-0.021783</v>
      </c>
      <c r="G55" s="1">
        <v>-0.935897</v>
      </c>
    </row>
    <row r="56" spans="2:7" ht="12.75">
      <c r="B56" s="1">
        <v>34</v>
      </c>
      <c r="C56" s="1">
        <v>-8.679048</v>
      </c>
      <c r="D56" s="1">
        <v>-526.814757</v>
      </c>
      <c r="E56" s="1">
        <v>-36.116781</v>
      </c>
      <c r="F56" s="1">
        <v>-0.021783</v>
      </c>
      <c r="G56" s="1">
        <v>-0.935897</v>
      </c>
    </row>
    <row r="57" spans="2:7" ht="12.75">
      <c r="B57" s="1">
        <v>35</v>
      </c>
      <c r="C57" s="1">
        <v>-8.682551</v>
      </c>
      <c r="D57" s="1">
        <v>-526.965284</v>
      </c>
      <c r="E57" s="1">
        <v>-35.955943</v>
      </c>
      <c r="F57" s="1">
        <v>-0.021783</v>
      </c>
      <c r="G57" s="1">
        <v>-0.935897</v>
      </c>
    </row>
    <row r="58" spans="2:7" ht="12.75">
      <c r="B58" s="1">
        <v>36</v>
      </c>
      <c r="C58" s="1">
        <v>-11.004597</v>
      </c>
      <c r="D58" s="1">
        <v>-626.732892</v>
      </c>
      <c r="E58" s="1">
        <v>70.64512</v>
      </c>
      <c r="F58" s="1">
        <v>-81.56915</v>
      </c>
      <c r="G58" s="1">
        <v>-0.830102</v>
      </c>
    </row>
    <row r="59" spans="2:7" ht="12.75">
      <c r="B59" s="1">
        <v>37</v>
      </c>
      <c r="C59" s="4">
        <v>3.88E-09</v>
      </c>
      <c r="D59" s="1">
        <v>-626.620901</v>
      </c>
      <c r="E59" s="1">
        <v>70.510209</v>
      </c>
      <c r="F59" s="1">
        <v>-81.56915</v>
      </c>
      <c r="G59" s="1">
        <v>-0.830102</v>
      </c>
    </row>
    <row r="60" spans="2:7" ht="12.75">
      <c r="B60" s="1">
        <v>38</v>
      </c>
      <c r="C60" s="1">
        <v>-50</v>
      </c>
      <c r="D60" s="1">
        <v>-627.129735</v>
      </c>
      <c r="E60" s="1">
        <v>71.123186</v>
      </c>
      <c r="F60" s="1">
        <v>-81.56915</v>
      </c>
      <c r="G60" s="1">
        <v>-0.830102</v>
      </c>
    </row>
    <row r="61" spans="2:7" ht="12.75">
      <c r="B61" s="1">
        <v>39</v>
      </c>
      <c r="C61" s="1">
        <v>-34.14</v>
      </c>
      <c r="D61" s="1">
        <v>-626.968333</v>
      </c>
      <c r="E61" s="1">
        <v>70.928749</v>
      </c>
      <c r="F61" s="1">
        <v>-81.56915</v>
      </c>
      <c r="G61" s="1">
        <v>-0.830102</v>
      </c>
    </row>
    <row r="62" spans="2:7" ht="12.75">
      <c r="B62" s="1">
        <v>40</v>
      </c>
      <c r="C62" s="1">
        <v>-29.14</v>
      </c>
      <c r="D62" s="1">
        <v>-626.917449</v>
      </c>
      <c r="E62" s="1">
        <v>70.867452</v>
      </c>
      <c r="F62" s="1">
        <v>-81.56915</v>
      </c>
      <c r="G62" s="1">
        <v>-0.830102</v>
      </c>
    </row>
    <row r="63" spans="2:7" ht="12.75">
      <c r="B63" s="1">
        <v>41</v>
      </c>
      <c r="C63" s="1">
        <v>-34.14</v>
      </c>
      <c r="D63" s="1">
        <v>-626.968333</v>
      </c>
      <c r="E63" s="1">
        <v>70.928749</v>
      </c>
      <c r="F63" s="1">
        <v>-81.56915</v>
      </c>
      <c r="G63" s="1">
        <v>-0.830102</v>
      </c>
    </row>
    <row r="64" spans="2:7" ht="12.75">
      <c r="B64" s="1">
        <v>42</v>
      </c>
      <c r="C64" s="1">
        <v>-11.004597</v>
      </c>
      <c r="D64" s="1">
        <v>-626.732892</v>
      </c>
      <c r="E64" s="1">
        <v>70.64512</v>
      </c>
      <c r="F64" s="1">
        <v>-0.021783</v>
      </c>
      <c r="G64" s="1">
        <v>-0.935897</v>
      </c>
    </row>
    <row r="65" spans="2:7" ht="12.75">
      <c r="B65" s="1">
        <v>43</v>
      </c>
      <c r="C65" s="1">
        <v>-10.829581</v>
      </c>
      <c r="D65" s="1">
        <v>-619.213249</v>
      </c>
      <c r="E65" s="1">
        <v>62.610429</v>
      </c>
      <c r="F65" s="1">
        <v>-0.021783</v>
      </c>
      <c r="G65" s="1">
        <v>-0.935897</v>
      </c>
    </row>
    <row r="66" spans="2:7" ht="12.75">
      <c r="B66" s="1">
        <v>44</v>
      </c>
      <c r="C66" s="1">
        <v>-8.679048</v>
      </c>
      <c r="D66" s="1">
        <v>-526.814757</v>
      </c>
      <c r="E66" s="1">
        <v>-36.116781</v>
      </c>
      <c r="F66" s="1">
        <v>0.016031</v>
      </c>
      <c r="G66" s="1">
        <v>-0.126573</v>
      </c>
    </row>
    <row r="67" spans="2:7" ht="12.75">
      <c r="B67" s="1">
        <v>45</v>
      </c>
      <c r="C67" s="1">
        <v>-8.682551</v>
      </c>
      <c r="D67" s="1">
        <v>-526.787095</v>
      </c>
      <c r="E67" s="1">
        <v>-36.335327</v>
      </c>
      <c r="F67" s="1">
        <v>0.016031</v>
      </c>
      <c r="G67" s="1">
        <v>-0.126573</v>
      </c>
    </row>
    <row r="68" spans="2:7" ht="12.75">
      <c r="B68" s="1">
        <v>46</v>
      </c>
      <c r="C68" s="1">
        <v>-10.349698</v>
      </c>
      <c r="D68" s="1">
        <v>-513.62396</v>
      </c>
      <c r="E68" s="1">
        <v>-140.331781</v>
      </c>
      <c r="F68" s="1">
        <v>-1.240422</v>
      </c>
      <c r="G68" s="1">
        <v>-0.124046</v>
      </c>
    </row>
    <row r="69" spans="2:7" ht="12.75">
      <c r="B69" s="1">
        <v>47</v>
      </c>
      <c r="C69" s="1">
        <v>-6.03512</v>
      </c>
      <c r="D69" s="1">
        <v>-513.192491</v>
      </c>
      <c r="E69" s="1">
        <v>-143.810095</v>
      </c>
      <c r="F69" s="1">
        <v>-1.240422</v>
      </c>
      <c r="G69" s="1">
        <v>-0.124046</v>
      </c>
    </row>
    <row r="70" spans="2:7" ht="12.75">
      <c r="B70" s="1">
        <v>48</v>
      </c>
      <c r="C70" s="1">
        <v>-14.664277</v>
      </c>
      <c r="D70" s="1">
        <v>-514.05543</v>
      </c>
      <c r="E70" s="1">
        <v>-136.853467</v>
      </c>
      <c r="F70" s="1">
        <v>-1.240422</v>
      </c>
      <c r="G70" s="1">
        <v>-0.124046</v>
      </c>
    </row>
    <row r="71" spans="2:7" ht="12.75">
      <c r="B71" s="1">
        <v>49</v>
      </c>
      <c r="C71" s="1">
        <v>-10.349698</v>
      </c>
      <c r="D71" s="1">
        <v>-513.62396</v>
      </c>
      <c r="E71" s="1">
        <v>-140.331781</v>
      </c>
      <c r="F71" s="1">
        <v>-1.240422</v>
      </c>
      <c r="G71" s="1">
        <v>-0.124046</v>
      </c>
    </row>
    <row r="72" spans="2:7" ht="12.75">
      <c r="B72" s="1">
        <v>50</v>
      </c>
      <c r="C72" s="1">
        <v>-6.603321</v>
      </c>
      <c r="D72" s="1">
        <v>-513.249312</v>
      </c>
      <c r="E72" s="1">
        <v>-143.352024</v>
      </c>
      <c r="F72" s="1">
        <v>-1.240422</v>
      </c>
      <c r="G72" s="1">
        <v>-0.124046</v>
      </c>
    </row>
    <row r="73" spans="2:7" ht="12.75">
      <c r="B73" s="1">
        <v>51</v>
      </c>
      <c r="C73" s="1">
        <v>-72.58604</v>
      </c>
      <c r="D73" s="1">
        <v>-519.847765</v>
      </c>
      <c r="E73" s="1">
        <v>-90.158272</v>
      </c>
      <c r="F73" s="1">
        <v>-1.240422</v>
      </c>
      <c r="G73" s="1">
        <v>-0.124046</v>
      </c>
    </row>
    <row r="74" spans="2:7" ht="12.75">
      <c r="B74" s="1">
        <v>52</v>
      </c>
      <c r="C74" s="1">
        <v>-65.987769</v>
      </c>
      <c r="D74" s="1">
        <v>-519.18792</v>
      </c>
      <c r="E74" s="1">
        <v>-95.477647</v>
      </c>
      <c r="F74" s="1">
        <v>-1.240422</v>
      </c>
      <c r="G74" s="1">
        <v>-0.124046</v>
      </c>
    </row>
    <row r="75" spans="2:7" ht="12.75">
      <c r="B75" s="1">
        <v>53</v>
      </c>
      <c r="C75" s="1">
        <v>-62.106432</v>
      </c>
      <c r="D75" s="1">
        <v>-518.799775</v>
      </c>
      <c r="E75" s="1">
        <v>-98.606691</v>
      </c>
      <c r="F75" s="1">
        <v>-1.240422</v>
      </c>
      <c r="G75" s="1">
        <v>-0.124046</v>
      </c>
    </row>
    <row r="76" spans="2:7" ht="12.75">
      <c r="B76" s="1">
        <v>54</v>
      </c>
      <c r="C76" s="1">
        <v>-65.987769</v>
      </c>
      <c r="D76" s="1">
        <v>-519.18792</v>
      </c>
      <c r="E76" s="1">
        <v>-95.477647</v>
      </c>
      <c r="F76" s="1">
        <v>-1.240422</v>
      </c>
      <c r="G76" s="1">
        <v>-0.124046</v>
      </c>
    </row>
    <row r="77" spans="2:7" ht="12.75">
      <c r="B77" s="1">
        <v>55</v>
      </c>
      <c r="C77" s="1">
        <v>-10.349698</v>
      </c>
      <c r="D77" s="1">
        <v>-513.62396</v>
      </c>
      <c r="E77" s="1">
        <v>-140.331781</v>
      </c>
      <c r="F77" s="1">
        <v>0.016031</v>
      </c>
      <c r="G77" s="1">
        <v>-0.126573</v>
      </c>
    </row>
    <row r="78" spans="2:7" ht="12.75">
      <c r="B78" s="1">
        <v>56</v>
      </c>
      <c r="C78" s="1">
        <v>-10.272944</v>
      </c>
      <c r="D78" s="1">
        <v>-514.229985</v>
      </c>
      <c r="E78" s="1">
        <v>-135.543836</v>
      </c>
      <c r="F78" s="1">
        <v>0.016031</v>
      </c>
      <c r="G78" s="1">
        <v>-0.126573</v>
      </c>
    </row>
    <row r="79" spans="2:7" ht="12.75">
      <c r="B79" s="1">
        <v>57</v>
      </c>
      <c r="C79" s="1">
        <v>-10.987456</v>
      </c>
      <c r="D79" s="1">
        <v>-508.588478</v>
      </c>
      <c r="E79" s="1">
        <v>-180.115035</v>
      </c>
      <c r="F79" s="1">
        <v>16.118236</v>
      </c>
      <c r="G79" s="1">
        <v>-1013.475367</v>
      </c>
    </row>
    <row r="80" spans="2:7" ht="12.75">
      <c r="B80" s="1">
        <v>58</v>
      </c>
      <c r="C80" s="1">
        <v>-10.972716</v>
      </c>
      <c r="D80" s="1">
        <v>-509.515269</v>
      </c>
      <c r="E80" s="1">
        <v>-180.114121</v>
      </c>
      <c r="F80" s="1">
        <v>16.118236</v>
      </c>
      <c r="G80" s="1">
        <v>-1013.475367</v>
      </c>
    </row>
    <row r="81" spans="2:7" ht="12.75">
      <c r="B81" s="1">
        <v>59</v>
      </c>
      <c r="C81" s="1">
        <v>-11.624777</v>
      </c>
      <c r="D81" s="1">
        <v>-468.51527</v>
      </c>
      <c r="E81" s="1">
        <v>-180.154575</v>
      </c>
      <c r="F81" s="1">
        <v>16.118236</v>
      </c>
      <c r="G81" s="1">
        <v>-1013.475367</v>
      </c>
    </row>
    <row r="82" spans="2:7" ht="12.75">
      <c r="B82" s="1">
        <v>60</v>
      </c>
      <c r="C82" s="1">
        <v>-11.481801</v>
      </c>
      <c r="D82" s="1">
        <v>-477.50527</v>
      </c>
      <c r="E82" s="1">
        <v>-180.145705</v>
      </c>
      <c r="F82" s="1">
        <v>16.118236</v>
      </c>
      <c r="G82" s="1">
        <v>-1013.475367</v>
      </c>
    </row>
    <row r="83" spans="2:7" ht="12.75">
      <c r="B83" s="1">
        <v>61</v>
      </c>
      <c r="C83" s="1">
        <v>-11.402281</v>
      </c>
      <c r="D83" s="1">
        <v>-482.505269</v>
      </c>
      <c r="E83" s="1">
        <v>-180.140771</v>
      </c>
      <c r="F83" s="1">
        <v>16.118236</v>
      </c>
      <c r="G83" s="1">
        <v>-1013.475367</v>
      </c>
    </row>
    <row r="84" spans="2:7" ht="12.75">
      <c r="B84" s="1">
        <v>62</v>
      </c>
      <c r="C84" s="1">
        <v>-11.481801</v>
      </c>
      <c r="D84" s="1">
        <v>-477.50527</v>
      </c>
      <c r="E84" s="1">
        <v>-180.145705</v>
      </c>
      <c r="F84" s="1">
        <v>16.118236</v>
      </c>
      <c r="G84" s="1">
        <v>-1013.475367</v>
      </c>
    </row>
    <row r="85" spans="2:5" ht="12.75">
      <c r="B85" s="1">
        <v>63</v>
      </c>
      <c r="C85" s="1">
        <v>-11.624777</v>
      </c>
      <c r="D85" s="1">
        <v>-468.51527</v>
      </c>
      <c r="E85" s="1">
        <v>-180.154575</v>
      </c>
    </row>
    <row r="86" ht="12.75">
      <c r="B86" s="1" t="s">
        <v>39</v>
      </c>
    </row>
    <row r="87" ht="12.75">
      <c r="B87" s="1" t="s">
        <v>39</v>
      </c>
    </row>
    <row r="88" spans="2:4" ht="12.75">
      <c r="B88" s="1" t="s">
        <v>39</v>
      </c>
      <c r="C88" s="1" t="s">
        <v>86</v>
      </c>
      <c r="D88" s="1" t="s">
        <v>87</v>
      </c>
    </row>
  </sheetData>
  <printOptions/>
  <pageMargins left="0.7874015748031497" right="0.7874015748031497" top="0.984251968503937" bottom="0.984251968503937" header="0.5118110236220472" footer="0.5118110236220472"/>
  <pageSetup horizontalDpi="600" verticalDpi="600" orientation="portrait" paperSize="9" scale="50" r:id="rId1"/>
  <headerFooter alignWithMargins="0">
    <oddHeader>&amp;L&amp;F, &amp;A&amp;R&amp;T, &amp;D</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13"/>
  <sheetViews>
    <sheetView tabSelected="1" workbookViewId="0" topLeftCell="A1">
      <selection activeCell="C28" sqref="C27:C28"/>
    </sheetView>
  </sheetViews>
  <sheetFormatPr defaultColWidth="12" defaultRowHeight="12.75"/>
  <cols>
    <col min="1" max="1" width="20.66015625" style="86" customWidth="1"/>
    <col min="2" max="2" width="12" style="87" customWidth="1"/>
    <col min="3" max="3" width="71.33203125" style="88" customWidth="1"/>
    <col min="4" max="16384" width="12" style="1" customWidth="1"/>
  </cols>
  <sheetData>
    <row r="1" spans="1:3" s="5" customFormat="1" ht="12.75">
      <c r="A1" s="83" t="s">
        <v>420</v>
      </c>
      <c r="B1" s="84" t="s">
        <v>421</v>
      </c>
      <c r="C1" s="85" t="s">
        <v>422</v>
      </c>
    </row>
    <row r="2" spans="1:2" ht="12.75">
      <c r="A2" s="86" t="s">
        <v>423</v>
      </c>
      <c r="B2" s="87">
        <v>210700</v>
      </c>
    </row>
    <row r="3" spans="1:3" ht="25.5">
      <c r="A3" s="86" t="s">
        <v>424</v>
      </c>
      <c r="B3" s="87">
        <v>240800</v>
      </c>
      <c r="C3" s="88" t="s">
        <v>425</v>
      </c>
    </row>
    <row r="4" spans="1:3" ht="12.75">
      <c r="A4" s="86" t="s">
        <v>426</v>
      </c>
      <c r="B4" s="87">
        <v>240800</v>
      </c>
      <c r="C4" s="88" t="s">
        <v>427</v>
      </c>
    </row>
    <row r="5" spans="1:3" ht="12.75">
      <c r="A5" s="86" t="s">
        <v>428</v>
      </c>
      <c r="B5" s="87">
        <v>10900</v>
      </c>
      <c r="C5" s="88" t="s">
        <v>429</v>
      </c>
    </row>
    <row r="6" spans="1:3" ht="12.75">
      <c r="A6" s="86" t="s">
        <v>430</v>
      </c>
      <c r="B6" s="87">
        <v>171000</v>
      </c>
      <c r="C6" s="88" t="s">
        <v>431</v>
      </c>
    </row>
    <row r="7" ht="12.75">
      <c r="A7" s="86" t="s">
        <v>432</v>
      </c>
    </row>
    <row r="8" spans="1:3" ht="12.75">
      <c r="A8" s="86" t="s">
        <v>433</v>
      </c>
      <c r="B8" s="87">
        <v>141100</v>
      </c>
      <c r="C8" s="88" t="s">
        <v>434</v>
      </c>
    </row>
    <row r="9" ht="12.75">
      <c r="A9" s="86" t="s">
        <v>435</v>
      </c>
    </row>
    <row r="10" spans="1:3" ht="12.75">
      <c r="A10" s="86" t="s">
        <v>436</v>
      </c>
      <c r="B10" s="87">
        <v>160101</v>
      </c>
      <c r="C10" s="88" t="s">
        <v>437</v>
      </c>
    </row>
    <row r="11" spans="1:3" ht="12.75">
      <c r="A11" s="86" t="s">
        <v>460</v>
      </c>
      <c r="B11" s="87">
        <v>200301</v>
      </c>
      <c r="C11" s="88" t="s">
        <v>461</v>
      </c>
    </row>
    <row r="12" spans="1:3" ht="25.5">
      <c r="A12" s="86" t="s">
        <v>469</v>
      </c>
      <c r="B12" s="87">
        <v>230301</v>
      </c>
      <c r="C12" s="88" t="s">
        <v>468</v>
      </c>
    </row>
    <row r="13" spans="1:3" ht="25.5">
      <c r="A13" s="86" t="s">
        <v>472</v>
      </c>
      <c r="B13" s="87">
        <v>260301</v>
      </c>
      <c r="C13" s="88" t="s">
        <v>473</v>
      </c>
    </row>
  </sheetData>
  <printOptions/>
  <pageMargins left="0.7874015748031497" right="0.68" top="0.984251968503937" bottom="0.984251968503937" header="0.5118110236220472" footer="0.5118110236220472"/>
  <pageSetup fitToHeight="1" fitToWidth="1" horizontalDpi="600" verticalDpi="600" orientation="portrait" paperSize="9" scale="93" r:id="rId1"/>
  <headerFooter alignWithMargins="0">
    <oddHeader>&amp;L&amp;F, &amp;A&amp;R&amp;T, &amp;D</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24:K149"/>
  <sheetViews>
    <sheetView workbookViewId="0" topLeftCell="A126">
      <selection activeCell="A104" sqref="A104"/>
    </sheetView>
  </sheetViews>
  <sheetFormatPr defaultColWidth="12" defaultRowHeight="12.75"/>
  <sheetData>
    <row r="24" spans="2:5" ht="12.75">
      <c r="B24" s="35" t="s">
        <v>46</v>
      </c>
      <c r="C24" s="35" t="s">
        <v>415</v>
      </c>
      <c r="D24" s="35" t="s">
        <v>308</v>
      </c>
      <c r="E24" s="35" t="s">
        <v>416</v>
      </c>
    </row>
    <row r="25" spans="2:5" ht="12.75">
      <c r="B25" s="21" t="s">
        <v>17</v>
      </c>
      <c r="C25" s="21" t="str">
        <f>"-Zsyno"</f>
        <v>-Zsyno</v>
      </c>
      <c r="D25" s="21" t="s">
        <v>412</v>
      </c>
      <c r="E25" s="21" t="s">
        <v>130</v>
      </c>
    </row>
    <row r="26" spans="2:5" ht="12.75">
      <c r="B26" s="21" t="s">
        <v>81</v>
      </c>
      <c r="C26" s="21" t="s">
        <v>136</v>
      </c>
      <c r="D26" s="21" t="s">
        <v>413</v>
      </c>
      <c r="E26" s="21" t="s">
        <v>131</v>
      </c>
    </row>
    <row r="27" spans="2:5" ht="12.75">
      <c r="B27" s="21" t="s">
        <v>82</v>
      </c>
      <c r="C27" s="21" t="s">
        <v>137</v>
      </c>
      <c r="D27" s="21" t="s">
        <v>414</v>
      </c>
      <c r="E27" s="21" t="s">
        <v>132</v>
      </c>
    </row>
    <row r="93" spans="1:2" ht="12.75">
      <c r="A93" s="89" t="s">
        <v>441</v>
      </c>
      <c r="B93" s="90" t="s">
        <v>439</v>
      </c>
    </row>
    <row r="94" spans="1:2" ht="12.75">
      <c r="A94" s="89" t="s">
        <v>442</v>
      </c>
      <c r="B94" s="90" t="s">
        <v>440</v>
      </c>
    </row>
    <row r="95" spans="1:2" ht="12.75">
      <c r="A95" s="89" t="s">
        <v>443</v>
      </c>
      <c r="B95" s="90" t="s">
        <v>438</v>
      </c>
    </row>
    <row r="99" spans="1:2" ht="12.75">
      <c r="A99" s="89" t="s">
        <v>444</v>
      </c>
      <c r="B99" t="s">
        <v>445</v>
      </c>
    </row>
    <row r="100" ht="12.75">
      <c r="B100" t="s">
        <v>446</v>
      </c>
    </row>
    <row r="101" ht="12.75">
      <c r="B101" t="s">
        <v>447</v>
      </c>
    </row>
    <row r="120" spans="7:11" ht="12.75">
      <c r="G120" s="92"/>
      <c r="H120" s="92"/>
      <c r="I120" s="92"/>
      <c r="J120" s="92"/>
      <c r="K120" s="92"/>
    </row>
    <row r="121" spans="7:11" ht="12.75">
      <c r="G121" s="92"/>
      <c r="H121" s="92"/>
      <c r="I121" s="92"/>
      <c r="J121" s="92"/>
      <c r="K121" s="92"/>
    </row>
    <row r="122" spans="9:11" ht="12.75">
      <c r="I122" s="51"/>
      <c r="J122" s="51"/>
      <c r="K122" s="92"/>
    </row>
    <row r="123" spans="9:11" ht="12.75">
      <c r="I123" s="92"/>
      <c r="J123" s="51"/>
      <c r="K123" s="92"/>
    </row>
    <row r="124" spans="9:11" ht="12.75">
      <c r="I124" s="51"/>
      <c r="J124" s="92"/>
      <c r="K124" s="92"/>
    </row>
    <row r="126" spans="9:10" ht="12.75">
      <c r="I126" s="51"/>
      <c r="J126" s="51"/>
    </row>
    <row r="127" spans="9:10" ht="12.75">
      <c r="I127" s="92"/>
      <c r="J127" s="51"/>
    </row>
    <row r="128" spans="9:10" ht="12.75">
      <c r="I128" s="51"/>
      <c r="J128" s="92"/>
    </row>
    <row r="129" spans="8:10" ht="12.75">
      <c r="H129" s="92"/>
      <c r="I129" s="92"/>
      <c r="J129" s="92"/>
    </row>
    <row r="131" spans="1:2" ht="12.75">
      <c r="A131" s="89" t="s">
        <v>448</v>
      </c>
      <c r="B131" s="90" t="s">
        <v>454</v>
      </c>
    </row>
    <row r="132" ht="12.75">
      <c r="B132" t="str">
        <f>"+VertexCalc!Ynorm*(Interfaces!Ymirr-VertexCalc!Ymirr)"</f>
        <v>+VertexCalc!Ynorm*(Interfaces!Ymirr-VertexCalc!Ymirr)</v>
      </c>
    </row>
    <row r="133" ht="12.75">
      <c r="B133" t="str">
        <f>"+VertexCalc!Znorm*(Interfaces!Zmirr-VertexCalc!Zmirr)"</f>
        <v>+VertexCalc!Znorm*(Interfaces!Zmirr-VertexCalc!Zmirr)</v>
      </c>
    </row>
    <row r="134" spans="1:2" ht="12.75">
      <c r="A134" s="89" t="s">
        <v>449</v>
      </c>
      <c r="B134" s="90" t="s">
        <v>455</v>
      </c>
    </row>
    <row r="135" ht="12.75">
      <c r="B135" t="str">
        <f>"+VertexCalc!Ysag*(Interfaces!Ymirr-VertexCalc!Ymirr)"</f>
        <v>+VertexCalc!Ysag*(Interfaces!Ymirr-VertexCalc!Ymirr)</v>
      </c>
    </row>
    <row r="136" ht="12.75">
      <c r="B136" t="str">
        <f>"+VertexCalc!Zsag*(Interfaces!Zmirr-VertexCalc!Zmirr)"</f>
        <v>+VertexCalc!Zsag*(Interfaces!Zmirr-VertexCalc!Zmirr)</v>
      </c>
    </row>
    <row r="137" spans="1:2" ht="12.75">
      <c r="A137" s="89" t="s">
        <v>450</v>
      </c>
      <c r="B137" s="90" t="s">
        <v>456</v>
      </c>
    </row>
    <row r="138" ht="12.75">
      <c r="B138" t="str">
        <f>"+VertexCalc!Ytang*(Interfaces!Ymirr-VertexCalc!Ymirr)"</f>
        <v>+VertexCalc!Ytang*(Interfaces!Ymirr-VertexCalc!Ymirr)</v>
      </c>
    </row>
    <row r="139" ht="12.75">
      <c r="B139" t="str">
        <f>"+VertexCalc!Ztang*(Interfaces!Zmirr-VertexCalc!Zmirr)"</f>
        <v>+VertexCalc!Ztang*(Interfaces!Zmirr-VertexCalc!Zmirr)</v>
      </c>
    </row>
    <row r="144" spans="1:2" ht="12.75">
      <c r="A144" s="89" t="s">
        <v>453</v>
      </c>
      <c r="B144" s="90" t="s">
        <v>457</v>
      </c>
    </row>
    <row r="145" ht="12.75">
      <c r="B145" t="str">
        <f>"+VertexCalc!Znorm*Interfaces!Znorm"</f>
        <v>+VertexCalc!Znorm*Interfaces!Znorm</v>
      </c>
    </row>
    <row r="146" spans="1:2" ht="12.75">
      <c r="A146" s="89" t="s">
        <v>451</v>
      </c>
      <c r="B146" s="90" t="s">
        <v>458</v>
      </c>
    </row>
    <row r="147" ht="12.75">
      <c r="B147" t="str">
        <f>"+VertexCalc!Zsag*Interfaces!Znorm"</f>
        <v>+VertexCalc!Zsag*Interfaces!Znorm</v>
      </c>
    </row>
    <row r="148" spans="1:2" ht="12.75">
      <c r="A148" s="89" t="s">
        <v>452</v>
      </c>
      <c r="B148" s="90" t="s">
        <v>459</v>
      </c>
    </row>
    <row r="149" ht="12.75">
      <c r="B149" t="str">
        <f>"+VertexCalc!Ztang*Interfaces!Znorm"</f>
        <v>+VertexCalc!Ztang*Interfaces!Znorm</v>
      </c>
    </row>
  </sheetData>
  <printOptions/>
  <pageMargins left="0.65" right="0.59" top="0.81" bottom="0.69" header="0.5118110236220472" footer="0.28"/>
  <pageSetup horizontalDpi="600" verticalDpi="600" orientation="portrait" paperSize="9" r:id="rId6"/>
  <headerFooter alignWithMargins="0">
    <oddHeader>&amp;L&amp;F, &amp;A&amp;R&amp;T, &amp;D</oddHeader>
    <oddFooter>&amp;CPage &amp;P of &amp;N</oddFooter>
  </headerFooter>
  <rowBreaks count="2" manualBreakCount="2">
    <brk id="48" max="255" man="1"/>
    <brk id="103" max="255" man="1"/>
  </rowBreaks>
  <drawing r:id="rId5"/>
  <legacyDrawing r:id="rId4"/>
  <oleObjects>
    <oleObject progId="Equation.3" shapeId="75822527" r:id="rId1"/>
    <oleObject progId="Equation.3" shapeId="76292576" r:id="rId2"/>
    <oleObject progId="Equation.3" shapeId="76310701" r:id="rId3"/>
  </oleObjects>
</worksheet>
</file>

<file path=xl/worksheets/sheet4.xml><?xml version="1.0" encoding="utf-8"?>
<worksheet xmlns="http://schemas.openxmlformats.org/spreadsheetml/2006/main" xmlns:r="http://schemas.openxmlformats.org/officeDocument/2006/relationships">
  <sheetPr>
    <pageSetUpPr fitToPage="1"/>
  </sheetPr>
  <dimension ref="A1:IV73"/>
  <sheetViews>
    <sheetView workbookViewId="0" topLeftCell="A1">
      <selection activeCell="A16" sqref="A16:B16"/>
    </sheetView>
  </sheetViews>
  <sheetFormatPr defaultColWidth="12" defaultRowHeight="12.75"/>
  <cols>
    <col min="1" max="1" width="14.16015625" style="1" customWidth="1"/>
    <col min="2" max="2" width="71.33203125" style="1" customWidth="1"/>
    <col min="3" max="16384" width="12" style="1" customWidth="1"/>
  </cols>
  <sheetData>
    <row r="1" spans="1:2" s="5" customFormat="1" ht="12.75">
      <c r="A1" s="5" t="s">
        <v>0</v>
      </c>
      <c r="B1" s="5" t="s">
        <v>1</v>
      </c>
    </row>
    <row r="2" spans="1:2" ht="12.75">
      <c r="A2" s="1" t="s">
        <v>44</v>
      </c>
      <c r="B2" s="1" t="s">
        <v>418</v>
      </c>
    </row>
    <row r="3" ht="12.75">
      <c r="A3" s="1" t="s">
        <v>129</v>
      </c>
    </row>
    <row r="4" spans="1:4" ht="12.75">
      <c r="A4" s="1" t="s">
        <v>2</v>
      </c>
      <c r="C4" s="6"/>
      <c r="D4" s="6"/>
    </row>
    <row r="5" spans="1:4" ht="12.75">
      <c r="A5" s="1" t="s">
        <v>162</v>
      </c>
      <c r="C5" s="6"/>
      <c r="D5" s="6"/>
    </row>
    <row r="6" spans="1:4" ht="12.75">
      <c r="A6" s="1" t="s">
        <v>91</v>
      </c>
      <c r="C6" s="6"/>
      <c r="D6" s="6"/>
    </row>
    <row r="7" spans="1:4" ht="12.75">
      <c r="A7" s="1" t="s">
        <v>92</v>
      </c>
      <c r="C7" s="6"/>
      <c r="D7" s="6"/>
    </row>
    <row r="8" ht="12.75">
      <c r="A8" s="1" t="s">
        <v>3</v>
      </c>
    </row>
    <row r="9" spans="1:2" ht="12.75">
      <c r="A9" s="1" t="s">
        <v>396</v>
      </c>
      <c r="B9" s="1" t="s">
        <v>398</v>
      </c>
    </row>
    <row r="10" spans="1:2" ht="12.75">
      <c r="A10" s="1" t="s">
        <v>397</v>
      </c>
      <c r="B10" s="1" t="s">
        <v>399</v>
      </c>
    </row>
    <row r="11" spans="1:2" ht="12.75">
      <c r="A11" s="1" t="s">
        <v>400</v>
      </c>
      <c r="B11" s="1" t="s">
        <v>401</v>
      </c>
    </row>
    <row r="12" spans="1:2" ht="12.75">
      <c r="A12" s="1" t="s">
        <v>404</v>
      </c>
      <c r="B12" s="1" t="s">
        <v>405</v>
      </c>
    </row>
    <row r="13" spans="1:256" ht="12.75">
      <c r="A13" s="21" t="s">
        <v>406</v>
      </c>
      <c r="B13" s="21" t="s">
        <v>408</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row>
    <row r="14" spans="1:256" ht="12.75">
      <c r="A14" s="21" t="s">
        <v>407</v>
      </c>
      <c r="B14" s="21" t="s">
        <v>409</v>
      </c>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row>
    <row r="15" spans="1:256" ht="12.75">
      <c r="A15" s="21" t="s">
        <v>466</v>
      </c>
      <c r="B15" s="21" t="s">
        <v>467</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row>
    <row r="16" spans="1:256" ht="12.75">
      <c r="A16" s="21" t="s">
        <v>470</v>
      </c>
      <c r="B16" s="21" t="s">
        <v>471</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row>
    <row r="17" spans="1:2" ht="12.75">
      <c r="A17" s="1" t="s">
        <v>4</v>
      </c>
      <c r="B17" s="1" t="s">
        <v>10</v>
      </c>
    </row>
    <row r="18" ht="12.75">
      <c r="A18" s="1" t="s">
        <v>5</v>
      </c>
    </row>
    <row r="19" ht="12.75">
      <c r="A19" s="1" t="s">
        <v>6</v>
      </c>
    </row>
    <row r="20" spans="1:2" ht="12.75">
      <c r="A20" s="1" t="s">
        <v>31</v>
      </c>
      <c r="B20" s="1" t="s">
        <v>37</v>
      </c>
    </row>
    <row r="21" ht="12.75">
      <c r="A21" s="1" t="s">
        <v>32</v>
      </c>
    </row>
    <row r="22" ht="12.75">
      <c r="A22" s="1" t="s">
        <v>33</v>
      </c>
    </row>
    <row r="23" spans="1:2" ht="12.75">
      <c r="A23" s="1" t="s">
        <v>34</v>
      </c>
      <c r="B23" s="1" t="s">
        <v>38</v>
      </c>
    </row>
    <row r="24" ht="12.75">
      <c r="A24" s="1" t="s">
        <v>35</v>
      </c>
    </row>
    <row r="25" ht="12.75">
      <c r="A25" s="1" t="s">
        <v>36</v>
      </c>
    </row>
    <row r="26" spans="1:2" ht="12.75">
      <c r="A26" s="1" t="s">
        <v>371</v>
      </c>
      <c r="B26" s="1" t="s">
        <v>374</v>
      </c>
    </row>
    <row r="27" ht="12.75">
      <c r="A27" s="1" t="s">
        <v>372</v>
      </c>
    </row>
    <row r="28" ht="12.75">
      <c r="A28" s="1" t="s">
        <v>373</v>
      </c>
    </row>
    <row r="29" spans="1:2" ht="12.75">
      <c r="A29" s="1" t="s">
        <v>393</v>
      </c>
      <c r="B29" s="1" t="s">
        <v>368</v>
      </c>
    </row>
    <row r="30" ht="12.75">
      <c r="A30" s="1" t="s">
        <v>394</v>
      </c>
    </row>
    <row r="31" ht="12.75">
      <c r="A31" s="1" t="s">
        <v>395</v>
      </c>
    </row>
    <row r="32" spans="1:2" ht="12.75">
      <c r="A32" s="1" t="s">
        <v>462</v>
      </c>
      <c r="B32" s="1" t="s">
        <v>465</v>
      </c>
    </row>
    <row r="33" ht="12.75">
      <c r="A33" s="1" t="s">
        <v>463</v>
      </c>
    </row>
    <row r="34" ht="12.75">
      <c r="A34" s="1" t="s">
        <v>464</v>
      </c>
    </row>
    <row r="35" spans="1:2" ht="12.75">
      <c r="A35" s="1" t="s">
        <v>363</v>
      </c>
      <c r="B35" s="1" t="s">
        <v>369</v>
      </c>
    </row>
    <row r="36" ht="12.75">
      <c r="A36" s="1" t="s">
        <v>362</v>
      </c>
    </row>
    <row r="37" ht="12.75">
      <c r="A37" s="1" t="s">
        <v>364</v>
      </c>
    </row>
    <row r="38" spans="1:2" ht="12.75">
      <c r="A38" s="1" t="s">
        <v>21</v>
      </c>
      <c r="B38" s="1" t="s">
        <v>370</v>
      </c>
    </row>
    <row r="39" ht="12.75">
      <c r="A39" s="1" t="s">
        <v>22</v>
      </c>
    </row>
    <row r="40" ht="12.75">
      <c r="A40" s="1" t="s">
        <v>23</v>
      </c>
    </row>
    <row r="41" spans="1:2" ht="12.75">
      <c r="A41" s="1" t="s">
        <v>18</v>
      </c>
      <c r="B41" s="1" t="s">
        <v>411</v>
      </c>
    </row>
    <row r="42" ht="12.75">
      <c r="A42" s="1" t="s">
        <v>19</v>
      </c>
    </row>
    <row r="43" ht="12.75">
      <c r="A43" s="1" t="s">
        <v>20</v>
      </c>
    </row>
    <row r="44" spans="1:2" ht="12.75">
      <c r="A44" s="1" t="s">
        <v>14</v>
      </c>
      <c r="B44" s="1" t="s">
        <v>27</v>
      </c>
    </row>
    <row r="45" ht="12.75">
      <c r="A45" s="1" t="s">
        <v>15</v>
      </c>
    </row>
    <row r="46" ht="12.75">
      <c r="A46" s="1" t="s">
        <v>16</v>
      </c>
    </row>
    <row r="47" spans="1:2" ht="12.75">
      <c r="A47" s="1" t="s">
        <v>11</v>
      </c>
      <c r="B47" s="1" t="s">
        <v>28</v>
      </c>
    </row>
    <row r="48" ht="12.75">
      <c r="A48" s="1" t="s">
        <v>12</v>
      </c>
    </row>
    <row r="49" ht="12.75">
      <c r="A49" s="1" t="s">
        <v>13</v>
      </c>
    </row>
    <row r="50" spans="1:2" ht="12.75">
      <c r="A50" s="1" t="s">
        <v>365</v>
      </c>
      <c r="B50" s="1" t="s">
        <v>29</v>
      </c>
    </row>
    <row r="51" ht="12.75">
      <c r="A51" s="1" t="s">
        <v>366</v>
      </c>
    </row>
    <row r="52" ht="12.75">
      <c r="A52" s="1" t="s">
        <v>367</v>
      </c>
    </row>
    <row r="53" spans="1:2" ht="12.75">
      <c r="A53" s="1" t="s">
        <v>24</v>
      </c>
      <c r="B53" s="1" t="s">
        <v>30</v>
      </c>
    </row>
    <row r="54" ht="12.75">
      <c r="A54" s="1" t="s">
        <v>25</v>
      </c>
    </row>
    <row r="55" ht="12.75">
      <c r="A55" s="1" t="s">
        <v>26</v>
      </c>
    </row>
    <row r="56" spans="1:2" ht="12.75">
      <c r="A56" s="1" t="s">
        <v>98</v>
      </c>
      <c r="B56" s="1" t="s">
        <v>155</v>
      </c>
    </row>
    <row r="57" spans="1:2" ht="12.75">
      <c r="A57" s="1" t="s">
        <v>101</v>
      </c>
      <c r="B57" s="1" t="s">
        <v>156</v>
      </c>
    </row>
    <row r="58" ht="12.75">
      <c r="A58" s="1" t="s">
        <v>104</v>
      </c>
    </row>
    <row r="59" ht="12.75">
      <c r="A59" s="1" t="s">
        <v>107</v>
      </c>
    </row>
    <row r="60" spans="1:2" ht="12.75">
      <c r="A60" s="1" t="s">
        <v>112</v>
      </c>
      <c r="B60" s="1" t="s">
        <v>157</v>
      </c>
    </row>
    <row r="61" ht="12.75">
      <c r="A61" s="1" t="s">
        <v>114</v>
      </c>
    </row>
    <row r="62" ht="12.75">
      <c r="A62" s="1" t="s">
        <v>116</v>
      </c>
    </row>
    <row r="63" spans="1:16" ht="12.75">
      <c r="A63" s="1" t="s">
        <v>141</v>
      </c>
      <c r="B63" s="1" t="s">
        <v>158</v>
      </c>
      <c r="C63" s="6"/>
      <c r="D63" s="6"/>
      <c r="E63" s="6"/>
      <c r="F63" s="6"/>
      <c r="G63" s="6"/>
      <c r="H63" s="6"/>
      <c r="I63" s="6"/>
      <c r="J63" s="6"/>
      <c r="K63" s="6"/>
      <c r="L63" s="6"/>
      <c r="M63" s="6"/>
      <c r="N63" s="6"/>
      <c r="O63" s="6"/>
      <c r="P63" s="6"/>
    </row>
    <row r="64" ht="12.75">
      <c r="A64" s="1" t="s">
        <v>142</v>
      </c>
    </row>
    <row r="65" ht="12.75">
      <c r="A65" s="1" t="s">
        <v>143</v>
      </c>
    </row>
    <row r="66" spans="1:2" ht="12.75">
      <c r="A66" s="1" t="s">
        <v>144</v>
      </c>
      <c r="B66" s="1" t="s">
        <v>159</v>
      </c>
    </row>
    <row r="67" spans="1:2" ht="12.75">
      <c r="A67" s="1" t="s">
        <v>145</v>
      </c>
      <c r="B67" s="1" t="s">
        <v>160</v>
      </c>
    </row>
    <row r="68" ht="12.75">
      <c r="A68" s="1" t="s">
        <v>146</v>
      </c>
    </row>
    <row r="69" ht="12.75">
      <c r="A69" s="1" t="s">
        <v>147</v>
      </c>
    </row>
    <row r="70" spans="1:2" ht="12.75">
      <c r="A70" s="1" t="s">
        <v>148</v>
      </c>
      <c r="B70" s="1" t="s">
        <v>161</v>
      </c>
    </row>
    <row r="71" ht="12.75">
      <c r="A71" s="1" t="s">
        <v>149</v>
      </c>
    </row>
    <row r="72" ht="12.75">
      <c r="A72" s="1" t="s">
        <v>150</v>
      </c>
    </row>
    <row r="73" spans="1:2" ht="12.75">
      <c r="A73" s="1" t="s">
        <v>154</v>
      </c>
      <c r="B73" s="1" t="s">
        <v>159</v>
      </c>
    </row>
  </sheetData>
  <printOptions/>
  <pageMargins left="0.7874015748031497" right="0.7874015748031497" top="0.84" bottom="0.54" header="0.38" footer="0.24"/>
  <pageSetup fitToHeight="1" fitToWidth="1" horizontalDpi="600" verticalDpi="600" orientation="portrait" paperSize="9" scale="84" r:id="rId1"/>
  <headerFooter alignWithMargins="0">
    <oddHeader>&amp;L&amp;F, &amp;A&amp;R&amp;T, &amp;D</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H26"/>
  <sheetViews>
    <sheetView workbookViewId="0" topLeftCell="A1">
      <selection activeCell="K18" sqref="K18"/>
    </sheetView>
  </sheetViews>
  <sheetFormatPr defaultColWidth="12" defaultRowHeight="12.75"/>
  <cols>
    <col min="1" max="2" width="12" style="1" customWidth="1"/>
    <col min="3" max="3" width="20.16015625" style="1" customWidth="1"/>
    <col min="4" max="5" width="12" style="1" customWidth="1"/>
    <col min="6" max="8" width="10.83203125" style="36" customWidth="1"/>
    <col min="9" max="16384" width="12" style="1" customWidth="1"/>
  </cols>
  <sheetData>
    <row r="1" spans="3:8" s="5" customFormat="1" ht="12.75">
      <c r="C1" s="5" t="s">
        <v>129</v>
      </c>
      <c r="D1" s="5" t="s">
        <v>2</v>
      </c>
      <c r="E1" s="5" t="s">
        <v>162</v>
      </c>
      <c r="F1" s="47" t="s">
        <v>4</v>
      </c>
      <c r="G1" s="48" t="s">
        <v>5</v>
      </c>
      <c r="H1" s="49" t="s">
        <v>6</v>
      </c>
    </row>
    <row r="2" spans="4:8" ht="13.5" thickBot="1">
      <c r="D2" s="1" t="s">
        <v>93</v>
      </c>
      <c r="E2" s="1" t="s">
        <v>128</v>
      </c>
      <c r="F2" s="50">
        <f ca="1">IF(Flag="Ignore","",INDIRECT("RayImpacts!"&amp;F$1))</f>
      </c>
      <c r="G2" s="51">
        <f aca="true" ca="1" t="shared" si="0" ref="G2:H17">IF(Flag="Ignore","",INDIRECT("RayImpacts!"&amp;G$1))</f>
      </c>
      <c r="H2" s="52">
        <f ca="1" t="shared" si="0"/>
      </c>
    </row>
    <row r="3" spans="3:8" ht="12.75">
      <c r="C3" s="10" t="s">
        <v>122</v>
      </c>
      <c r="D3" s="11" t="s">
        <v>94</v>
      </c>
      <c r="E3" s="11"/>
      <c r="F3" s="53">
        <f aca="true" ca="1" t="shared" si="1" ref="F3:H22">IF(Flag="Ignore","",INDIRECT("RayImpacts!"&amp;F$1))</f>
        <v>1252.590842</v>
      </c>
      <c r="G3" s="54">
        <f ca="1" t="shared" si="0"/>
        <v>0</v>
      </c>
      <c r="H3" s="55">
        <f ca="1" t="shared" si="0"/>
        <v>54.789529</v>
      </c>
    </row>
    <row r="4" spans="3:8" ht="13.5" thickBot="1">
      <c r="C4" s="15"/>
      <c r="D4" s="16" t="s">
        <v>95</v>
      </c>
      <c r="E4" s="16"/>
      <c r="F4" s="56">
        <f ca="1" t="shared" si="1"/>
        <v>2840.131</v>
      </c>
      <c r="G4" s="57">
        <f ca="1" t="shared" si="0"/>
        <v>0</v>
      </c>
      <c r="H4" s="58">
        <f ca="1" t="shared" si="0"/>
        <v>1.42E-14</v>
      </c>
    </row>
    <row r="5" spans="3:8" ht="12.75">
      <c r="C5" s="10" t="s">
        <v>123</v>
      </c>
      <c r="D5" s="11" t="s">
        <v>96</v>
      </c>
      <c r="E5" s="11" t="s">
        <v>163</v>
      </c>
      <c r="F5" s="53">
        <f ca="1" t="shared" si="1"/>
        <v>228.382426</v>
      </c>
      <c r="G5" s="54">
        <f ca="1" t="shared" si="0"/>
        <v>0</v>
      </c>
      <c r="H5" s="55">
        <f ca="1" t="shared" si="0"/>
        <v>-90.137232</v>
      </c>
    </row>
    <row r="6" spans="3:8" ht="12.75">
      <c r="C6" s="20"/>
      <c r="D6" s="21" t="s">
        <v>97</v>
      </c>
      <c r="E6" s="21"/>
      <c r="F6" s="50">
        <f ca="1" t="shared" si="1"/>
        <v>131.141755</v>
      </c>
      <c r="G6" s="51">
        <f ca="1" t="shared" si="0"/>
        <v>0</v>
      </c>
      <c r="H6" s="52">
        <f ca="1" t="shared" si="0"/>
        <v>-93.493223</v>
      </c>
    </row>
    <row r="7" spans="3:8" ht="12.75">
      <c r="C7" s="20"/>
      <c r="D7" s="21" t="s">
        <v>99</v>
      </c>
      <c r="E7" s="21"/>
      <c r="F7" s="50">
        <f ca="1" t="shared" si="1"/>
        <v>316.12521200000003</v>
      </c>
      <c r="G7" s="51">
        <f ca="1" t="shared" si="0"/>
        <v>0</v>
      </c>
      <c r="H7" s="52">
        <f ca="1" t="shared" si="0"/>
        <v>-200.093508</v>
      </c>
    </row>
    <row r="8" spans="3:8" ht="13.5" thickBot="1">
      <c r="C8" s="15"/>
      <c r="D8" s="16" t="s">
        <v>100</v>
      </c>
      <c r="E8" s="16"/>
      <c r="F8" s="56">
        <f ca="1" t="shared" si="1"/>
        <v>119.782648</v>
      </c>
      <c r="G8" s="57">
        <f ca="1" t="shared" si="0"/>
        <v>0</v>
      </c>
      <c r="H8" s="58">
        <f ca="1" t="shared" si="0"/>
        <v>-179.688231</v>
      </c>
    </row>
    <row r="9" spans="3:8" ht="12.75">
      <c r="C9" s="10" t="s">
        <v>124</v>
      </c>
      <c r="D9" s="11" t="s">
        <v>103</v>
      </c>
      <c r="E9" s="11"/>
      <c r="F9" s="53">
        <f ca="1" t="shared" si="1"/>
        <v>296.150648</v>
      </c>
      <c r="G9" s="54">
        <f ca="1" t="shared" si="0"/>
        <v>0</v>
      </c>
      <c r="H9" s="55">
        <f ca="1" t="shared" si="0"/>
        <v>-259.533341</v>
      </c>
    </row>
    <row r="10" spans="3:8" ht="12.75">
      <c r="C10" s="20"/>
      <c r="D10" s="21" t="s">
        <v>106</v>
      </c>
      <c r="E10" s="21"/>
      <c r="F10" s="50">
        <f ca="1" t="shared" si="1"/>
        <v>94.233987</v>
      </c>
      <c r="G10" s="51">
        <f ca="1" t="shared" si="0"/>
        <v>0</v>
      </c>
      <c r="H10" s="52">
        <f ca="1" t="shared" si="0"/>
        <v>-279.48232</v>
      </c>
    </row>
    <row r="11" spans="3:8" ht="12.75">
      <c r="C11" s="20"/>
      <c r="D11" s="21" t="s">
        <v>109</v>
      </c>
      <c r="E11" s="21"/>
      <c r="F11" s="50">
        <f ca="1" t="shared" si="1"/>
        <v>240.466374</v>
      </c>
      <c r="G11" s="51">
        <f ca="1" t="shared" si="0"/>
        <v>0</v>
      </c>
      <c r="H11" s="52">
        <f ca="1" t="shared" si="0"/>
        <v>-397.634755</v>
      </c>
    </row>
    <row r="12" spans="3:8" ht="12.75">
      <c r="C12" s="20"/>
      <c r="D12" s="21" t="s">
        <v>110</v>
      </c>
      <c r="E12" s="21" t="s">
        <v>163</v>
      </c>
      <c r="F12" s="50">
        <f ca="1" t="shared" si="1"/>
        <v>192.867821</v>
      </c>
      <c r="G12" s="51">
        <f ca="1" t="shared" si="0"/>
        <v>0</v>
      </c>
      <c r="H12" s="52">
        <f ca="1" t="shared" si="0"/>
        <v>-448.961602</v>
      </c>
    </row>
    <row r="13" spans="3:8" ht="13.5" thickBot="1">
      <c r="C13" s="15"/>
      <c r="D13" s="16" t="s">
        <v>111</v>
      </c>
      <c r="E13" s="16"/>
      <c r="F13" s="56">
        <f ca="1" t="shared" si="1"/>
        <v>104.471471</v>
      </c>
      <c r="G13" s="57">
        <f ca="1" t="shared" si="0"/>
        <v>0</v>
      </c>
      <c r="H13" s="58">
        <f ca="1" t="shared" si="0"/>
        <v>-544.281853</v>
      </c>
    </row>
    <row r="14" spans="3:8" ht="12.75">
      <c r="C14" s="10" t="s">
        <v>125</v>
      </c>
      <c r="D14" s="11" t="s">
        <v>113</v>
      </c>
      <c r="E14" s="11"/>
      <c r="F14" s="53">
        <f ca="1" t="shared" si="1"/>
        <v>238.41944999999998</v>
      </c>
      <c r="G14" s="54">
        <f ca="1" t="shared" si="0"/>
        <v>0</v>
      </c>
      <c r="H14" s="55">
        <f ca="1" t="shared" si="0"/>
        <v>-527.459168</v>
      </c>
    </row>
    <row r="15" spans="1:8" ht="12.75">
      <c r="A15" s="26"/>
      <c r="C15" s="20"/>
      <c r="D15" s="21" t="s">
        <v>115</v>
      </c>
      <c r="E15" s="21"/>
      <c r="F15" s="50">
        <f ca="1" t="shared" si="1"/>
        <v>139.942107</v>
      </c>
      <c r="G15" s="51">
        <f ca="1" t="shared" si="0"/>
        <v>1.82E-14</v>
      </c>
      <c r="H15" s="52">
        <f ca="1" t="shared" si="0"/>
        <v>-619.802494</v>
      </c>
    </row>
    <row r="16" spans="3:8" ht="13.5" thickBot="1">
      <c r="C16" s="15"/>
      <c r="D16" s="16" t="s">
        <v>117</v>
      </c>
      <c r="E16" s="16" t="s">
        <v>163</v>
      </c>
      <c r="F16" s="56">
        <f ca="1" t="shared" si="1"/>
        <v>139.942248</v>
      </c>
      <c r="G16" s="57">
        <f ca="1" t="shared" si="0"/>
        <v>-50</v>
      </c>
      <c r="H16" s="58">
        <f ca="1" t="shared" si="0"/>
        <v>-619.802643</v>
      </c>
    </row>
    <row r="17" spans="4:8" ht="13.5" thickBot="1">
      <c r="D17" s="1" t="s">
        <v>113</v>
      </c>
      <c r="E17" s="1" t="s">
        <v>128</v>
      </c>
      <c r="F17" s="50">
        <f ca="1" t="shared" si="1"/>
      </c>
      <c r="G17" s="51">
        <f ca="1" t="shared" si="0"/>
      </c>
      <c r="H17" s="52">
        <f ca="1" t="shared" si="0"/>
      </c>
    </row>
    <row r="18" spans="3:8" ht="12.75">
      <c r="C18" s="10" t="s">
        <v>126</v>
      </c>
      <c r="D18" s="11" t="s">
        <v>118</v>
      </c>
      <c r="E18" s="11"/>
      <c r="F18" s="53">
        <f ca="1" t="shared" si="1"/>
        <v>337.640283</v>
      </c>
      <c r="G18" s="54">
        <f ca="1" t="shared" si="1"/>
        <v>-4.41E-16</v>
      </c>
      <c r="H18" s="55">
        <f ca="1" t="shared" si="1"/>
        <v>-514.997907</v>
      </c>
    </row>
    <row r="19" spans="1:8" ht="13.5" thickBot="1">
      <c r="A19" s="26"/>
      <c r="C19" s="15"/>
      <c r="D19" s="16" t="s">
        <v>119</v>
      </c>
      <c r="E19" s="16" t="s">
        <v>163</v>
      </c>
      <c r="F19" s="56">
        <f ca="1" t="shared" si="1"/>
        <v>283.429275</v>
      </c>
      <c r="G19" s="57">
        <f ca="1" t="shared" si="1"/>
        <v>-65.113778</v>
      </c>
      <c r="H19" s="58">
        <f ca="1" t="shared" si="1"/>
        <v>-521.806909</v>
      </c>
    </row>
    <row r="20" spans="1:8" ht="13.5" thickBot="1">
      <c r="A20" s="25"/>
      <c r="B20" s="25"/>
      <c r="D20" s="1" t="s">
        <v>118</v>
      </c>
      <c r="E20" s="1" t="s">
        <v>128</v>
      </c>
      <c r="F20" s="50">
        <f ca="1" t="shared" si="1"/>
      </c>
      <c r="G20" s="51">
        <f ca="1" t="shared" si="1"/>
      </c>
      <c r="H20" s="52">
        <f ca="1" t="shared" si="1"/>
      </c>
    </row>
    <row r="21" spans="1:8" ht="12.75">
      <c r="A21" s="25"/>
      <c r="B21" s="25"/>
      <c r="C21" s="10" t="s">
        <v>127</v>
      </c>
      <c r="D21" s="11" t="s">
        <v>120</v>
      </c>
      <c r="E21" s="11"/>
      <c r="F21" s="53">
        <f ca="1" t="shared" si="1"/>
        <v>381.297645</v>
      </c>
      <c r="G21" s="54">
        <f ca="1" t="shared" si="1"/>
        <v>-4.78E-15</v>
      </c>
      <c r="H21" s="55">
        <f ca="1" t="shared" si="1"/>
        <v>-509.514927</v>
      </c>
    </row>
    <row r="22" spans="1:8" ht="13.5" thickBot="1">
      <c r="A22" s="25"/>
      <c r="B22" s="25"/>
      <c r="C22" s="15"/>
      <c r="D22" s="16" t="s">
        <v>121</v>
      </c>
      <c r="E22" s="16" t="s">
        <v>163</v>
      </c>
      <c r="F22" s="56">
        <f ca="1" t="shared" si="1"/>
        <v>381.298479</v>
      </c>
      <c r="G22" s="57">
        <f ca="1" t="shared" si="1"/>
        <v>9.28E-15</v>
      </c>
      <c r="H22" s="58">
        <f ca="1" t="shared" si="1"/>
        <v>-468.515249</v>
      </c>
    </row>
    <row r="23" ht="12.75">
      <c r="A23" s="26" t="s">
        <v>140</v>
      </c>
    </row>
    <row r="24" spans="1:3" ht="12.75">
      <c r="A24" s="1" t="s">
        <v>17</v>
      </c>
      <c r="B24" s="1" t="str">
        <f>"-Zsyno"</f>
        <v>-Zsyno</v>
      </c>
      <c r="C24" s="1" t="s">
        <v>130</v>
      </c>
    </row>
    <row r="25" spans="1:3" ht="12.75">
      <c r="A25" s="1" t="s">
        <v>81</v>
      </c>
      <c r="B25" s="1" t="s">
        <v>136</v>
      </c>
      <c r="C25" s="1" t="s">
        <v>131</v>
      </c>
    </row>
    <row r="26" spans="1:3" ht="12.75">
      <c r="A26" s="1" t="s">
        <v>82</v>
      </c>
      <c r="B26" s="1" t="s">
        <v>137</v>
      </c>
      <c r="C26" s="1" t="s">
        <v>132</v>
      </c>
    </row>
  </sheetData>
  <printOptions/>
  <pageMargins left="0.7874015748031497" right="0.7874015748031497" top="0.984251968503937" bottom="0.984251968503937" header="0.5118110236220472" footer="0.5118110236220472"/>
  <pageSetup horizontalDpi="600" verticalDpi="600" orientation="landscape" paperSize="9" scale="65" r:id="rId1"/>
  <headerFooter alignWithMargins="0">
    <oddHeader>&amp;L&amp;F, &amp;A&amp;R&amp;T, &amp;D</oddHead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C26"/>
  <sheetViews>
    <sheetView zoomScale="80" zoomScaleNormal="80" workbookViewId="0" topLeftCell="E1">
      <selection activeCell="U2" sqref="U2:U22"/>
    </sheetView>
  </sheetViews>
  <sheetFormatPr defaultColWidth="12" defaultRowHeight="12.75"/>
  <cols>
    <col min="1" max="2" width="12" style="1" customWidth="1"/>
    <col min="3" max="3" width="20.16015625" style="1" customWidth="1"/>
    <col min="4" max="4" width="12" style="1" customWidth="1"/>
    <col min="5" max="5" width="12" style="8" customWidth="1"/>
    <col min="6" max="6" width="12" style="1" customWidth="1"/>
    <col min="7" max="21" width="14.16015625" style="100" customWidth="1"/>
    <col min="22" max="22" width="11.33203125" style="8" customWidth="1"/>
    <col min="23" max="23" width="12" style="22" customWidth="1"/>
    <col min="24" max="29" width="9.33203125" style="22" customWidth="1"/>
    <col min="30" max="16384" width="12" style="1" customWidth="1"/>
  </cols>
  <sheetData>
    <row r="1" spans="3:29" s="5" customFormat="1" ht="12.75">
      <c r="C1" s="5" t="s">
        <v>129</v>
      </c>
      <c r="D1" s="5" t="s">
        <v>2</v>
      </c>
      <c r="E1" s="6" t="s">
        <v>470</v>
      </c>
      <c r="F1" s="5" t="s">
        <v>162</v>
      </c>
      <c r="G1" s="93" t="s">
        <v>18</v>
      </c>
      <c r="H1" s="94" t="s">
        <v>19</v>
      </c>
      <c r="I1" s="95" t="s">
        <v>20</v>
      </c>
      <c r="J1" s="96" t="s">
        <v>14</v>
      </c>
      <c r="K1" s="96" t="s">
        <v>15</v>
      </c>
      <c r="L1" s="96" t="s">
        <v>16</v>
      </c>
      <c r="M1" s="93" t="s">
        <v>11</v>
      </c>
      <c r="N1" s="94" t="s">
        <v>12</v>
      </c>
      <c r="O1" s="95" t="s">
        <v>13</v>
      </c>
      <c r="P1" s="96" t="s">
        <v>21</v>
      </c>
      <c r="Q1" s="96" t="s">
        <v>22</v>
      </c>
      <c r="R1" s="96" t="s">
        <v>23</v>
      </c>
      <c r="S1" s="93" t="s">
        <v>24</v>
      </c>
      <c r="T1" s="94" t="s">
        <v>25</v>
      </c>
      <c r="U1" s="95" t="s">
        <v>26</v>
      </c>
      <c r="V1" s="6" t="s">
        <v>410</v>
      </c>
      <c r="W1" s="32"/>
      <c r="X1" s="32"/>
      <c r="Y1" s="32"/>
      <c r="Z1" s="32"/>
      <c r="AA1" s="32"/>
      <c r="AB1" s="32"/>
      <c r="AC1" s="32"/>
    </row>
    <row r="2" spans="4:22" ht="13.5" thickBot="1">
      <c r="D2" s="1" t="s">
        <v>93</v>
      </c>
      <c r="F2" s="1" t="s">
        <v>128</v>
      </c>
      <c r="G2" s="97">
        <f ca="1">IF(OR(Flag="Ignore",Flag="Det",Flag="Hole"),"",INDIRECT(Flag&amp;"Calc!x"&amp;Flag))</f>
      </c>
      <c r="H2" s="98">
        <f ca="1">IF(OR(Flag="Ignore",Flag="Det",Flag="Hole"),"",INDIRECT(Flag&amp;"Calc!y"&amp;Flag))</f>
      </c>
      <c r="I2" s="99">
        <f ca="1">IF(OR(Flag="Ignore",Flag="Det",Flag="Hole"),"",INDIRECT(Flag&amp;"Calc!z"&amp;Flag))</f>
      </c>
      <c r="J2" s="100">
        <f ca="1">IF(OR(Flag="Ignore",Flag="Det",Flag="Hole"),"",INDIRECT(Flag&amp;"Calc!"&amp;J$1)*IF(Flag="Vertex",VertexCalc!NormDir,1))</f>
      </c>
      <c r="K2" s="100">
        <f ca="1">IF(OR(Flag="Ignore",Flag="Det",Flag="Hole"),"",INDIRECT(Flag&amp;"Calc!"&amp;K$1)*IF(Flag="Vertex",VertexCalc!NormDir,1))</f>
      </c>
      <c r="L2" s="100">
        <f ca="1">IF(OR(Flag="Ignore",Flag="Det",Flag="Hole"),"",INDIRECT(Flag&amp;"Calc!"&amp;L$1)*IF(Flag="Vertex",VertexCalc!NormDir,1))</f>
      </c>
      <c r="M2" s="97">
        <f>IF(OR(Flag="Ignore",Flag="Det",Flag="Hole"),"",Xmirr+SpigLength*Xnorm)</f>
      </c>
      <c r="N2" s="98">
        <f>IF(OR(Flag="Ignore",Flag="Det",Flag="Hole"),"",Ymirr+SpigLength*Ynorm)</f>
      </c>
      <c r="O2" s="99">
        <f>IF(OR(Flag="Ignore",Flag="Det",Flag="Hole"),"",Zmirr+SpigLength*Znorm)</f>
      </c>
      <c r="P2" s="100">
        <f aca="true" ca="1" t="shared" si="0" ref="P2:R22">IF(OR(Flag="Ignore",Flag="Det",Flag="Hole"),"",INDIRECT(Flag&amp;"Calc!"&amp;P$1)*DowlDir)</f>
      </c>
      <c r="Q2" s="100">
        <f ca="1" t="shared" si="0"/>
      </c>
      <c r="R2" s="100">
        <f ca="1" t="shared" si="0"/>
      </c>
      <c r="S2" s="97">
        <f aca="true" t="shared" si="1" ref="S2:S22">IF(OR(Flag="Ignore",Flag="Det",Flag="Hole"),"",Xmirr+DowlSep*Xsag)</f>
      </c>
      <c r="T2" s="98">
        <f aca="true" t="shared" si="2" ref="T2:T22">IF(OR(Flag="Ignore",Flag="Det",Flag="Hole"),"",Ymirr+DowlSep*Ysag)</f>
      </c>
      <c r="U2" s="99">
        <f aca="true" t="shared" si="3" ref="U2:U22">IF(OR(Flag="Ignore",Flag="Det",Flag="Hole"),"",Zmirr+DowlSep*Zsag)</f>
      </c>
      <c r="V2" s="8">
        <f>IF(OR(Flag="Ignore",Flag="Hole",Flag="Det"),"",ACOS(Xsag*Xnorm+Ysag*Ynorm+Zsag*Znorm)*180/PI())</f>
      </c>
    </row>
    <row r="3" spans="3:22" ht="12.75">
      <c r="C3" s="10" t="s">
        <v>122</v>
      </c>
      <c r="D3" s="11" t="s">
        <v>94</v>
      </c>
      <c r="E3" s="12"/>
      <c r="F3" s="11" t="s">
        <v>128</v>
      </c>
      <c r="G3" s="101">
        <f aca="true" ca="1" t="shared" si="4" ref="G3:G22">IF(OR(Flag="Ignore",Flag="Det",Flag="Hole"),"",INDIRECT(Flag&amp;"Calc!x"&amp;Flag))</f>
      </c>
      <c r="H3" s="102">
        <f aca="true" ca="1" t="shared" si="5" ref="H3:H22">IF(OR(Flag="Ignore",Flag="Det",Flag="Hole"),"",INDIRECT(Flag&amp;"Calc!y"&amp;Flag))</f>
      </c>
      <c r="I3" s="103">
        <f aca="true" ca="1" t="shared" si="6" ref="I3:I22">IF(OR(Flag="Ignore",Flag="Det",Flag="Hole"),"",INDIRECT(Flag&amp;"Calc!z"&amp;Flag))</f>
      </c>
      <c r="J3" s="102">
        <f ca="1">IF(OR(Flag="Ignore",Flag="Det",Flag="Hole"),"",INDIRECT(Flag&amp;"Calc!"&amp;J$1)*IF(Flag="Vertex",VertexCalc!NormDir,1))</f>
      </c>
      <c r="K3" s="102">
        <f ca="1">IF(OR(Flag="Ignore",Flag="Det",Flag="Hole"),"",INDIRECT(Flag&amp;"Calc!"&amp;K$1)*IF(Flag="Vertex",VertexCalc!NormDir,1))</f>
      </c>
      <c r="L3" s="102">
        <f ca="1">IF(OR(Flag="Ignore",Flag="Det",Flag="Hole"),"",INDIRECT(Flag&amp;"Calc!"&amp;L$1)*IF(Flag="Vertex",VertexCalc!NormDir,1))</f>
      </c>
      <c r="M3" s="101">
        <f>IF(OR(Flag="Ignore",Flag="Det",Flag="Hole"),"",Xmirr+SpigLength*Xnorm)</f>
      </c>
      <c r="N3" s="102">
        <f>IF(OR(Flag="Ignore",Flag="Det",Flag="Hole"),"",Ymirr+SpigLength*Ynorm)</f>
      </c>
      <c r="O3" s="103">
        <f>IF(OR(Flag="Ignore",Flag="Det",Flag="Hole"),"",Zmirr+SpigLength*Znorm)</f>
      </c>
      <c r="P3" s="102">
        <f ca="1" t="shared" si="0"/>
      </c>
      <c r="Q3" s="102">
        <f ca="1" t="shared" si="0"/>
      </c>
      <c r="R3" s="102">
        <f ca="1" t="shared" si="0"/>
      </c>
      <c r="S3" s="101">
        <f t="shared" si="1"/>
      </c>
      <c r="T3" s="102">
        <f t="shared" si="2"/>
      </c>
      <c r="U3" s="103">
        <f t="shared" si="3"/>
      </c>
      <c r="V3" s="28">
        <f aca="true" t="shared" si="7" ref="V3:V22">IF(OR(Flag="Ignore",Flag="Hole",Flag="Det"),"",ACOS(Xsag*Xnorm+Ysag*Ynorm+Zsag*Znorm)*180/PI())</f>
      </c>
    </row>
    <row r="4" spans="3:22" ht="13.5" thickBot="1">
      <c r="C4" s="15"/>
      <c r="D4" s="16" t="s">
        <v>95</v>
      </c>
      <c r="E4" s="17"/>
      <c r="F4" s="16" t="s">
        <v>128</v>
      </c>
      <c r="G4" s="104">
        <f ca="1" t="shared" si="4"/>
      </c>
      <c r="H4" s="105">
        <f ca="1" t="shared" si="5"/>
      </c>
      <c r="I4" s="106">
        <f ca="1" t="shared" si="6"/>
      </c>
      <c r="J4" s="105">
        <f ca="1">IF(OR(Flag="Ignore",Flag="Det",Flag="Hole"),"",INDIRECT(Flag&amp;"Calc!"&amp;J$1)*IF(Flag="Vertex",VertexCalc!NormDir,1))</f>
      </c>
      <c r="K4" s="105">
        <f ca="1">IF(OR(Flag="Ignore",Flag="Det",Flag="Hole"),"",INDIRECT(Flag&amp;"Calc!"&amp;K$1)*IF(Flag="Vertex",VertexCalc!NormDir,1))</f>
      </c>
      <c r="L4" s="105">
        <f ca="1">IF(OR(Flag="Ignore",Flag="Det",Flag="Hole"),"",INDIRECT(Flag&amp;"Calc!"&amp;L$1)*IF(Flag="Vertex",VertexCalc!NormDir,1))</f>
      </c>
      <c r="M4" s="104">
        <f>IF(OR(Flag="Ignore",Flag="Det",Flag="Hole"),"",Xmirr+SpigLength*Xnorm)</f>
      </c>
      <c r="N4" s="105">
        <f>IF(OR(Flag="Ignore",Flag="Det",Flag="Hole"),"",Ymirr+SpigLength*Ynorm)</f>
      </c>
      <c r="O4" s="106">
        <f>IF(OR(Flag="Ignore",Flag="Det",Flag="Hole"),"",Zmirr+SpigLength*Znorm)</f>
      </c>
      <c r="P4" s="105">
        <f ca="1" t="shared" si="0"/>
      </c>
      <c r="Q4" s="105">
        <f ca="1" t="shared" si="0"/>
      </c>
      <c r="R4" s="105">
        <f ca="1" t="shared" si="0"/>
      </c>
      <c r="S4" s="104">
        <f t="shared" si="1"/>
      </c>
      <c r="T4" s="105">
        <f t="shared" si="2"/>
      </c>
      <c r="U4" s="106">
        <f t="shared" si="3"/>
      </c>
      <c r="V4" s="29">
        <f t="shared" si="7"/>
      </c>
    </row>
    <row r="5" spans="1:22" ht="12.75">
      <c r="A5" s="21"/>
      <c r="B5" s="21"/>
      <c r="C5" s="10" t="s">
        <v>123</v>
      </c>
      <c r="D5" s="11" t="s">
        <v>96</v>
      </c>
      <c r="E5" s="12"/>
      <c r="F5" s="11" t="s">
        <v>163</v>
      </c>
      <c r="G5" s="101">
        <f ca="1" t="shared" si="4"/>
      </c>
      <c r="H5" s="102">
        <f ca="1" t="shared" si="5"/>
      </c>
      <c r="I5" s="103">
        <f ca="1" t="shared" si="6"/>
      </c>
      <c r="J5" s="102">
        <f ca="1">IF(OR(Flag="Ignore",Flag="Det",Flag="Hole"),"",INDIRECT(Flag&amp;"Calc!"&amp;J$1)*IF(Flag="Vertex",VertexCalc!NormDir,1))</f>
      </c>
      <c r="K5" s="102">
        <f ca="1">IF(OR(Flag="Ignore",Flag="Det",Flag="Hole"),"",INDIRECT(Flag&amp;"Calc!"&amp;K$1)*IF(Flag="Vertex",VertexCalc!NormDir,1))</f>
      </c>
      <c r="L5" s="102">
        <f ca="1">IF(OR(Flag="Ignore",Flag="Det",Flag="Hole"),"",INDIRECT(Flag&amp;"Calc!"&amp;L$1)*IF(Flag="Vertex",VertexCalc!NormDir,1))</f>
      </c>
      <c r="M5" s="101">
        <f>IF(OR(Flag="Ignore",Flag="Det",Flag="Hole"),"",Xmirr+SpigLength*Xnorm)</f>
      </c>
      <c r="N5" s="102">
        <f>IF(OR(Flag="Ignore",Flag="Det",Flag="Hole"),"",Ymirr+SpigLength*Ynorm)</f>
      </c>
      <c r="O5" s="103">
        <f>IF(OR(Flag="Ignore",Flag="Det",Flag="Hole"),"",Zmirr+SpigLength*Znorm)</f>
      </c>
      <c r="P5" s="102">
        <f ca="1" t="shared" si="0"/>
      </c>
      <c r="Q5" s="102">
        <f ca="1" t="shared" si="0"/>
      </c>
      <c r="R5" s="102">
        <f ca="1" t="shared" si="0"/>
      </c>
      <c r="S5" s="101">
        <f t="shared" si="1"/>
      </c>
      <c r="T5" s="102">
        <f t="shared" si="2"/>
      </c>
      <c r="U5" s="103">
        <f t="shared" si="3"/>
      </c>
      <c r="V5" s="28">
        <f t="shared" si="7"/>
      </c>
    </row>
    <row r="6" spans="3:22" ht="12.75">
      <c r="C6" s="20"/>
      <c r="D6" s="21" t="s">
        <v>97</v>
      </c>
      <c r="E6" s="22">
        <v>1</v>
      </c>
      <c r="F6" s="21" t="s">
        <v>165</v>
      </c>
      <c r="G6" s="97">
        <f ca="1" t="shared" si="4"/>
        <v>131.229806</v>
      </c>
      <c r="H6" s="98">
        <f ca="1" t="shared" si="5"/>
        <v>-19.500476</v>
      </c>
      <c r="I6" s="99">
        <f ca="1" t="shared" si="6"/>
        <v>-95.222336</v>
      </c>
      <c r="J6" s="98">
        <f ca="1">IF(OR(Flag="Ignore",Flag="Det",Flag="Hole"),"",INDIRECT(Flag&amp;"Calc!"&amp;J$1)*IF(Flag="Vertex",VertexCalc!NormDir,1))</f>
        <v>-0.9700914403662718</v>
      </c>
      <c r="K6" s="98">
        <f ca="1">IF(OR(Flag="Ignore",Flag="Det",Flag="Hole"),"",INDIRECT(Flag&amp;"Calc!"&amp;K$1)*IF(Flag="Vertex",VertexCalc!NormDir,1))</f>
        <v>-0.05123993058213288</v>
      </c>
      <c r="L6" s="98">
        <f ca="1">IF(OR(Flag="Ignore",Flag="Det",Flag="Hole"),"",INDIRECT(Flag&amp;"Calc!"&amp;L$1)*IF(Flag="Vertex",VertexCalc!NormDir,1))</f>
        <v>0.23727002938009295</v>
      </c>
      <c r="M6" s="97">
        <f>IF(OR(Flag="Ignore",Flag="Det",Flag="Hole"),"",Xmirr+SpigLength*Xnorm)</f>
        <v>130.25971455963372</v>
      </c>
      <c r="N6" s="98">
        <f>IF(OR(Flag="Ignore",Flag="Det",Flag="Hole"),"",Ymirr+SpigLength*Ynorm)</f>
        <v>-19.55171593058213</v>
      </c>
      <c r="O6" s="99">
        <f>IF(OR(Flag="Ignore",Flag="Det",Flag="Hole"),"",Zmirr+SpigLength*Znorm)</f>
        <v>-94.9850659706199</v>
      </c>
      <c r="P6" s="98">
        <f ca="1" t="shared" si="0"/>
        <v>-0.05274616393892295</v>
      </c>
      <c r="Q6" s="98">
        <f ca="1" t="shared" si="0"/>
        <v>0.9986079521963203</v>
      </c>
      <c r="R6" s="98">
        <f ca="1" t="shared" si="0"/>
        <v>0</v>
      </c>
      <c r="S6" s="97">
        <f t="shared" si="1"/>
        <v>131.17705983606106</v>
      </c>
      <c r="T6" s="98">
        <f t="shared" si="2"/>
        <v>-18.50186804780368</v>
      </c>
      <c r="U6" s="99">
        <f t="shared" si="3"/>
        <v>-95.222336</v>
      </c>
      <c r="V6" s="30">
        <f t="shared" si="7"/>
        <v>90</v>
      </c>
    </row>
    <row r="7" spans="1:22" ht="12.75">
      <c r="A7" s="1" t="s">
        <v>396</v>
      </c>
      <c r="B7" s="1">
        <v>1</v>
      </c>
      <c r="C7" s="20"/>
      <c r="D7" s="21" t="s">
        <v>99</v>
      </c>
      <c r="E7" s="22"/>
      <c r="F7" s="21" t="s">
        <v>128</v>
      </c>
      <c r="G7" s="97">
        <f ca="1" t="shared" si="4"/>
      </c>
      <c r="H7" s="98">
        <f ca="1" t="shared" si="5"/>
      </c>
      <c r="I7" s="99">
        <f ca="1" t="shared" si="6"/>
      </c>
      <c r="J7" s="98">
        <f ca="1">IF(OR(Flag="Ignore",Flag="Det",Flag="Hole"),"",INDIRECT(Flag&amp;"Calc!"&amp;J$1)*IF(Flag="Vertex",VertexCalc!NormDir,1))</f>
      </c>
      <c r="K7" s="98">
        <f ca="1">IF(OR(Flag="Ignore",Flag="Det",Flag="Hole"),"",INDIRECT(Flag&amp;"Calc!"&amp;K$1)*IF(Flag="Vertex",VertexCalc!NormDir,1))</f>
      </c>
      <c r="L7" s="98">
        <f ca="1">IF(OR(Flag="Ignore",Flag="Det",Flag="Hole"),"",INDIRECT(Flag&amp;"Calc!"&amp;L$1)*IF(Flag="Vertex",VertexCalc!NormDir,1))</f>
      </c>
      <c r="M7" s="97">
        <f>IF(OR(Flag="Ignore",Flag="Det",Flag="Hole"),"",Xmirr+SpigLength*Xnorm)</f>
      </c>
      <c r="N7" s="98">
        <f>IF(OR(Flag="Ignore",Flag="Det",Flag="Hole"),"",Ymirr+SpigLength*Ynorm)</f>
      </c>
      <c r="O7" s="99">
        <f>IF(OR(Flag="Ignore",Flag="Det",Flag="Hole"),"",Zmirr+SpigLength*Znorm)</f>
      </c>
      <c r="P7" s="98">
        <f ca="1" t="shared" si="0"/>
      </c>
      <c r="Q7" s="98">
        <f ca="1" t="shared" si="0"/>
      </c>
      <c r="R7" s="98">
        <f ca="1" t="shared" si="0"/>
      </c>
      <c r="S7" s="97">
        <f t="shared" si="1"/>
      </c>
      <c r="T7" s="98">
        <f t="shared" si="2"/>
      </c>
      <c r="U7" s="99">
        <f t="shared" si="3"/>
      </c>
      <c r="V7" s="30">
        <f t="shared" si="7"/>
      </c>
    </row>
    <row r="8" spans="1:22" ht="13.5" thickBot="1">
      <c r="A8" s="1" t="s">
        <v>397</v>
      </c>
      <c r="B8" s="1">
        <v>1</v>
      </c>
      <c r="C8" s="15"/>
      <c r="D8" s="16" t="s">
        <v>100</v>
      </c>
      <c r="E8" s="17">
        <v>1</v>
      </c>
      <c r="F8" s="16" t="s">
        <v>166</v>
      </c>
      <c r="G8" s="104">
        <f ca="1" t="shared" si="4"/>
        <v>120.054658</v>
      </c>
      <c r="H8" s="105">
        <f ca="1" t="shared" si="5"/>
        <v>19.499867</v>
      </c>
      <c r="I8" s="106">
        <f ca="1" t="shared" si="6"/>
        <v>-181.314796</v>
      </c>
      <c r="J8" s="105">
        <f ca="1">IF(OR(Flag="Ignore",Flag="Det",Flag="Hole"),"",INDIRECT(Flag&amp;"Calc!"&amp;J$1)*IF(Flag="Vertex",VertexCalc!NormDir,1))</f>
        <v>-0.9642130562993577</v>
      </c>
      <c r="K8" s="105">
        <f ca="1">IF(OR(Flag="Ignore",Flag="Det",Flag="Hole"),"",INDIRECT(Flag&amp;"Calc!"&amp;K$1)*IF(Flag="Vertex",VertexCalc!NormDir,1))</f>
        <v>0.07003815177270171</v>
      </c>
      <c r="L8" s="105">
        <f ca="1">IF(OR(Flag="Ignore",Flag="Det",Flag="Hole"),"",INDIRECT(Flag&amp;"Calc!"&amp;L$1)*IF(Flag="Vertex",VertexCalc!NormDir,1))</f>
        <v>0.25571046000919795</v>
      </c>
      <c r="M8" s="104">
        <f>IF(OR(Flag="Ignore",Flag="Det",Flag="Hole"),"",Xmirr+SpigLength*Xnorm)</f>
        <v>119.09044494370065</v>
      </c>
      <c r="N8" s="105">
        <f>IF(OR(Flag="Ignore",Flag="Det",Flag="Hole"),"",Ymirr+SpigLength*Ynorm)</f>
        <v>19.5699051517727</v>
      </c>
      <c r="O8" s="106">
        <f>IF(OR(Flag="Ignore",Flag="Det",Flag="Hole"),"",Zmirr+SpigLength*Znorm)</f>
        <v>-181.0590855399908</v>
      </c>
      <c r="P8" s="105">
        <f ca="1" t="shared" si="0"/>
        <v>0.07244675929230021</v>
      </c>
      <c r="Q8" s="105">
        <f ca="1" t="shared" si="0"/>
        <v>0.9973722810806622</v>
      </c>
      <c r="R8" s="105">
        <f ca="1" t="shared" si="0"/>
        <v>0</v>
      </c>
      <c r="S8" s="104">
        <f t="shared" si="1"/>
        <v>120.12710475929231</v>
      </c>
      <c r="T8" s="105">
        <f t="shared" si="2"/>
        <v>20.49723928108066</v>
      </c>
      <c r="U8" s="106">
        <f t="shared" si="3"/>
        <v>-181.314796</v>
      </c>
      <c r="V8" s="29">
        <f t="shared" si="7"/>
        <v>89.99999999999997</v>
      </c>
    </row>
    <row r="9" spans="3:22" ht="12.75">
      <c r="C9" s="10" t="s">
        <v>124</v>
      </c>
      <c r="D9" s="11" t="s">
        <v>103</v>
      </c>
      <c r="E9" s="12">
        <v>1</v>
      </c>
      <c r="F9" s="11" t="s">
        <v>392</v>
      </c>
      <c r="G9" s="101">
        <f ca="1" t="shared" si="4"/>
        <v>296.150668</v>
      </c>
      <c r="H9" s="102">
        <f ca="1" t="shared" si="5"/>
        <v>0</v>
      </c>
      <c r="I9" s="103">
        <f ca="1" t="shared" si="6"/>
        <v>-259.533222</v>
      </c>
      <c r="J9" s="102">
        <f ca="1">IF(OR(Flag="Ignore",Flag="Det",Flag="Hole"),"",INDIRECT(Flag&amp;"Calc!"&amp;J$1)*IF(Flag="Vertex",VertexCalc!NormDir,1))</f>
        <v>0.9866933234323387</v>
      </c>
      <c r="K9" s="102">
        <f ca="1">IF(OR(Flag="Ignore",Flag="Det",Flag="Hole"),"",INDIRECT(Flag&amp;"Calc!"&amp;K$1)*IF(Flag="Vertex",VertexCalc!NormDir,1))</f>
        <v>0</v>
      </c>
      <c r="L9" s="102">
        <f ca="1">IF(OR(Flag="Ignore",Flag="Det",Flag="Hole"),"",INDIRECT(Flag&amp;"Calc!"&amp;L$1)*IF(Flag="Vertex",VertexCalc!NormDir,1))</f>
        <v>-0.16259239063956904</v>
      </c>
      <c r="M9" s="101">
        <f>IF(OR(Flag="Ignore",Flag="Det",Flag="Hole"),"",Xmirr+SpigLength*Xnorm)</f>
        <v>297.13736132343234</v>
      </c>
      <c r="N9" s="102">
        <f>IF(OR(Flag="Ignore",Flag="Det",Flag="Hole"),"",Ymirr+SpigLength*Ynorm)</f>
        <v>0</v>
      </c>
      <c r="O9" s="103">
        <f>IF(OR(Flag="Ignore",Flag="Det",Flag="Hole"),"",Zmirr+SpigLength*Znorm)</f>
        <v>-259.6958143906396</v>
      </c>
      <c r="P9" s="102">
        <f ca="1" t="shared" si="0"/>
        <v>0</v>
      </c>
      <c r="Q9" s="102">
        <f ca="1" t="shared" si="0"/>
        <v>1</v>
      </c>
      <c r="R9" s="102">
        <f ca="1" t="shared" si="0"/>
        <v>0</v>
      </c>
      <c r="S9" s="101">
        <f t="shared" si="1"/>
        <v>296.150668</v>
      </c>
      <c r="T9" s="102">
        <f t="shared" si="2"/>
        <v>1</v>
      </c>
      <c r="U9" s="103">
        <f t="shared" si="3"/>
        <v>-259.533222</v>
      </c>
      <c r="V9" s="28">
        <f t="shared" si="7"/>
        <v>90</v>
      </c>
    </row>
    <row r="10" spans="3:22" ht="12.75">
      <c r="C10" s="20"/>
      <c r="D10" s="21" t="s">
        <v>106</v>
      </c>
      <c r="E10" s="22">
        <v>1</v>
      </c>
      <c r="F10" s="21" t="s">
        <v>392</v>
      </c>
      <c r="G10" s="97">
        <f ca="1" t="shared" si="4"/>
        <v>94.233806</v>
      </c>
      <c r="H10" s="98">
        <f ca="1" t="shared" si="5"/>
        <v>0</v>
      </c>
      <c r="I10" s="99">
        <f ca="1" t="shared" si="6"/>
        <v>-279.482925</v>
      </c>
      <c r="J10" s="98">
        <f ca="1">IF(OR(Flag="Ignore",Flag="Det",Flag="Hole"),"",INDIRECT(Flag&amp;"Calc!"&amp;J$1)*IF(Flag="Vertex",VertexCalc!NormDir,1))</f>
        <v>-0.9580859005458945</v>
      </c>
      <c r="K10" s="98">
        <f ca="1">IF(OR(Flag="Ignore",Flag="Det",Flag="Hole"),"",INDIRECT(Flag&amp;"Calc!"&amp;K$1)*IF(Flag="Vertex",VertexCalc!NormDir,1))</f>
        <v>0</v>
      </c>
      <c r="L10" s="98">
        <f ca="1">IF(OR(Flag="Ignore",Flag="Det",Flag="Hole"),"",INDIRECT(Flag&amp;"Calc!"&amp;L$1)*IF(Flag="Vertex",VertexCalc!NormDir,1))</f>
        <v>0.2864810764632018</v>
      </c>
      <c r="M10" s="97">
        <f>IF(OR(Flag="Ignore",Flag="Det",Flag="Hole"),"",Xmirr+SpigLength*Xnorm)</f>
        <v>93.2757200994541</v>
      </c>
      <c r="N10" s="98">
        <f>IF(OR(Flag="Ignore",Flag="Det",Flag="Hole"),"",Ymirr+SpigLength*Ynorm)</f>
        <v>0</v>
      </c>
      <c r="O10" s="99">
        <f>IF(OR(Flag="Ignore",Flag="Det",Flag="Hole"),"",Zmirr+SpigLength*Znorm)</f>
        <v>-279.19644392353683</v>
      </c>
      <c r="P10" s="98">
        <f ca="1" t="shared" si="0"/>
        <v>0</v>
      </c>
      <c r="Q10" s="98">
        <f ca="1" t="shared" si="0"/>
        <v>1</v>
      </c>
      <c r="R10" s="98">
        <f ca="1" t="shared" si="0"/>
        <v>0</v>
      </c>
      <c r="S10" s="97">
        <f t="shared" si="1"/>
        <v>94.233806</v>
      </c>
      <c r="T10" s="98">
        <f t="shared" si="2"/>
        <v>1</v>
      </c>
      <c r="U10" s="99">
        <f t="shared" si="3"/>
        <v>-279.482925</v>
      </c>
      <c r="V10" s="30">
        <f t="shared" si="7"/>
        <v>90</v>
      </c>
    </row>
    <row r="11" spans="3:22" ht="12.75">
      <c r="C11" s="20"/>
      <c r="D11" s="21" t="s">
        <v>109</v>
      </c>
      <c r="E11" s="22">
        <v>1</v>
      </c>
      <c r="F11" s="21" t="s">
        <v>392</v>
      </c>
      <c r="G11" s="97">
        <f ca="1" t="shared" si="4"/>
        <v>240.46642400000002</v>
      </c>
      <c r="H11" s="98">
        <f ca="1" t="shared" si="5"/>
        <v>0</v>
      </c>
      <c r="I11" s="99">
        <f ca="1" t="shared" si="6"/>
        <v>-397.635459</v>
      </c>
      <c r="J11" s="98">
        <f ca="1">IF(OR(Flag="Ignore",Flag="Det",Flag="Hole"),"",INDIRECT(Flag&amp;"Calc!"&amp;J$1)*IF(Flag="Vertex",VertexCalc!NormDir,1))</f>
        <v>0.9974275384807811</v>
      </c>
      <c r="K11" s="98">
        <f ca="1">IF(OR(Flag="Ignore",Flag="Det",Flag="Hole"),"",INDIRECT(Flag&amp;"Calc!"&amp;K$1)*IF(Flag="Vertex",VertexCalc!NormDir,1))</f>
        <v>0</v>
      </c>
      <c r="L11" s="98">
        <f ca="1">IF(OR(Flag="Ignore",Flag="Det",Flag="Hole"),"",INDIRECT(Flag&amp;"Calc!"&amp;L$1)*IF(Flag="Vertex",VertexCalc!NormDir,1))</f>
        <v>0.07168197454086168</v>
      </c>
      <c r="M11" s="97">
        <f>IF(OR(Flag="Ignore",Flag="Det",Flag="Hole"),"",Xmirr+SpigLength*Xnorm)</f>
        <v>241.4638515384808</v>
      </c>
      <c r="N11" s="98">
        <f>IF(OR(Flag="Ignore",Flag="Det",Flag="Hole"),"",Ymirr+SpigLength*Ynorm)</f>
        <v>0</v>
      </c>
      <c r="O11" s="99">
        <f>IF(OR(Flag="Ignore",Flag="Det",Flag="Hole"),"",Zmirr+SpigLength*Znorm)</f>
        <v>-397.56377702545916</v>
      </c>
      <c r="P11" s="98">
        <f ca="1" t="shared" si="0"/>
        <v>0</v>
      </c>
      <c r="Q11" s="98">
        <f ca="1" t="shared" si="0"/>
        <v>1</v>
      </c>
      <c r="R11" s="98">
        <f ca="1" t="shared" si="0"/>
        <v>0</v>
      </c>
      <c r="S11" s="97">
        <f t="shared" si="1"/>
        <v>240.46642400000002</v>
      </c>
      <c r="T11" s="98">
        <f t="shared" si="2"/>
        <v>1</v>
      </c>
      <c r="U11" s="99">
        <f t="shared" si="3"/>
        <v>-397.635459</v>
      </c>
      <c r="V11" s="30">
        <f t="shared" si="7"/>
        <v>90</v>
      </c>
    </row>
    <row r="12" spans="3:22" ht="12.75">
      <c r="C12" s="20"/>
      <c r="D12" s="21" t="s">
        <v>110</v>
      </c>
      <c r="E12" s="22"/>
      <c r="F12" s="21" t="s">
        <v>163</v>
      </c>
      <c r="G12" s="97">
        <f ca="1" t="shared" si="4"/>
      </c>
      <c r="H12" s="98">
        <f ca="1" t="shared" si="5"/>
      </c>
      <c r="I12" s="99">
        <f ca="1" t="shared" si="6"/>
      </c>
      <c r="J12" s="98">
        <f ca="1">IF(OR(Flag="Ignore",Flag="Det",Flag="Hole"),"",INDIRECT(Flag&amp;"Calc!"&amp;J$1)*IF(Flag="Vertex",VertexCalc!NormDir,1))</f>
      </c>
      <c r="K12" s="98">
        <f ca="1">IF(OR(Flag="Ignore",Flag="Det",Flag="Hole"),"",INDIRECT(Flag&amp;"Calc!"&amp;K$1)*IF(Flag="Vertex",VertexCalc!NormDir,1))</f>
      </c>
      <c r="L12" s="98">
        <f ca="1">IF(OR(Flag="Ignore",Flag="Det",Flag="Hole"),"",INDIRECT(Flag&amp;"Calc!"&amp;L$1)*IF(Flag="Vertex",VertexCalc!NormDir,1))</f>
      </c>
      <c r="M12" s="97">
        <f>IF(OR(Flag="Ignore",Flag="Det",Flag="Hole"),"",Xmirr+SpigLength*Xnorm)</f>
      </c>
      <c r="N12" s="98">
        <f>IF(OR(Flag="Ignore",Flag="Det",Flag="Hole"),"",Ymirr+SpigLength*Ynorm)</f>
      </c>
      <c r="O12" s="99">
        <f>IF(OR(Flag="Ignore",Flag="Det",Flag="Hole"),"",Zmirr+SpigLength*Znorm)</f>
      </c>
      <c r="P12" s="98">
        <f ca="1" t="shared" si="0"/>
      </c>
      <c r="Q12" s="98">
        <f ca="1" t="shared" si="0"/>
      </c>
      <c r="R12" s="98">
        <f ca="1" t="shared" si="0"/>
      </c>
      <c r="S12" s="97">
        <f t="shared" si="1"/>
      </c>
      <c r="T12" s="98">
        <f t="shared" si="2"/>
      </c>
      <c r="U12" s="99">
        <f t="shared" si="3"/>
      </c>
      <c r="V12" s="30">
        <f t="shared" si="7"/>
      </c>
    </row>
    <row r="13" spans="3:22" ht="13.5" thickBot="1">
      <c r="C13" s="15"/>
      <c r="D13" s="16" t="s">
        <v>111</v>
      </c>
      <c r="E13" s="17">
        <v>1</v>
      </c>
      <c r="F13" s="16" t="s">
        <v>392</v>
      </c>
      <c r="G13" s="104">
        <f ca="1" t="shared" si="4"/>
        <v>104.472165</v>
      </c>
      <c r="H13" s="105">
        <f ca="1" t="shared" si="5"/>
        <v>0</v>
      </c>
      <c r="I13" s="106">
        <f ca="1" t="shared" si="6"/>
        <v>-544.283205</v>
      </c>
      <c r="J13" s="105">
        <f ca="1">IF(OR(Flag="Ignore",Flag="Det",Flag="Hole"),"",INDIRECT(Flag&amp;"Calc!"&amp;J$1)*IF(Flag="Vertex",VertexCalc!NormDir,1))</f>
        <v>-0.889746424633768</v>
      </c>
      <c r="K13" s="105">
        <f ca="1">IF(OR(Flag="Ignore",Flag="Det",Flag="Hole"),"",INDIRECT(Flag&amp;"Calc!"&amp;K$1)*IF(Flag="Vertex",VertexCalc!NormDir,1))</f>
        <v>0</v>
      </c>
      <c r="L13" s="105">
        <f ca="1">IF(OR(Flag="Ignore",Flag="Det",Flag="Hole"),"",INDIRECT(Flag&amp;"Calc!"&amp;L$1)*IF(Flag="Vertex",VertexCalc!NormDir,1))</f>
        <v>-0.45645514547726046</v>
      </c>
      <c r="M13" s="104">
        <f>IF(OR(Flag="Ignore",Flag="Det",Flag="Hole"),"",Xmirr+SpigLength*Xnorm)</f>
        <v>103.58241857536623</v>
      </c>
      <c r="N13" s="105">
        <f>IF(OR(Flag="Ignore",Flag="Det",Flag="Hole"),"",Ymirr+SpigLength*Ynorm)</f>
        <v>0</v>
      </c>
      <c r="O13" s="106">
        <f>IF(OR(Flag="Ignore",Flag="Det",Flag="Hole"),"",Zmirr+SpigLength*Znorm)</f>
        <v>-544.7396601454772</v>
      </c>
      <c r="P13" s="105">
        <f ca="1" t="shared" si="0"/>
        <v>0</v>
      </c>
      <c r="Q13" s="105">
        <f ca="1" t="shared" si="0"/>
        <v>1</v>
      </c>
      <c r="R13" s="105">
        <f ca="1" t="shared" si="0"/>
        <v>0</v>
      </c>
      <c r="S13" s="104">
        <f t="shared" si="1"/>
        <v>104.472165</v>
      </c>
      <c r="T13" s="105">
        <f t="shared" si="2"/>
        <v>1</v>
      </c>
      <c r="U13" s="106">
        <f t="shared" si="3"/>
        <v>-544.283205</v>
      </c>
      <c r="V13" s="29">
        <f t="shared" si="7"/>
        <v>90</v>
      </c>
    </row>
    <row r="14" spans="3:22" ht="12.75">
      <c r="C14" s="10" t="s">
        <v>125</v>
      </c>
      <c r="D14" s="11" t="s">
        <v>113</v>
      </c>
      <c r="E14" s="12"/>
      <c r="F14" s="11" t="s">
        <v>128</v>
      </c>
      <c r="G14" s="101">
        <f ca="1" t="shared" si="4"/>
      </c>
      <c r="H14" s="102">
        <f ca="1" t="shared" si="5"/>
      </c>
      <c r="I14" s="103">
        <f ca="1" t="shared" si="6"/>
      </c>
      <c r="J14" s="102">
        <f ca="1">IF(OR(Flag="Ignore",Flag="Det",Flag="Hole"),"",INDIRECT(Flag&amp;"Calc!"&amp;J$1)*IF(Flag="Vertex",VertexCalc!NormDir,1))</f>
      </c>
      <c r="K14" s="102">
        <f ca="1">IF(OR(Flag="Ignore",Flag="Det",Flag="Hole"),"",INDIRECT(Flag&amp;"Calc!"&amp;K$1)*IF(Flag="Vertex",VertexCalc!NormDir,1))</f>
      </c>
      <c r="L14" s="102">
        <f ca="1">IF(OR(Flag="Ignore",Flag="Det",Flag="Hole"),"",INDIRECT(Flag&amp;"Calc!"&amp;L$1)*IF(Flag="Vertex",VertexCalc!NormDir,1))</f>
      </c>
      <c r="M14" s="101">
        <f>IF(OR(Flag="Ignore",Flag="Det",Flag="Hole"),"",Xmirr+SpigLength*Xnorm)</f>
      </c>
      <c r="N14" s="102">
        <f>IF(OR(Flag="Ignore",Flag="Det",Flag="Hole"),"",Ymirr+SpigLength*Ynorm)</f>
      </c>
      <c r="O14" s="103">
        <f>IF(OR(Flag="Ignore",Flag="Det",Flag="Hole"),"",Zmirr+SpigLength*Znorm)</f>
      </c>
      <c r="P14" s="102">
        <f ca="1" t="shared" si="0"/>
      </c>
      <c r="Q14" s="102">
        <f ca="1" t="shared" si="0"/>
      </c>
      <c r="R14" s="102">
        <f ca="1" t="shared" si="0"/>
      </c>
      <c r="S14" s="101">
        <f t="shared" si="1"/>
      </c>
      <c r="T14" s="102">
        <f t="shared" si="2"/>
      </c>
      <c r="U14" s="103">
        <f t="shared" si="3"/>
      </c>
      <c r="V14" s="28">
        <f t="shared" si="7"/>
      </c>
    </row>
    <row r="15" spans="3:22" ht="12.75">
      <c r="C15" s="20"/>
      <c r="D15" s="21" t="s">
        <v>115</v>
      </c>
      <c r="E15" s="22">
        <v>-1</v>
      </c>
      <c r="F15" s="21" t="s">
        <v>392</v>
      </c>
      <c r="G15" s="97">
        <f ca="1" t="shared" si="4"/>
        <v>139.942327</v>
      </c>
      <c r="H15" s="98">
        <f ca="1" t="shared" si="5"/>
        <v>1.82E-14</v>
      </c>
      <c r="I15" s="99">
        <f ca="1" t="shared" si="6"/>
        <v>-619.802728</v>
      </c>
      <c r="J15" s="98">
        <f ca="1">IF(OR(Flag="Ignore",Flag="Det",Flag="Hole"),"",INDIRECT(Flag&amp;"Calc!"&amp;J$1)*IF(Flag="Vertex",VertexCalc!NormDir,1))</f>
        <v>-0.5158082818360726</v>
      </c>
      <c r="K15" s="98">
        <f ca="1">IF(OR(Flag="Ignore",Flag="Det",Flag="Hole"),"",INDIRECT(Flag&amp;"Calc!"&amp;K$1)*IF(Flag="Vertex",VertexCalc!NormDir,1))</f>
        <v>0.7071067811865474</v>
      </c>
      <c r="L15" s="98">
        <f ca="1">IF(OR(Flag="Ignore",Flag="Det",Flag="Hole"),"",INDIRECT(Flag&amp;"Calc!"&amp;L$1)*IF(Flag="Vertex",VertexCalc!NormDir,1))</f>
        <v>-0.48367532125313006</v>
      </c>
      <c r="M15" s="97">
        <f>IF(OR(Flag="Ignore",Flag="Det",Flag="Hole"),"",Xmirr+SpigLength*Xnorm)</f>
        <v>139.42651871816392</v>
      </c>
      <c r="N15" s="98">
        <f>IF(OR(Flag="Ignore",Flag="Det",Flag="Hole"),"",Ymirr+SpigLength*Ynorm)</f>
        <v>0.7071067811865656</v>
      </c>
      <c r="O15" s="99">
        <f>IF(OR(Flag="Ignore",Flag="Det",Flag="Hole"),"",Zmirr+SpigLength*Znorm)</f>
        <v>-620.2864033212531</v>
      </c>
      <c r="P15" s="98">
        <f ca="1" t="shared" si="0"/>
        <v>-0.5158082818360726</v>
      </c>
      <c r="Q15" s="98">
        <f ca="1" t="shared" si="0"/>
        <v>-0.7071067811865476</v>
      </c>
      <c r="R15" s="98">
        <f ca="1" t="shared" si="0"/>
        <v>-0.48367532125313006</v>
      </c>
      <c r="S15" s="97">
        <f t="shared" si="1"/>
        <v>139.42651871816392</v>
      </c>
      <c r="T15" s="98">
        <f t="shared" si="2"/>
        <v>-0.7071067811865294</v>
      </c>
      <c r="U15" s="99">
        <f t="shared" si="3"/>
        <v>-620.2864033212531</v>
      </c>
      <c r="V15" s="30">
        <f t="shared" si="7"/>
        <v>90</v>
      </c>
    </row>
    <row r="16" spans="3:22" ht="13.5" thickBot="1">
      <c r="C16" s="15"/>
      <c r="D16" s="16" t="s">
        <v>117</v>
      </c>
      <c r="E16" s="17"/>
      <c r="F16" s="16" t="s">
        <v>164</v>
      </c>
      <c r="G16" s="104">
        <f ca="1" t="shared" si="4"/>
      </c>
      <c r="H16" s="105">
        <f ca="1" t="shared" si="5"/>
      </c>
      <c r="I16" s="106">
        <f ca="1" t="shared" si="6"/>
      </c>
      <c r="J16" s="105">
        <f ca="1">IF(OR(Flag="Ignore",Flag="Det",Flag="Hole"),"",INDIRECT(Flag&amp;"Calc!"&amp;J$1)*IF(Flag="Vertex",VertexCalc!NormDir,1))</f>
      </c>
      <c r="K16" s="105">
        <f ca="1">IF(OR(Flag="Ignore",Flag="Det",Flag="Hole"),"",INDIRECT(Flag&amp;"Calc!"&amp;K$1)*IF(Flag="Vertex",VertexCalc!NormDir,1))</f>
      </c>
      <c r="L16" s="105">
        <f ca="1">IF(OR(Flag="Ignore",Flag="Det",Flag="Hole"),"",INDIRECT(Flag&amp;"Calc!"&amp;L$1)*IF(Flag="Vertex",VertexCalc!NormDir,1))</f>
      </c>
      <c r="M16" s="104">
        <f>IF(OR(Flag="Ignore",Flag="Det",Flag="Hole"),"",Xmirr+SpigLength*Xnorm)</f>
      </c>
      <c r="N16" s="105">
        <f>IF(OR(Flag="Ignore",Flag="Det",Flag="Hole"),"",Ymirr+SpigLength*Ynorm)</f>
      </c>
      <c r="O16" s="106">
        <f>IF(OR(Flag="Ignore",Flag="Det",Flag="Hole"),"",Zmirr+SpigLength*Znorm)</f>
      </c>
      <c r="P16" s="105">
        <f ca="1" t="shared" si="0"/>
      </c>
      <c r="Q16" s="105">
        <f ca="1" t="shared" si="0"/>
      </c>
      <c r="R16" s="105">
        <f ca="1" t="shared" si="0"/>
      </c>
      <c r="S16" s="104">
        <f t="shared" si="1"/>
      </c>
      <c r="T16" s="105">
        <f t="shared" si="2"/>
      </c>
      <c r="U16" s="106">
        <f t="shared" si="3"/>
      </c>
      <c r="V16" s="29">
        <f t="shared" si="7"/>
      </c>
    </row>
    <row r="17" spans="4:22" ht="13.5" thickBot="1">
      <c r="D17" s="1" t="s">
        <v>113</v>
      </c>
      <c r="F17" s="1" t="s">
        <v>128</v>
      </c>
      <c r="G17" s="97">
        <f ca="1" t="shared" si="4"/>
      </c>
      <c r="H17" s="98">
        <f ca="1" t="shared" si="5"/>
      </c>
      <c r="I17" s="99">
        <f ca="1" t="shared" si="6"/>
      </c>
      <c r="J17" s="100">
        <f ca="1">IF(OR(Flag="Ignore",Flag="Det",Flag="Hole"),"",INDIRECT(Flag&amp;"Calc!"&amp;J$1)*IF(Flag="Vertex",VertexCalc!NormDir,1))</f>
      </c>
      <c r="K17" s="100">
        <f ca="1">IF(OR(Flag="Ignore",Flag="Det",Flag="Hole"),"",INDIRECT(Flag&amp;"Calc!"&amp;K$1)*IF(Flag="Vertex",VertexCalc!NormDir,1))</f>
      </c>
      <c r="L17" s="100">
        <f ca="1">IF(OR(Flag="Ignore",Flag="Det",Flag="Hole"),"",INDIRECT(Flag&amp;"Calc!"&amp;L$1)*IF(Flag="Vertex",VertexCalc!NormDir,1))</f>
      </c>
      <c r="M17" s="97">
        <f>IF(OR(Flag="Ignore",Flag="Det",Flag="Hole"),"",Xmirr+SpigLength*Xnorm)</f>
      </c>
      <c r="N17" s="98">
        <f>IF(OR(Flag="Ignore",Flag="Det",Flag="Hole"),"",Ymirr+SpigLength*Ynorm)</f>
      </c>
      <c r="O17" s="99">
        <f>IF(OR(Flag="Ignore",Flag="Det",Flag="Hole"),"",Zmirr+SpigLength*Znorm)</f>
      </c>
      <c r="P17" s="100">
        <f ca="1" t="shared" si="0"/>
      </c>
      <c r="Q17" s="100">
        <f ca="1" t="shared" si="0"/>
      </c>
      <c r="R17" s="100">
        <f ca="1" t="shared" si="0"/>
      </c>
      <c r="S17" s="97">
        <f t="shared" si="1"/>
      </c>
      <c r="T17" s="98">
        <f t="shared" si="2"/>
      </c>
      <c r="U17" s="99">
        <f t="shared" si="3"/>
      </c>
      <c r="V17" s="8">
        <f t="shared" si="7"/>
      </c>
    </row>
    <row r="18" spans="3:22" ht="12.75">
      <c r="C18" s="10" t="s">
        <v>126</v>
      </c>
      <c r="D18" s="11" t="s">
        <v>118</v>
      </c>
      <c r="E18" s="12"/>
      <c r="F18" s="11" t="s">
        <v>128</v>
      </c>
      <c r="G18" s="101">
        <f ca="1" t="shared" si="4"/>
      </c>
      <c r="H18" s="102">
        <f ca="1" t="shared" si="5"/>
      </c>
      <c r="I18" s="103">
        <f ca="1" t="shared" si="6"/>
      </c>
      <c r="J18" s="102">
        <f ca="1">IF(OR(Flag="Ignore",Flag="Det",Flag="Hole"),"",INDIRECT(Flag&amp;"Calc!"&amp;J$1)*IF(Flag="Vertex",VertexCalc!NormDir,1))</f>
      </c>
      <c r="K18" s="102">
        <f ca="1">IF(OR(Flag="Ignore",Flag="Det",Flag="Hole"),"",INDIRECT(Flag&amp;"Calc!"&amp;K$1)*IF(Flag="Vertex",VertexCalc!NormDir,1))</f>
      </c>
      <c r="L18" s="102">
        <f ca="1">IF(OR(Flag="Ignore",Flag="Det",Flag="Hole"),"",INDIRECT(Flag&amp;"Calc!"&amp;L$1)*IF(Flag="Vertex",VertexCalc!NormDir,1))</f>
      </c>
      <c r="M18" s="101">
        <f>IF(OR(Flag="Ignore",Flag="Det",Flag="Hole"),"",Xmirr+SpigLength*Xnorm)</f>
      </c>
      <c r="N18" s="102">
        <f>IF(OR(Flag="Ignore",Flag="Det",Flag="Hole"),"",Ymirr+SpigLength*Ynorm)</f>
      </c>
      <c r="O18" s="103">
        <f>IF(OR(Flag="Ignore",Flag="Det",Flag="Hole"),"",Zmirr+SpigLength*Znorm)</f>
      </c>
      <c r="P18" s="102">
        <f ca="1" t="shared" si="0"/>
      </c>
      <c r="Q18" s="102">
        <f ca="1" t="shared" si="0"/>
      </c>
      <c r="R18" s="102">
        <f ca="1" t="shared" si="0"/>
      </c>
      <c r="S18" s="101">
        <f t="shared" si="1"/>
      </c>
      <c r="T18" s="102">
        <f t="shared" si="2"/>
      </c>
      <c r="U18" s="103">
        <f t="shared" si="3"/>
      </c>
      <c r="V18" s="28">
        <f t="shared" si="7"/>
      </c>
    </row>
    <row r="19" spans="3:22" ht="13.5" thickBot="1">
      <c r="C19" s="15"/>
      <c r="D19" s="16" t="s">
        <v>119</v>
      </c>
      <c r="E19" s="17"/>
      <c r="F19" s="16" t="s">
        <v>164</v>
      </c>
      <c r="G19" s="104">
        <f ca="1" t="shared" si="4"/>
      </c>
      <c r="H19" s="105">
        <f ca="1" t="shared" si="5"/>
      </c>
      <c r="I19" s="106">
        <f ca="1" t="shared" si="6"/>
      </c>
      <c r="J19" s="105">
        <f ca="1">IF(OR(Flag="Ignore",Flag="Det",Flag="Hole"),"",INDIRECT(Flag&amp;"Calc!"&amp;J$1)*IF(Flag="Vertex",VertexCalc!NormDir,1))</f>
      </c>
      <c r="K19" s="105">
        <f ca="1">IF(OR(Flag="Ignore",Flag="Det",Flag="Hole"),"",INDIRECT(Flag&amp;"Calc!"&amp;K$1)*IF(Flag="Vertex",VertexCalc!NormDir,1))</f>
      </c>
      <c r="L19" s="105">
        <f ca="1">IF(OR(Flag="Ignore",Flag="Det",Flag="Hole"),"",INDIRECT(Flag&amp;"Calc!"&amp;L$1)*IF(Flag="Vertex",VertexCalc!NormDir,1))</f>
      </c>
      <c r="M19" s="104">
        <f>IF(OR(Flag="Ignore",Flag="Det",Flag="Hole"),"",Xmirr+SpigLength*Xnorm)</f>
      </c>
      <c r="N19" s="105">
        <f>IF(OR(Flag="Ignore",Flag="Det",Flag="Hole"),"",Ymirr+SpigLength*Ynorm)</f>
      </c>
      <c r="O19" s="106">
        <f>IF(OR(Flag="Ignore",Flag="Det",Flag="Hole"),"",Zmirr+SpigLength*Znorm)</f>
      </c>
      <c r="P19" s="105">
        <f ca="1" t="shared" si="0"/>
      </c>
      <c r="Q19" s="105">
        <f ca="1" t="shared" si="0"/>
      </c>
      <c r="R19" s="105">
        <f ca="1" t="shared" si="0"/>
      </c>
      <c r="S19" s="104">
        <f t="shared" si="1"/>
      </c>
      <c r="T19" s="105">
        <f t="shared" si="2"/>
      </c>
      <c r="U19" s="106">
        <f t="shared" si="3"/>
      </c>
      <c r="V19" s="29">
        <f t="shared" si="7"/>
      </c>
    </row>
    <row r="20" spans="4:22" ht="13.5" thickBot="1">
      <c r="D20" s="1" t="s">
        <v>118</v>
      </c>
      <c r="F20" s="1" t="s">
        <v>128</v>
      </c>
      <c r="G20" s="97">
        <f ca="1" t="shared" si="4"/>
      </c>
      <c r="H20" s="98">
        <f ca="1" t="shared" si="5"/>
      </c>
      <c r="I20" s="99">
        <f ca="1" t="shared" si="6"/>
      </c>
      <c r="J20" s="100">
        <f ca="1">IF(OR(Flag="Ignore",Flag="Det",Flag="Hole"),"",INDIRECT(Flag&amp;"Calc!"&amp;J$1)*IF(Flag="Vertex",VertexCalc!NormDir,1))</f>
      </c>
      <c r="K20" s="100">
        <f ca="1">IF(OR(Flag="Ignore",Flag="Det",Flag="Hole"),"",INDIRECT(Flag&amp;"Calc!"&amp;K$1)*IF(Flag="Vertex",VertexCalc!NormDir,1))</f>
      </c>
      <c r="L20" s="100">
        <f ca="1">IF(OR(Flag="Ignore",Flag="Det",Flag="Hole"),"",INDIRECT(Flag&amp;"Calc!"&amp;L$1)*IF(Flag="Vertex",VertexCalc!NormDir,1))</f>
      </c>
      <c r="M20" s="97">
        <f>IF(OR(Flag="Ignore",Flag="Det",Flag="Hole"),"",Xmirr+SpigLength*Xnorm)</f>
      </c>
      <c r="N20" s="98">
        <f>IF(OR(Flag="Ignore",Flag="Det",Flag="Hole"),"",Ymirr+SpigLength*Ynorm)</f>
      </c>
      <c r="O20" s="99">
        <f>IF(OR(Flag="Ignore",Flag="Det",Flag="Hole"),"",Zmirr+SpigLength*Znorm)</f>
      </c>
      <c r="P20" s="100">
        <f ca="1" t="shared" si="0"/>
      </c>
      <c r="Q20" s="100">
        <f ca="1" t="shared" si="0"/>
      </c>
      <c r="R20" s="100">
        <f ca="1" t="shared" si="0"/>
      </c>
      <c r="S20" s="97">
        <f t="shared" si="1"/>
      </c>
      <c r="T20" s="98">
        <f t="shared" si="2"/>
      </c>
      <c r="U20" s="99">
        <f t="shared" si="3"/>
      </c>
      <c r="V20" s="8">
        <f t="shared" si="7"/>
      </c>
    </row>
    <row r="21" spans="3:22" ht="12.75">
      <c r="C21" s="10" t="s">
        <v>127</v>
      </c>
      <c r="D21" s="11" t="s">
        <v>120</v>
      </c>
      <c r="E21" s="12">
        <v>1</v>
      </c>
      <c r="F21" s="11" t="s">
        <v>392</v>
      </c>
      <c r="G21" s="101">
        <f ca="1" t="shared" si="4"/>
        <v>381.297361</v>
      </c>
      <c r="H21" s="102">
        <f ca="1" t="shared" si="5"/>
        <v>-1.28E-14</v>
      </c>
      <c r="I21" s="103">
        <f ca="1" t="shared" si="6"/>
        <v>-509.515249</v>
      </c>
      <c r="J21" s="102">
        <f ca="1">IF(OR(Flag="Ignore",Flag="Det",Flag="Hole"),"",INDIRECT(Flag&amp;"Calc!"&amp;J$1)*IF(Flag="Vertex",VertexCalc!NormDir,1))</f>
        <v>0.7498640170291299</v>
      </c>
      <c r="K21" s="102">
        <f ca="1">IF(OR(Flag="Ignore",Flag="Det",Flag="Hole"),"",INDIRECT(Flag&amp;"Calc!"&amp;K$1)*IF(Flag="Vertex",VertexCalc!NormDir,1))</f>
        <v>0</v>
      </c>
      <c r="L21" s="102">
        <f ca="1">IF(OR(Flag="Ignore",Flag="Det",Flag="Hole"),"",INDIRECT(Flag&amp;"Calc!"&amp;L$1)*IF(Flag="Vertex",VertexCalc!NormDir,1))</f>
        <v>-0.6615919860192813</v>
      </c>
      <c r="M21" s="101">
        <f>IF(OR(Flag="Ignore",Flag="Det",Flag="Hole"),"",Xmirr+SpigLength*Xnorm)</f>
        <v>382.0472250170292</v>
      </c>
      <c r="N21" s="102">
        <f>IF(OR(Flag="Ignore",Flag="Det",Flag="Hole"),"",Ymirr+SpigLength*Ynorm)</f>
        <v>-1.28E-14</v>
      </c>
      <c r="O21" s="103">
        <f>IF(OR(Flag="Ignore",Flag="Det",Flag="Hole"),"",Zmirr+SpigLength*Znorm)</f>
        <v>-510.1768409860193</v>
      </c>
      <c r="P21" s="102">
        <f ca="1" t="shared" si="0"/>
        <v>0</v>
      </c>
      <c r="Q21" s="102">
        <f ca="1" t="shared" si="0"/>
        <v>1</v>
      </c>
      <c r="R21" s="102">
        <f ca="1" t="shared" si="0"/>
        <v>0</v>
      </c>
      <c r="S21" s="101">
        <f t="shared" si="1"/>
        <v>381.297361</v>
      </c>
      <c r="T21" s="102">
        <f t="shared" si="2"/>
        <v>0.9999999999999872</v>
      </c>
      <c r="U21" s="103">
        <f t="shared" si="3"/>
        <v>-509.515249</v>
      </c>
      <c r="V21" s="28">
        <f t="shared" si="7"/>
        <v>90</v>
      </c>
    </row>
    <row r="22" spans="3:22" ht="13.5" thickBot="1">
      <c r="C22" s="15"/>
      <c r="D22" s="16" t="s">
        <v>121</v>
      </c>
      <c r="E22" s="17"/>
      <c r="F22" s="16" t="s">
        <v>164</v>
      </c>
      <c r="G22" s="104">
        <f ca="1" t="shared" si="4"/>
      </c>
      <c r="H22" s="105">
        <f ca="1" t="shared" si="5"/>
      </c>
      <c r="I22" s="106">
        <f ca="1" t="shared" si="6"/>
      </c>
      <c r="J22" s="105">
        <f ca="1">IF(OR(Flag="Ignore",Flag="Det",Flag="Hole"),"",INDIRECT(Flag&amp;"Calc!"&amp;J$1)*IF(Flag="Vertex",VertexCalc!NormDir,1))</f>
      </c>
      <c r="K22" s="105">
        <f ca="1">IF(OR(Flag="Ignore",Flag="Det",Flag="Hole"),"",INDIRECT(Flag&amp;"Calc!"&amp;K$1)*IF(Flag="Vertex",VertexCalc!NormDir,1))</f>
      </c>
      <c r="L22" s="105">
        <f ca="1">IF(OR(Flag="Ignore",Flag="Det",Flag="Hole"),"",INDIRECT(Flag&amp;"Calc!"&amp;L$1)*IF(Flag="Vertex",VertexCalc!NormDir,1))</f>
      </c>
      <c r="M22" s="104">
        <f>IF(OR(Flag="Ignore",Flag="Det",Flag="Hole"),"",Xmirr+SpigLength*Xnorm)</f>
      </c>
      <c r="N22" s="105">
        <f>IF(OR(Flag="Ignore",Flag="Det",Flag="Hole"),"",Ymirr+SpigLength*Ynorm)</f>
      </c>
      <c r="O22" s="106">
        <f>IF(OR(Flag="Ignore",Flag="Det",Flag="Hole"),"",Zmirr+SpigLength*Znorm)</f>
      </c>
      <c r="P22" s="105">
        <f ca="1" t="shared" si="0"/>
      </c>
      <c r="Q22" s="105">
        <f ca="1" t="shared" si="0"/>
      </c>
      <c r="R22" s="105">
        <f ca="1" t="shared" si="0"/>
      </c>
      <c r="S22" s="104">
        <f t="shared" si="1"/>
      </c>
      <c r="T22" s="105">
        <f t="shared" si="2"/>
      </c>
      <c r="U22" s="106">
        <f t="shared" si="3"/>
      </c>
      <c r="V22" s="29">
        <f t="shared" si="7"/>
      </c>
    </row>
    <row r="23" ht="12.75">
      <c r="A23" s="26" t="s">
        <v>140</v>
      </c>
    </row>
    <row r="24" spans="1:3" ht="12.75">
      <c r="A24" s="1" t="s">
        <v>17</v>
      </c>
      <c r="B24" s="1" t="str">
        <f>"-Zsyno"</f>
        <v>-Zsyno</v>
      </c>
      <c r="C24" s="1" t="s">
        <v>130</v>
      </c>
    </row>
    <row r="25" spans="1:3" ht="12.75">
      <c r="A25" s="1" t="s">
        <v>81</v>
      </c>
      <c r="B25" s="1" t="s">
        <v>136</v>
      </c>
      <c r="C25" s="1" t="s">
        <v>131</v>
      </c>
    </row>
    <row r="26" spans="1:3" ht="12.75">
      <c r="A26" s="1" t="s">
        <v>82</v>
      </c>
      <c r="B26" s="1" t="s">
        <v>137</v>
      </c>
      <c r="C26" s="1" t="s">
        <v>132</v>
      </c>
    </row>
  </sheetData>
  <printOptions/>
  <pageMargins left="0.33" right="0.28" top="0.984251968503937" bottom="0.984251968503937" header="0.5118110236220472" footer="0.5118110236220472"/>
  <pageSetup fitToHeight="1" fitToWidth="1" horizontalDpi="600" verticalDpi="600" orientation="landscape" paperSize="9" scale="50" r:id="rId1"/>
  <headerFooter alignWithMargins="0">
    <oddHeader>&amp;L&amp;F, &amp;A&amp;R&amp;T, &amp;D</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AB26"/>
  <sheetViews>
    <sheetView zoomScale="80" zoomScaleNormal="80" workbookViewId="0" topLeftCell="A1">
      <selection activeCell="F3" sqref="F3"/>
    </sheetView>
  </sheetViews>
  <sheetFormatPr defaultColWidth="12" defaultRowHeight="12.75"/>
  <cols>
    <col min="1" max="2" width="12" style="1" customWidth="1"/>
    <col min="3" max="3" width="20.16015625" style="1" customWidth="1"/>
    <col min="4" max="5" width="12" style="1" customWidth="1"/>
    <col min="6" max="20" width="13.66015625" style="98" customWidth="1"/>
    <col min="21" max="21" width="11" style="22" customWidth="1"/>
    <col min="22" max="22" width="12" style="22" customWidth="1"/>
    <col min="23" max="28" width="9.33203125" style="22" customWidth="1"/>
    <col min="29" max="16384" width="12" style="1" customWidth="1"/>
  </cols>
  <sheetData>
    <row r="1" spans="3:28" s="5" customFormat="1" ht="12.75">
      <c r="C1" s="5" t="s">
        <v>129</v>
      </c>
      <c r="D1" s="5" t="s">
        <v>2</v>
      </c>
      <c r="E1" s="5" t="s">
        <v>162</v>
      </c>
      <c r="F1" s="93" t="s">
        <v>18</v>
      </c>
      <c r="G1" s="94" t="s">
        <v>19</v>
      </c>
      <c r="H1" s="95" t="s">
        <v>20</v>
      </c>
      <c r="I1" s="107" t="s">
        <v>14</v>
      </c>
      <c r="J1" s="107" t="s">
        <v>15</v>
      </c>
      <c r="K1" s="107" t="s">
        <v>16</v>
      </c>
      <c r="L1" s="93" t="s">
        <v>11</v>
      </c>
      <c r="M1" s="94" t="s">
        <v>12</v>
      </c>
      <c r="N1" s="95" t="s">
        <v>13</v>
      </c>
      <c r="O1" s="107" t="s">
        <v>21</v>
      </c>
      <c r="P1" s="107" t="s">
        <v>22</v>
      </c>
      <c r="Q1" s="107" t="s">
        <v>23</v>
      </c>
      <c r="R1" s="93" t="s">
        <v>24</v>
      </c>
      <c r="S1" s="94" t="s">
        <v>25</v>
      </c>
      <c r="T1" s="95" t="s">
        <v>26</v>
      </c>
      <c r="U1" s="32" t="s">
        <v>410</v>
      </c>
      <c r="V1" s="32"/>
      <c r="W1" s="32"/>
      <c r="X1" s="32"/>
      <c r="Y1" s="32"/>
      <c r="Z1" s="32"/>
      <c r="AA1" s="32"/>
      <c r="AB1" s="32"/>
    </row>
    <row r="2" spans="4:21" ht="13.5" thickBot="1">
      <c r="D2" s="1" t="s">
        <v>93</v>
      </c>
      <c r="E2" s="1" t="s">
        <v>128</v>
      </c>
      <c r="F2" s="97">
        <f>IF(OR(Flag="Ignore",Flag="Det",Flag="Hole"),"",VertexCalc!Xnorm*(Interfaces!Xmirr-VertexCalc!Xmirr)+VertexCalc!Ynorm*(Interfaces!Ymirr-VertexCalc!Ymirr)+VertexCalc!Znorm*(Interfaces!Zmirr-VertexCalc!Zmirr))</f>
      </c>
      <c r="G2" s="98">
        <f>IF(OR(Flag="Ignore",Flag="Det",Flag="Hole"),"",VertexCalc!Xsag*(Interfaces!Xmirr-VertexCalc!Xmirr)+VertexCalc!Ysag*(Interfaces!Ymirr-VertexCalc!Ymirr)+VertexCalc!Zsag*(Interfaces!Zmirr-VertexCalc!Zmirr))</f>
      </c>
      <c r="H2" s="99">
        <f>IF(OR(Flag="Ignore",Flag="Det",Flag="Hole"),"",VertexCalc!Xtang*(Interfaces!Xmirr-VertexCalc!Xmirr)+VertexCalc!Ytang*(Interfaces!Ymirr-VertexCalc!Ymirr)+VertexCalc!Ztang*(Interfaces!Zmirr-VertexCalc!Zmirr))</f>
      </c>
      <c r="I2" s="98">
        <f>IF(OR(Flag="Ignore",Flag="Det",Flag="Hole"),"",VertexCalc!Xnorm*Interfaces!Xnorm+VertexCalc!Ynorm*Interfaces!Ynorm+VertexCalc!Znorm*Interfaces!Znorm)</f>
      </c>
      <c r="J2" s="98">
        <f>IF(OR(Flag="Ignore",Flag="Det",Flag="Hole"),"",VertexCalc!Xsag*Interfaces!Xnorm+VertexCalc!Ysag*Interfaces!Ynorm+VertexCalc!Zsag*Interfaces!Znorm)</f>
      </c>
      <c r="K2" s="98">
        <f>IF(OR(Flag="Ignore",Flag="Det",Flag="Hole"),"",VertexCalc!Xtang*Interfaces!Xnorm+VertexCalc!Ytang*Interfaces!Ynorm+VertexCalc!Ztang*Interfaces!Znorm)</f>
      </c>
      <c r="L2" s="97">
        <f>IF(OR(Flag="Ignore",Flag="Det",Flag="Hole"),"",Xmirr+SpigLength*Xnorm)</f>
      </c>
      <c r="M2" s="98">
        <f>IF(OR(Flag="Ignore",Flag="Det",Flag="Hole"),"",Ymirr+SpigLength*Ynorm)</f>
      </c>
      <c r="N2" s="99">
        <f>IF(OR(Flag="Ignore",Flag="Det",Flag="Hole"),"",Zmirr+SpigLength*Znorm)</f>
      </c>
      <c r="O2" s="98">
        <f>IF(OR(Flag="Ignore",Flag="Det",Flag="Hole"),"",VertexCalc!Xnorm*Interfaces!Xsag+VertexCalc!Ynorm*Interfaces!Ysag+VertexCalc!Znorm*Interfaces!Zsag)</f>
      </c>
      <c r="P2" s="98">
        <f>IF(OR(Flag="Ignore",Flag="Det",Flag="Hole"),"",VertexCalc!Xsag*Interfaces!Xsag+VertexCalc!Ysag*Interfaces!Ysag+VertexCalc!Zsag*Interfaces!Zsag)</f>
      </c>
      <c r="Q2" s="98">
        <f>IF(OR(Flag="Ignore",Flag="Det",Flag="Hole"),"",VertexCalc!Xtang*Interfaces!Xsag+VertexCalc!Ytang*Interfaces!Ysag+VertexCalc!Ztang*Interfaces!Zsag)</f>
      </c>
      <c r="R2" s="97">
        <f>IF(OR(Flag="Ignore",Flag="Det",Flag="Hole"),"",Xmirr+DowlSep*Xsag)</f>
      </c>
      <c r="S2" s="98">
        <f>IF(OR(Flag="Ignore",Flag="Det",Flag="Hole"),"",Ymirr+DowlSep*Ysag)</f>
      </c>
      <c r="T2" s="99">
        <f>IF(OR(Flag="Ignore",Flag="Det",Flag="Hole"),"",Zmirr+DowlSep*Zsag)</f>
      </c>
      <c r="U2" s="22">
        <f>IF(OR(Flag="Ignore",Flag="Hole",Flag="Det"),"",ACOS(Xsag*Xnorm+Ysag*Ynorm+Zsag*Znorm)*180/PI())</f>
      </c>
    </row>
    <row r="3" spans="3:21" ht="12.75">
      <c r="C3" s="10" t="s">
        <v>122</v>
      </c>
      <c r="D3" s="11" t="s">
        <v>94</v>
      </c>
      <c r="E3" s="11" t="s">
        <v>392</v>
      </c>
      <c r="F3" s="101" t="e">
        <f>IF(OR(Flag="Ignore",Flag="Det",Flag="Hole"),"",VertexCalc!Xnorm*(Interfaces!Xmirr-VertexCalc!Xmirr)+VertexCalc!Ynorm*(Interfaces!Ymirr-VertexCalc!Ymirr)+VertexCalc!Znorm*(Interfaces!Zmirr-VertexCalc!Zmirr))</f>
        <v>#VALUE!</v>
      </c>
      <c r="G3" s="102" t="e">
        <f>IF(OR(Flag="Ignore",Flag="Det",Flag="Hole"),"",VertexCalc!Xsag*(Interfaces!Xmirr-VertexCalc!Xmirr)+VertexCalc!Ysag*(Interfaces!Ymirr-VertexCalc!Ymirr)+VertexCalc!Zsag*(Interfaces!Zmirr-VertexCalc!Zmirr))</f>
        <v>#VALUE!</v>
      </c>
      <c r="H3" s="103" t="e">
        <f>IF(OR(Flag="Ignore",Flag="Det",Flag="Hole"),"",VertexCalc!Xtang*(Interfaces!Xmirr-VertexCalc!Xmirr)+VertexCalc!Ytang*(Interfaces!Ymirr-VertexCalc!Ymirr)+VertexCalc!Ztang*(Interfaces!Zmirr-VertexCalc!Zmirr))</f>
        <v>#VALUE!</v>
      </c>
      <c r="I3" s="102" t="e">
        <f>IF(OR(Flag="Ignore",Flag="Det",Flag="Hole"),"",VertexCalc!Xnorm*Interfaces!Xnorm+VertexCalc!Ynorm*Interfaces!Ynorm+VertexCalc!Znorm*Interfaces!Znorm)</f>
        <v>#VALUE!</v>
      </c>
      <c r="J3" s="102" t="e">
        <f>IF(OR(Flag="Ignore",Flag="Det",Flag="Hole"),"",VertexCalc!Xsag*Interfaces!Xnorm+VertexCalc!Ysag*Interfaces!Ynorm+VertexCalc!Zsag*Interfaces!Znorm)</f>
        <v>#VALUE!</v>
      </c>
      <c r="K3" s="102" t="e">
        <f>IF(OR(Flag="Ignore",Flag="Det",Flag="Hole"),"",VertexCalc!Xtang*Interfaces!Xnorm+VertexCalc!Ytang*Interfaces!Ynorm+VertexCalc!Ztang*Interfaces!Znorm)</f>
        <v>#VALUE!</v>
      </c>
      <c r="L3" s="101" t="e">
        <f aca="true" t="shared" si="0" ref="L3:L22">IF(OR(Flag="Ignore",Flag="Det",Flag="Hole"),"",Xmirr+SpigLength*Xnorm)</f>
        <v>#VALUE!</v>
      </c>
      <c r="M3" s="102" t="e">
        <f aca="true" t="shared" si="1" ref="M3:M22">IF(OR(Flag="Ignore",Flag="Det",Flag="Hole"),"",Ymirr+SpigLength*Ynorm)</f>
        <v>#VALUE!</v>
      </c>
      <c r="N3" s="103" t="e">
        <f aca="true" t="shared" si="2" ref="N3:N22">IF(OR(Flag="Ignore",Flag="Det",Flag="Hole"),"",Zmirr+SpigLength*Znorm)</f>
        <v>#VALUE!</v>
      </c>
      <c r="O3" s="102" t="e">
        <f>IF(OR(Flag="Ignore",Flag="Det",Flag="Hole"),"",VertexCalc!Xnorm*Interfaces!Xsag+VertexCalc!Ynorm*Interfaces!Ysag+VertexCalc!Znorm*Interfaces!Zsag)</f>
        <v>#VALUE!</v>
      </c>
      <c r="P3" s="102" t="e">
        <f>IF(OR(Flag="Ignore",Flag="Det",Flag="Hole"),"",VertexCalc!Xsag*Interfaces!Xsag+VertexCalc!Ysag*Interfaces!Ysag+VertexCalc!Zsag*Interfaces!Zsag)</f>
        <v>#VALUE!</v>
      </c>
      <c r="Q3" s="102" t="e">
        <f>IF(OR(Flag="Ignore",Flag="Det",Flag="Hole"),"",VertexCalc!Xtang*Interfaces!Xsag+VertexCalc!Ytang*Interfaces!Ysag+VertexCalc!Ztang*Interfaces!Zsag)</f>
        <v>#VALUE!</v>
      </c>
      <c r="R3" s="101" t="e">
        <f aca="true" t="shared" si="3" ref="R3:R22">IF(OR(Flag="Ignore",Flag="Det",Flag="Hole"),"",Xmirr+DowlSep*Xsag)</f>
        <v>#VALUE!</v>
      </c>
      <c r="S3" s="102" t="e">
        <f aca="true" t="shared" si="4" ref="S3:S22">IF(OR(Flag="Ignore",Flag="Det",Flag="Hole"),"",Ymirr+DowlSep*Ysag)</f>
        <v>#VALUE!</v>
      </c>
      <c r="T3" s="103" t="e">
        <f aca="true" t="shared" si="5" ref="T3:T22">IF(OR(Flag="Ignore",Flag="Det",Flag="Hole"),"",Zmirr+DowlSep*Zsag)</f>
        <v>#VALUE!</v>
      </c>
      <c r="U3" s="28" t="e">
        <f aca="true" t="shared" si="6" ref="U3:U22">IF(OR(Flag="Ignore",Flag="Hole",Flag="Det"),"",ACOS(Xsag*Xnorm+Ysag*Ynorm+Zsag*Znorm)*180/PI())</f>
        <v>#VALUE!</v>
      </c>
    </row>
    <row r="4" spans="3:21" ht="13.5" thickBot="1">
      <c r="C4" s="15"/>
      <c r="D4" s="16" t="s">
        <v>95</v>
      </c>
      <c r="E4" s="16" t="s">
        <v>392</v>
      </c>
      <c r="F4" s="104" t="e">
        <f>IF(OR(Flag="Ignore",Flag="Det",Flag="Hole"),"",VertexCalc!Xnorm*(Interfaces!Xmirr-VertexCalc!Xmirr)+VertexCalc!Ynorm*(Interfaces!Ymirr-VertexCalc!Ymirr)+VertexCalc!Znorm*(Interfaces!Zmirr-VertexCalc!Zmirr))</f>
        <v>#VALUE!</v>
      </c>
      <c r="G4" s="105" t="e">
        <f>IF(OR(Flag="Ignore",Flag="Det",Flag="Hole"),"",VertexCalc!Xsag*(Interfaces!Xmirr-VertexCalc!Xmirr)+VertexCalc!Ysag*(Interfaces!Ymirr-VertexCalc!Ymirr)+VertexCalc!Zsag*(Interfaces!Zmirr-VertexCalc!Zmirr))</f>
        <v>#VALUE!</v>
      </c>
      <c r="H4" s="106" t="e">
        <f>IF(OR(Flag="Ignore",Flag="Det",Flag="Hole"),"",VertexCalc!Xtang*(Interfaces!Xmirr-VertexCalc!Xmirr)+VertexCalc!Ytang*(Interfaces!Ymirr-VertexCalc!Ymirr)+VertexCalc!Ztang*(Interfaces!Zmirr-VertexCalc!Zmirr))</f>
        <v>#VALUE!</v>
      </c>
      <c r="I4" s="105" t="e">
        <f>IF(OR(Flag="Ignore",Flag="Det",Flag="Hole"),"",VertexCalc!Xnorm*Interfaces!Xnorm+VertexCalc!Ynorm*Interfaces!Ynorm+VertexCalc!Znorm*Interfaces!Znorm)</f>
        <v>#VALUE!</v>
      </c>
      <c r="J4" s="105" t="e">
        <f>IF(OR(Flag="Ignore",Flag="Det",Flag="Hole"),"",VertexCalc!Xsag*Interfaces!Xnorm+VertexCalc!Ysag*Interfaces!Ynorm+VertexCalc!Zsag*Interfaces!Znorm)</f>
        <v>#VALUE!</v>
      </c>
      <c r="K4" s="105" t="e">
        <f>IF(OR(Flag="Ignore",Flag="Det",Flag="Hole"),"",VertexCalc!Xtang*Interfaces!Xnorm+VertexCalc!Ytang*Interfaces!Ynorm+VertexCalc!Ztang*Interfaces!Znorm)</f>
        <v>#VALUE!</v>
      </c>
      <c r="L4" s="104" t="e">
        <f t="shared" si="0"/>
        <v>#VALUE!</v>
      </c>
      <c r="M4" s="105" t="e">
        <f t="shared" si="1"/>
        <v>#VALUE!</v>
      </c>
      <c r="N4" s="106" t="e">
        <f t="shared" si="2"/>
        <v>#VALUE!</v>
      </c>
      <c r="O4" s="105" t="e">
        <f>IF(OR(Flag="Ignore",Flag="Det",Flag="Hole"),"",VertexCalc!Xnorm*Interfaces!Xsag+VertexCalc!Ynorm*Interfaces!Ysag+VertexCalc!Znorm*Interfaces!Zsag)</f>
        <v>#VALUE!</v>
      </c>
      <c r="P4" s="105" t="e">
        <f>IF(OR(Flag="Ignore",Flag="Det",Flag="Hole"),"",VertexCalc!Xsag*Interfaces!Xsag+VertexCalc!Ysag*Interfaces!Ysag+VertexCalc!Zsag*Interfaces!Zsag)</f>
        <v>#VALUE!</v>
      </c>
      <c r="Q4" s="105" t="e">
        <f>IF(OR(Flag="Ignore",Flag="Det",Flag="Hole"),"",VertexCalc!Xtang*Interfaces!Xsag+VertexCalc!Ytang*Interfaces!Ysag+VertexCalc!Ztang*Interfaces!Zsag)</f>
        <v>#VALUE!</v>
      </c>
      <c r="R4" s="104" t="e">
        <f t="shared" si="3"/>
        <v>#VALUE!</v>
      </c>
      <c r="S4" s="105" t="e">
        <f t="shared" si="4"/>
        <v>#VALUE!</v>
      </c>
      <c r="T4" s="106" t="e">
        <f t="shared" si="5"/>
        <v>#VALUE!</v>
      </c>
      <c r="U4" s="29" t="e">
        <f t="shared" si="6"/>
        <v>#VALUE!</v>
      </c>
    </row>
    <row r="5" spans="1:21" ht="12.75">
      <c r="A5" s="21"/>
      <c r="B5" s="21"/>
      <c r="C5" s="10" t="s">
        <v>123</v>
      </c>
      <c r="D5" s="11" t="s">
        <v>96</v>
      </c>
      <c r="E5" s="11" t="s">
        <v>163</v>
      </c>
      <c r="F5" s="101">
        <f>IF(OR(Flag="Ignore",Flag="Det",Flag="Hole"),"",VertexCalc!Xnorm*(Interfaces!Xmirr-VertexCalc!Xmirr)+VertexCalc!Ynorm*(Interfaces!Ymirr-VertexCalc!Ymirr)+VertexCalc!Znorm*(Interfaces!Zmirr-VertexCalc!Zmirr))</f>
      </c>
      <c r="G5" s="102">
        <f>IF(OR(Flag="Ignore",Flag="Det",Flag="Hole"),"",VertexCalc!Xsag*(Interfaces!Xmirr-VertexCalc!Xmirr)+VertexCalc!Ysag*(Interfaces!Ymirr-VertexCalc!Ymirr)+VertexCalc!Zsag*(Interfaces!Zmirr-VertexCalc!Zmirr))</f>
      </c>
      <c r="H5" s="103">
        <f>IF(OR(Flag="Ignore",Flag="Det",Flag="Hole"),"",VertexCalc!Xtang*(Interfaces!Xmirr-VertexCalc!Xmirr)+VertexCalc!Ytang*(Interfaces!Ymirr-VertexCalc!Ymirr)+VertexCalc!Ztang*(Interfaces!Zmirr-VertexCalc!Zmirr))</f>
      </c>
      <c r="I5" s="102">
        <f>IF(OR(Flag="Ignore",Flag="Det",Flag="Hole"),"",VertexCalc!Xnorm*Interfaces!Xnorm+VertexCalc!Ynorm*Interfaces!Ynorm+VertexCalc!Znorm*Interfaces!Znorm)</f>
      </c>
      <c r="J5" s="102">
        <f>IF(OR(Flag="Ignore",Flag="Det",Flag="Hole"),"",VertexCalc!Xsag*Interfaces!Xnorm+VertexCalc!Ysag*Interfaces!Ynorm+VertexCalc!Zsag*Interfaces!Znorm)</f>
      </c>
      <c r="K5" s="102">
        <f>IF(OR(Flag="Ignore",Flag="Det",Flag="Hole"),"",VertexCalc!Xtang*Interfaces!Xnorm+VertexCalc!Ytang*Interfaces!Ynorm+VertexCalc!Ztang*Interfaces!Znorm)</f>
      </c>
      <c r="L5" s="101">
        <f t="shared" si="0"/>
      </c>
      <c r="M5" s="102">
        <f t="shared" si="1"/>
      </c>
      <c r="N5" s="103">
        <f t="shared" si="2"/>
      </c>
      <c r="O5" s="102">
        <f>IF(OR(Flag="Ignore",Flag="Det",Flag="Hole"),"",VertexCalc!Xnorm*Interfaces!Xsag+VertexCalc!Ynorm*Interfaces!Ysag+VertexCalc!Znorm*Interfaces!Zsag)</f>
      </c>
      <c r="P5" s="102">
        <f>IF(OR(Flag="Ignore",Flag="Det",Flag="Hole"),"",VertexCalc!Xsag*Interfaces!Xsag+VertexCalc!Ysag*Interfaces!Ysag+VertexCalc!Zsag*Interfaces!Zsag)</f>
      </c>
      <c r="Q5" s="102">
        <f>IF(OR(Flag="Ignore",Flag="Det",Flag="Hole"),"",VertexCalc!Xtang*Interfaces!Xsag+VertexCalc!Ytang*Interfaces!Ysag+VertexCalc!Ztang*Interfaces!Zsag)</f>
      </c>
      <c r="R5" s="101">
        <f t="shared" si="3"/>
      </c>
      <c r="S5" s="102">
        <f t="shared" si="4"/>
      </c>
      <c r="T5" s="103">
        <f t="shared" si="5"/>
      </c>
      <c r="U5" s="28">
        <f t="shared" si="6"/>
      </c>
    </row>
    <row r="6" spans="3:21" ht="12.75">
      <c r="C6" s="20"/>
      <c r="D6" s="21" t="s">
        <v>97</v>
      </c>
      <c r="E6" s="21" t="s">
        <v>165</v>
      </c>
      <c r="F6" s="97">
        <f>IF(OR(Flag="Ignore",Flag="Det",Flag="Hole"),"",VertexCalc!Xnorm*(Interfaces!Xmirr-VertexCalc!Xmirr)+VertexCalc!Ynorm*(Interfaces!Ymirr-VertexCalc!Ymirr)+VertexCalc!Znorm*(Interfaces!Zmirr-VertexCalc!Zmirr))</f>
        <v>-29.842008897909132</v>
      </c>
      <c r="G6" s="98">
        <f>IF(OR(Flag="Ignore",Flag="Det",Flag="Hole"),"",VertexCalc!Xsag*(Interfaces!Xmirr-VertexCalc!Xmirr)+VertexCalc!Ysag*(Interfaces!Ymirr-VertexCalc!Ymirr)+VertexCalc!Zsag*(Interfaces!Zmirr-VertexCalc!Zmirr))</f>
        <v>-19.500476</v>
      </c>
      <c r="H6" s="99">
        <f>IF(OR(Flag="Ignore",Flag="Det",Flag="Hole"),"",VertexCalc!Xtang*(Interfaces!Xmirr-VertexCalc!Xmirr)+VertexCalc!Ytang*(Interfaces!Ymirr-VertexCalc!Ymirr)+VertexCalc!Ztang*(Interfaces!Zmirr-VertexCalc!Zmirr))</f>
        <v>145.0002098453071</v>
      </c>
      <c r="I6" s="98">
        <f>IF(OR(Flag="Ignore",Flag="Det",Flag="Hole"),"",VertexCalc!Xnorm*Interfaces!Xnorm+VertexCalc!Ynorm*Interfaces!Ynorm+VertexCalc!Znorm*Interfaces!Znorm)</f>
        <v>0.9231515556994206</v>
      </c>
      <c r="J6" s="98">
        <f>IF(OR(Flag="Ignore",Flag="Det",Flag="Hole"),"",VertexCalc!Xsag*Interfaces!Xnorm+VertexCalc!Ysag*Interfaces!Ynorm+VertexCalc!Zsag*Interfaces!Znorm)</f>
        <v>-0.05123993058213288</v>
      </c>
      <c r="K6" s="98">
        <f>IF(OR(Flag="Ignore",Flag="Det",Flag="Hole"),"",VertexCalc!Xtang*Interfaces!Xnorm+VertexCalc!Ytang*Interfaces!Ynorm+VertexCalc!Ztang*Interfaces!Znorm)</f>
        <v>0.3810061347585857</v>
      </c>
      <c r="L6" s="97">
        <f t="shared" si="0"/>
        <v>-28.918857342209712</v>
      </c>
      <c r="M6" s="98">
        <f t="shared" si="1"/>
        <v>-19.55171593058213</v>
      </c>
      <c r="N6" s="99">
        <f t="shared" si="2"/>
        <v>145.3812159800657</v>
      </c>
      <c r="O6" s="98">
        <f>IF(OR(Flag="Ignore",Flag="Det",Flag="Hole"),"",VertexCalc!Xnorm*Interfaces!Xsag+VertexCalc!Ynorm*Interfaces!Ysag+VertexCalc!Znorm*Interfaces!Zsag)</f>
        <v>0.052141597762138704</v>
      </c>
      <c r="P6" s="98">
        <f>IF(OR(Flag="Ignore",Flag="Det",Flag="Hole"),"",VertexCalc!Xsag*Interfaces!Xsag+VertexCalc!Ysag*Interfaces!Ysag+VertexCalc!Zsag*Interfaces!Zsag)</f>
        <v>0.9986079521963203</v>
      </c>
      <c r="Q6" s="98">
        <f>IF(OR(Flag="Ignore",Flag="Det",Flag="Hole"),"",VertexCalc!Xtang*Interfaces!Xsag+VertexCalc!Ytang*Interfaces!Ysag+VertexCalc!Ztang*Interfaces!Zsag)</f>
        <v>0.00796313964985344</v>
      </c>
      <c r="R6" s="97">
        <f t="shared" si="3"/>
        <v>-29.789867300146994</v>
      </c>
      <c r="S6" s="98">
        <f t="shared" si="4"/>
        <v>-18.50186804780368</v>
      </c>
      <c r="T6" s="99">
        <f t="shared" si="5"/>
        <v>145.00817298495696</v>
      </c>
      <c r="U6" s="30">
        <f t="shared" si="6"/>
        <v>90</v>
      </c>
    </row>
    <row r="7" spans="1:21" ht="12.75">
      <c r="A7" s="1" t="s">
        <v>396</v>
      </c>
      <c r="B7" s="1">
        <v>1</v>
      </c>
      <c r="C7" s="20"/>
      <c r="D7" s="21" t="s">
        <v>99</v>
      </c>
      <c r="E7" s="21" t="s">
        <v>392</v>
      </c>
      <c r="F7" s="97" t="e">
        <f>IF(OR(Flag="Ignore",Flag="Det",Flag="Hole"),"",VertexCalc!Xnorm*(Interfaces!Xmirr-VertexCalc!Xmirr)+VertexCalc!Ynorm*(Interfaces!Ymirr-VertexCalc!Ymirr)+VertexCalc!Znorm*(Interfaces!Zmirr-VertexCalc!Zmirr))</f>
        <v>#VALUE!</v>
      </c>
      <c r="G7" s="98" t="e">
        <f>IF(OR(Flag="Ignore",Flag="Det",Flag="Hole"),"",VertexCalc!Xsag*(Interfaces!Xmirr-VertexCalc!Xmirr)+VertexCalc!Ysag*(Interfaces!Ymirr-VertexCalc!Ymirr)+VertexCalc!Zsag*(Interfaces!Zmirr-VertexCalc!Zmirr))</f>
        <v>#VALUE!</v>
      </c>
      <c r="H7" s="99" t="e">
        <f>IF(OR(Flag="Ignore",Flag="Det",Flag="Hole"),"",VertexCalc!Xtang*(Interfaces!Xmirr-VertexCalc!Xmirr)+VertexCalc!Ytang*(Interfaces!Ymirr-VertexCalc!Ymirr)+VertexCalc!Ztang*(Interfaces!Zmirr-VertexCalc!Zmirr))</f>
        <v>#VALUE!</v>
      </c>
      <c r="I7" s="98" t="e">
        <f>IF(OR(Flag="Ignore",Flag="Det",Flag="Hole"),"",VertexCalc!Xnorm*Interfaces!Xnorm+VertexCalc!Ynorm*Interfaces!Ynorm+VertexCalc!Znorm*Interfaces!Znorm)</f>
        <v>#VALUE!</v>
      </c>
      <c r="J7" s="98" t="e">
        <f>IF(OR(Flag="Ignore",Flag="Det",Flag="Hole"),"",VertexCalc!Xsag*Interfaces!Xnorm+VertexCalc!Ysag*Interfaces!Ynorm+VertexCalc!Zsag*Interfaces!Znorm)</f>
        <v>#VALUE!</v>
      </c>
      <c r="K7" s="98" t="e">
        <f>IF(OR(Flag="Ignore",Flag="Det",Flag="Hole"),"",VertexCalc!Xtang*Interfaces!Xnorm+VertexCalc!Ytang*Interfaces!Ynorm+VertexCalc!Ztang*Interfaces!Znorm)</f>
        <v>#VALUE!</v>
      </c>
      <c r="L7" s="97" t="e">
        <f t="shared" si="0"/>
        <v>#VALUE!</v>
      </c>
      <c r="M7" s="98" t="e">
        <f t="shared" si="1"/>
        <v>#VALUE!</v>
      </c>
      <c r="N7" s="99" t="e">
        <f t="shared" si="2"/>
        <v>#VALUE!</v>
      </c>
      <c r="O7" s="98" t="e">
        <f>IF(OR(Flag="Ignore",Flag="Det",Flag="Hole"),"",VertexCalc!Xnorm*Interfaces!Xsag+VertexCalc!Ynorm*Interfaces!Ysag+VertexCalc!Znorm*Interfaces!Zsag)</f>
        <v>#VALUE!</v>
      </c>
      <c r="P7" s="98" t="e">
        <f>IF(OR(Flag="Ignore",Flag="Det",Flag="Hole"),"",VertexCalc!Xsag*Interfaces!Xsag+VertexCalc!Ysag*Interfaces!Ysag+VertexCalc!Zsag*Interfaces!Zsag)</f>
        <v>#VALUE!</v>
      </c>
      <c r="Q7" s="98" t="e">
        <f>IF(OR(Flag="Ignore",Flag="Det",Flag="Hole"),"",VertexCalc!Xtang*Interfaces!Xsag+VertexCalc!Ytang*Interfaces!Ysag+VertexCalc!Ztang*Interfaces!Zsag)</f>
        <v>#VALUE!</v>
      </c>
      <c r="R7" s="97" t="e">
        <f t="shared" si="3"/>
        <v>#VALUE!</v>
      </c>
      <c r="S7" s="98" t="e">
        <f t="shared" si="4"/>
        <v>#VALUE!</v>
      </c>
      <c r="T7" s="99" t="e">
        <f t="shared" si="5"/>
        <v>#VALUE!</v>
      </c>
      <c r="U7" s="30" t="e">
        <f t="shared" si="6"/>
        <v>#VALUE!</v>
      </c>
    </row>
    <row r="8" spans="1:21" ht="13.5" thickBot="1">
      <c r="A8" s="1" t="s">
        <v>397</v>
      </c>
      <c r="B8" s="1">
        <v>1</v>
      </c>
      <c r="C8" s="15"/>
      <c r="D8" s="16" t="s">
        <v>100</v>
      </c>
      <c r="E8" s="16" t="s">
        <v>166</v>
      </c>
      <c r="F8" s="104">
        <f>IF(OR(Flag="Ignore",Flag="Det",Flag="Hole"),"",VertexCalc!Xnorm*(Interfaces!Xmirr-VertexCalc!Xmirr)+VertexCalc!Ynorm*(Interfaces!Ymirr-VertexCalc!Ymirr)+VertexCalc!Znorm*(Interfaces!Zmirr-VertexCalc!Zmirr))</f>
        <v>-0.6875339169940939</v>
      </c>
      <c r="G8" s="105">
        <f>IF(OR(Flag="Ignore",Flag="Det",Flag="Hole"),"",VertexCalc!Xsag*(Interfaces!Xmirr-VertexCalc!Xmirr)+VertexCalc!Ysag*(Interfaces!Ymirr-VertexCalc!Ymirr)+VertexCalc!Zsag*(Interfaces!Zmirr-VertexCalc!Zmirr))</f>
        <v>19.499867</v>
      </c>
      <c r="H8" s="106">
        <f>IF(OR(Flag="Ignore",Flag="Det",Flag="Hole"),"",VertexCalc!Xtang*(Interfaces!Xmirr-VertexCalc!Xmirr)+VertexCalc!Ytang*(Interfaces!Ymirr-VertexCalc!Ymirr)+VertexCalc!Ztang*(Interfaces!Zmirr-VertexCalc!Zmirr))</f>
        <v>-1.4999497851430932</v>
      </c>
      <c r="I8" s="105">
        <f>IF(OR(Flag="Ignore",Flag="Det",Flag="Hole"),"",VertexCalc!Xnorm*Interfaces!Xnorm+VertexCalc!Ynorm*Interfaces!Ynorm+VertexCalc!Znorm*Interfaces!Znorm)</f>
        <v>0.9975313232274583</v>
      </c>
      <c r="J8" s="105">
        <f>IF(OR(Flag="Ignore",Flag="Det",Flag="Hole"),"",VertexCalc!Xsag*Interfaces!Xnorm+VertexCalc!Ysag*Interfaces!Ynorm+VertexCalc!Zsag*Interfaces!Znorm)</f>
        <v>0.07003815177270171</v>
      </c>
      <c r="K8" s="105">
        <f>IF(OR(Flag="Ignore",Flag="Det",Flag="Hole"),"",VertexCalc!Xtang*Interfaces!Xnorm+VertexCalc!Ytang*Interfaces!Ynorm+VertexCalc!Ztang*Interfaces!Znorm)</f>
        <v>-0.0050908227567223185</v>
      </c>
      <c r="L8" s="104">
        <f t="shared" si="0"/>
        <v>0.30999740623336436</v>
      </c>
      <c r="M8" s="105">
        <f t="shared" si="1"/>
        <v>19.5699051517727</v>
      </c>
      <c r="N8" s="106">
        <f t="shared" si="2"/>
        <v>-1.5050406078998155</v>
      </c>
      <c r="O8" s="105">
        <f>IF(OR(Flag="Ignore",Flag="Det",Flag="Hole"),"",VertexCalc!Xnorm*Interfaces!Xsag+VertexCalc!Ynorm*Interfaces!Ysag+VertexCalc!Znorm*Interfaces!Zsag)</f>
        <v>-0.06993038698993691</v>
      </c>
      <c r="P8" s="105">
        <f>IF(OR(Flag="Ignore",Flag="Det",Flag="Hole"),"",VertexCalc!Xsag*Interfaces!Xsag+VertexCalc!Ysag*Interfaces!Ysag+VertexCalc!Zsag*Interfaces!Zsag)</f>
        <v>0.9973722810806622</v>
      </c>
      <c r="Q8" s="105">
        <f>IF(OR(Flag="Ignore",Flag="Det",Flag="Hole"),"",VertexCalc!Xtang*Interfaces!Xsag+VertexCalc!Ytang*Interfaces!Ysag+VertexCalc!Ztang*Interfaces!Zsag)</f>
        <v>0.01892812477225754</v>
      </c>
      <c r="R8" s="104">
        <f t="shared" si="3"/>
        <v>-0.7574643039840309</v>
      </c>
      <c r="S8" s="105">
        <f t="shared" si="4"/>
        <v>20.49723928108066</v>
      </c>
      <c r="T8" s="106">
        <f t="shared" si="5"/>
        <v>-1.4810216603708357</v>
      </c>
      <c r="U8" s="29">
        <f t="shared" si="6"/>
        <v>89.99999999999997</v>
      </c>
    </row>
    <row r="9" spans="3:21" ht="12.75">
      <c r="C9" s="10" t="s">
        <v>124</v>
      </c>
      <c r="D9" s="11" t="s">
        <v>103</v>
      </c>
      <c r="E9" s="11" t="s">
        <v>392</v>
      </c>
      <c r="F9" s="101">
        <f>IF(OR(Flag="Ignore",Flag="Det",Flag="Hole"),"",VertexCalc!Xnorm*(Interfaces!Xmirr-VertexCalc!Xmirr)+VertexCalc!Ynorm*(Interfaces!Ymirr-VertexCalc!Ymirr)+VertexCalc!Znorm*(Interfaces!Zmirr-VertexCalc!Zmirr))</f>
        <v>0</v>
      </c>
      <c r="G9" s="102">
        <f>IF(OR(Flag="Ignore",Flag="Det",Flag="Hole"),"",VertexCalc!Xsag*(Interfaces!Xmirr-VertexCalc!Xmirr)+VertexCalc!Ysag*(Interfaces!Ymirr-VertexCalc!Ymirr)+VertexCalc!Zsag*(Interfaces!Zmirr-VertexCalc!Zmirr))</f>
        <v>0</v>
      </c>
      <c r="H9" s="103">
        <f>IF(OR(Flag="Ignore",Flag="Det",Flag="Hole"),"",VertexCalc!Xtang*(Interfaces!Xmirr-VertexCalc!Xmirr)+VertexCalc!Ytang*(Interfaces!Ymirr-VertexCalc!Ymirr)+VertexCalc!Ztang*(Interfaces!Zmirr-VertexCalc!Zmirr))</f>
        <v>0</v>
      </c>
      <c r="I9" s="102">
        <f>IF(OR(Flag="Ignore",Flag="Det",Flag="Hole"),"",VertexCalc!Xnorm*Interfaces!Xnorm+VertexCalc!Ynorm*Interfaces!Ynorm+VertexCalc!Znorm*Interfaces!Znorm)</f>
        <v>-0.9999999999999221</v>
      </c>
      <c r="J9" s="102">
        <f>IF(OR(Flag="Ignore",Flag="Det",Flag="Hole"),"",VertexCalc!Xsag*Interfaces!Xnorm+VertexCalc!Ysag*Interfaces!Ynorm+VertexCalc!Zsag*Interfaces!Znorm)</f>
        <v>0</v>
      </c>
      <c r="K9" s="102">
        <f>IF(OR(Flag="Ignore",Flag="Det",Flag="Hole"),"",VertexCalc!Xtang*Interfaces!Xnorm+VertexCalc!Ytang*Interfaces!Ynorm+VertexCalc!Ztang*Interfaces!Znorm)</f>
        <v>0</v>
      </c>
      <c r="L9" s="101">
        <f t="shared" si="0"/>
        <v>-0.9999999999999221</v>
      </c>
      <c r="M9" s="102">
        <f t="shared" si="1"/>
        <v>0</v>
      </c>
      <c r="N9" s="103">
        <f t="shared" si="2"/>
        <v>0</v>
      </c>
      <c r="O9" s="102">
        <f>IF(OR(Flag="Ignore",Flag="Det",Flag="Hole"),"",VertexCalc!Xnorm*Interfaces!Xsag+VertexCalc!Ynorm*Interfaces!Ysag+VertexCalc!Znorm*Interfaces!Zsag)</f>
        <v>0</v>
      </c>
      <c r="P9" s="102">
        <f>IF(OR(Flag="Ignore",Flag="Det",Flag="Hole"),"",VertexCalc!Xsag*Interfaces!Xsag+VertexCalc!Ysag*Interfaces!Ysag+VertexCalc!Zsag*Interfaces!Zsag)</f>
        <v>1</v>
      </c>
      <c r="Q9" s="102">
        <f>IF(OR(Flag="Ignore",Flag="Det",Flag="Hole"),"",VertexCalc!Xtang*Interfaces!Xsag+VertexCalc!Ytang*Interfaces!Ysag+VertexCalc!Ztang*Interfaces!Zsag)</f>
        <v>0</v>
      </c>
      <c r="R9" s="101">
        <f t="shared" si="3"/>
        <v>0</v>
      </c>
      <c r="S9" s="102">
        <f t="shared" si="4"/>
        <v>1</v>
      </c>
      <c r="T9" s="103">
        <f t="shared" si="5"/>
        <v>0</v>
      </c>
      <c r="U9" s="28">
        <f t="shared" si="6"/>
        <v>90</v>
      </c>
    </row>
    <row r="10" spans="3:21" ht="12.75">
      <c r="C10" s="20"/>
      <c r="D10" s="21" t="s">
        <v>106</v>
      </c>
      <c r="E10" s="21" t="s">
        <v>392</v>
      </c>
      <c r="F10" s="97">
        <f>IF(OR(Flag="Ignore",Flag="Det",Flag="Hole"),"",VertexCalc!Xnorm*(Interfaces!Xmirr-VertexCalc!Xmirr)+VertexCalc!Ynorm*(Interfaces!Ymirr-VertexCalc!Ymirr)+VertexCalc!Znorm*(Interfaces!Zmirr-VertexCalc!Zmirr))</f>
        <v>0</v>
      </c>
      <c r="G10" s="98">
        <f>IF(OR(Flag="Ignore",Flag="Det",Flag="Hole"),"",VertexCalc!Xsag*(Interfaces!Xmirr-VertexCalc!Xmirr)+VertexCalc!Ysag*(Interfaces!Ymirr-VertexCalc!Ymirr)+VertexCalc!Zsag*(Interfaces!Zmirr-VertexCalc!Zmirr))</f>
        <v>0</v>
      </c>
      <c r="H10" s="99">
        <f>IF(OR(Flag="Ignore",Flag="Det",Flag="Hole"),"",VertexCalc!Xtang*(Interfaces!Xmirr-VertexCalc!Xmirr)+VertexCalc!Ytang*(Interfaces!Ymirr-VertexCalc!Ymirr)+VertexCalc!Ztang*(Interfaces!Zmirr-VertexCalc!Zmirr))</f>
        <v>0</v>
      </c>
      <c r="I10" s="98">
        <f>IF(OR(Flag="Ignore",Flag="Det",Flag="Hole"),"",VertexCalc!Xnorm*Interfaces!Xnorm+VertexCalc!Ynorm*Interfaces!Ynorm+VertexCalc!Znorm*Interfaces!Znorm)</f>
        <v>0.9999999999981761</v>
      </c>
      <c r="J10" s="98">
        <f>IF(OR(Flag="Ignore",Flag="Det",Flag="Hole"),"",VertexCalc!Xsag*Interfaces!Xnorm+VertexCalc!Ysag*Interfaces!Ynorm+VertexCalc!Zsag*Interfaces!Znorm)</f>
        <v>0</v>
      </c>
      <c r="K10" s="98">
        <f>IF(OR(Flag="Ignore",Flag="Det",Flag="Hole"),"",VertexCalc!Xtang*Interfaces!Xnorm+VertexCalc!Ytang*Interfaces!Ynorm+VertexCalc!Ztang*Interfaces!Znorm)</f>
        <v>5.551115123125783E-17</v>
      </c>
      <c r="L10" s="97">
        <f t="shared" si="0"/>
        <v>0.9999999999981761</v>
      </c>
      <c r="M10" s="98">
        <f t="shared" si="1"/>
        <v>0</v>
      </c>
      <c r="N10" s="99">
        <f t="shared" si="2"/>
        <v>5.551115123125783E-17</v>
      </c>
      <c r="O10" s="98">
        <f>IF(OR(Flag="Ignore",Flag="Det",Flag="Hole"),"",VertexCalc!Xnorm*Interfaces!Xsag+VertexCalc!Ynorm*Interfaces!Ysag+VertexCalc!Znorm*Interfaces!Zsag)</f>
        <v>0</v>
      </c>
      <c r="P10" s="98">
        <f>IF(OR(Flag="Ignore",Flag="Det",Flag="Hole"),"",VertexCalc!Xsag*Interfaces!Xsag+VertexCalc!Ysag*Interfaces!Ysag+VertexCalc!Zsag*Interfaces!Zsag)</f>
        <v>1</v>
      </c>
      <c r="Q10" s="98">
        <f>IF(OR(Flag="Ignore",Flag="Det",Flag="Hole"),"",VertexCalc!Xtang*Interfaces!Xsag+VertexCalc!Ytang*Interfaces!Ysag+VertexCalc!Ztang*Interfaces!Zsag)</f>
        <v>0</v>
      </c>
      <c r="R10" s="97">
        <f t="shared" si="3"/>
        <v>0</v>
      </c>
      <c r="S10" s="98">
        <f t="shared" si="4"/>
        <v>1</v>
      </c>
      <c r="T10" s="99">
        <f t="shared" si="5"/>
        <v>0</v>
      </c>
      <c r="U10" s="30">
        <f t="shared" si="6"/>
        <v>90</v>
      </c>
    </row>
    <row r="11" spans="3:21" ht="12.75">
      <c r="C11" s="20"/>
      <c r="D11" s="21" t="s">
        <v>109</v>
      </c>
      <c r="E11" s="21" t="s">
        <v>392</v>
      </c>
      <c r="F11" s="97">
        <f>IF(OR(Flag="Ignore",Flag="Det",Flag="Hole"),"",VertexCalc!Xnorm*(Interfaces!Xmirr-VertexCalc!Xmirr)+VertexCalc!Ynorm*(Interfaces!Ymirr-VertexCalc!Ymirr)+VertexCalc!Znorm*(Interfaces!Zmirr-VertexCalc!Zmirr))</f>
        <v>0</v>
      </c>
      <c r="G11" s="98">
        <f>IF(OR(Flag="Ignore",Flag="Det",Flag="Hole"),"",VertexCalc!Xsag*(Interfaces!Xmirr-VertexCalc!Xmirr)+VertexCalc!Ysag*(Interfaces!Ymirr-VertexCalc!Ymirr)+VertexCalc!Zsag*(Interfaces!Zmirr-VertexCalc!Zmirr))</f>
        <v>0</v>
      </c>
      <c r="H11" s="99">
        <f>IF(OR(Flag="Ignore",Flag="Det",Flag="Hole"),"",VertexCalc!Xtang*(Interfaces!Xmirr-VertexCalc!Xmirr)+VertexCalc!Ytang*(Interfaces!Ymirr-VertexCalc!Ymirr)+VertexCalc!Ztang*(Interfaces!Zmirr-VertexCalc!Zmirr))</f>
        <v>0</v>
      </c>
      <c r="I11" s="98">
        <f>IF(OR(Flag="Ignore",Flag="Det",Flag="Hole"),"",VertexCalc!Xnorm*Interfaces!Xnorm+VertexCalc!Ynorm*Interfaces!Ynorm+VertexCalc!Znorm*Interfaces!Znorm)</f>
        <v>-0.9999999999969534</v>
      </c>
      <c r="J11" s="98">
        <f>IF(OR(Flag="Ignore",Flag="Det",Flag="Hole"),"",VertexCalc!Xsag*Interfaces!Xnorm+VertexCalc!Ysag*Interfaces!Ynorm+VertexCalc!Zsag*Interfaces!Znorm)</f>
        <v>0</v>
      </c>
      <c r="K11" s="98">
        <f>IF(OR(Flag="Ignore",Flag="Det",Flag="Hole"),"",VertexCalc!Xtang*Interfaces!Xnorm+VertexCalc!Ytang*Interfaces!Ynorm+VertexCalc!Ztang*Interfaces!Znorm)</f>
        <v>0</v>
      </c>
      <c r="L11" s="97">
        <f t="shared" si="0"/>
        <v>-0.9999999999969534</v>
      </c>
      <c r="M11" s="98">
        <f t="shared" si="1"/>
        <v>0</v>
      </c>
      <c r="N11" s="99">
        <f t="shared" si="2"/>
        <v>0</v>
      </c>
      <c r="O11" s="98">
        <f>IF(OR(Flag="Ignore",Flag="Det",Flag="Hole"),"",VertexCalc!Xnorm*Interfaces!Xsag+VertexCalc!Ynorm*Interfaces!Ysag+VertexCalc!Znorm*Interfaces!Zsag)</f>
        <v>0</v>
      </c>
      <c r="P11" s="98">
        <f>IF(OR(Flag="Ignore",Flag="Det",Flag="Hole"),"",VertexCalc!Xsag*Interfaces!Xsag+VertexCalc!Ysag*Interfaces!Ysag+VertexCalc!Zsag*Interfaces!Zsag)</f>
        <v>1</v>
      </c>
      <c r="Q11" s="98">
        <f>IF(OR(Flag="Ignore",Flag="Det",Flag="Hole"),"",VertexCalc!Xtang*Interfaces!Xsag+VertexCalc!Ytang*Interfaces!Ysag+VertexCalc!Ztang*Interfaces!Zsag)</f>
        <v>0</v>
      </c>
      <c r="R11" s="97">
        <f t="shared" si="3"/>
        <v>0</v>
      </c>
      <c r="S11" s="98">
        <f t="shared" si="4"/>
        <v>1</v>
      </c>
      <c r="T11" s="99">
        <f t="shared" si="5"/>
        <v>0</v>
      </c>
      <c r="U11" s="30">
        <f t="shared" si="6"/>
        <v>90</v>
      </c>
    </row>
    <row r="12" spans="3:21" ht="12.75">
      <c r="C12" s="20"/>
      <c r="D12" s="21" t="s">
        <v>110</v>
      </c>
      <c r="E12" s="21" t="s">
        <v>163</v>
      </c>
      <c r="F12" s="97">
        <f>IF(OR(Flag="Ignore",Flag="Det",Flag="Hole"),"",VertexCalc!Xnorm*(Interfaces!Xmirr-VertexCalc!Xmirr)+VertexCalc!Ynorm*(Interfaces!Ymirr-VertexCalc!Ymirr)+VertexCalc!Znorm*(Interfaces!Zmirr-VertexCalc!Zmirr))</f>
      </c>
      <c r="G12" s="98">
        <f>IF(OR(Flag="Ignore",Flag="Det",Flag="Hole"),"",VertexCalc!Xsag*(Interfaces!Xmirr-VertexCalc!Xmirr)+VertexCalc!Ysag*(Interfaces!Ymirr-VertexCalc!Ymirr)+VertexCalc!Zsag*(Interfaces!Zmirr-VertexCalc!Zmirr))</f>
      </c>
      <c r="H12" s="99">
        <f>IF(OR(Flag="Ignore",Flag="Det",Flag="Hole"),"",VertexCalc!Xtang*(Interfaces!Xmirr-VertexCalc!Xmirr)+VertexCalc!Ytang*(Interfaces!Ymirr-VertexCalc!Ymirr)+VertexCalc!Ztang*(Interfaces!Zmirr-VertexCalc!Zmirr))</f>
      </c>
      <c r="I12" s="98">
        <f>IF(OR(Flag="Ignore",Flag="Det",Flag="Hole"),"",VertexCalc!Xnorm*Interfaces!Xnorm+VertexCalc!Ynorm*Interfaces!Ynorm+VertexCalc!Znorm*Interfaces!Znorm)</f>
      </c>
      <c r="J12" s="98">
        <f>IF(OR(Flag="Ignore",Flag="Det",Flag="Hole"),"",VertexCalc!Xsag*Interfaces!Xnorm+VertexCalc!Ysag*Interfaces!Ynorm+VertexCalc!Zsag*Interfaces!Znorm)</f>
      </c>
      <c r="K12" s="98">
        <f>IF(OR(Flag="Ignore",Flag="Det",Flag="Hole"),"",VertexCalc!Xtang*Interfaces!Xnorm+VertexCalc!Ytang*Interfaces!Ynorm+VertexCalc!Ztang*Interfaces!Znorm)</f>
      </c>
      <c r="L12" s="97">
        <f t="shared" si="0"/>
      </c>
      <c r="M12" s="98">
        <f t="shared" si="1"/>
      </c>
      <c r="N12" s="99">
        <f t="shared" si="2"/>
      </c>
      <c r="O12" s="98">
        <f>IF(OR(Flag="Ignore",Flag="Det",Flag="Hole"),"",VertexCalc!Xnorm*Interfaces!Xsag+VertexCalc!Ynorm*Interfaces!Ysag+VertexCalc!Znorm*Interfaces!Zsag)</f>
      </c>
      <c r="P12" s="98">
        <f>IF(OR(Flag="Ignore",Flag="Det",Flag="Hole"),"",VertexCalc!Xsag*Interfaces!Xsag+VertexCalc!Ysag*Interfaces!Ysag+VertexCalc!Zsag*Interfaces!Zsag)</f>
      </c>
      <c r="Q12" s="98">
        <f>IF(OR(Flag="Ignore",Flag="Det",Flag="Hole"),"",VertexCalc!Xtang*Interfaces!Xsag+VertexCalc!Ytang*Interfaces!Ysag+VertexCalc!Ztang*Interfaces!Zsag)</f>
      </c>
      <c r="R12" s="97">
        <f t="shared" si="3"/>
      </c>
      <c r="S12" s="98">
        <f t="shared" si="4"/>
      </c>
      <c r="T12" s="99">
        <f t="shared" si="5"/>
      </c>
      <c r="U12" s="30">
        <f t="shared" si="6"/>
      </c>
    </row>
    <row r="13" spans="3:21" ht="13.5" thickBot="1">
      <c r="C13" s="15"/>
      <c r="D13" s="16" t="s">
        <v>111</v>
      </c>
      <c r="E13" s="16" t="s">
        <v>392</v>
      </c>
      <c r="F13" s="104">
        <f>IF(OR(Flag="Ignore",Flag="Det",Flag="Hole"),"",VertexCalc!Xnorm*(Interfaces!Xmirr-VertexCalc!Xmirr)+VertexCalc!Ynorm*(Interfaces!Ymirr-VertexCalc!Ymirr)+VertexCalc!Znorm*(Interfaces!Zmirr-VertexCalc!Zmirr))</f>
        <v>0</v>
      </c>
      <c r="G13" s="105">
        <f>IF(OR(Flag="Ignore",Flag="Det",Flag="Hole"),"",VertexCalc!Xsag*(Interfaces!Xmirr-VertexCalc!Xmirr)+VertexCalc!Ysag*(Interfaces!Ymirr-VertexCalc!Ymirr)+VertexCalc!Zsag*(Interfaces!Zmirr-VertexCalc!Zmirr))</f>
        <v>0</v>
      </c>
      <c r="H13" s="106">
        <f>IF(OR(Flag="Ignore",Flag="Det",Flag="Hole"),"",VertexCalc!Xtang*(Interfaces!Xmirr-VertexCalc!Xmirr)+VertexCalc!Ytang*(Interfaces!Ymirr-VertexCalc!Ymirr)+VertexCalc!Ztang*(Interfaces!Zmirr-VertexCalc!Zmirr))</f>
        <v>0</v>
      </c>
      <c r="I13" s="105">
        <f>IF(OR(Flag="Ignore",Flag="Det",Flag="Hole"),"",VertexCalc!Xnorm*Interfaces!Xnorm+VertexCalc!Ynorm*Interfaces!Ynorm+VertexCalc!Znorm*Interfaces!Znorm)</f>
        <v>0.9999999999906202</v>
      </c>
      <c r="J13" s="105">
        <f>IF(OR(Flag="Ignore",Flag="Det",Flag="Hole"),"",VertexCalc!Xsag*Interfaces!Xnorm+VertexCalc!Ysag*Interfaces!Ynorm+VertexCalc!Zsag*Interfaces!Znorm)</f>
        <v>0</v>
      </c>
      <c r="K13" s="105">
        <f>IF(OR(Flag="Ignore",Flag="Det",Flag="Hole"),"",VertexCalc!Xtang*Interfaces!Xnorm+VertexCalc!Ytang*Interfaces!Ynorm+VertexCalc!Ztang*Interfaces!Znorm)</f>
        <v>0</v>
      </c>
      <c r="L13" s="104">
        <f t="shared" si="0"/>
        <v>0.9999999999906202</v>
      </c>
      <c r="M13" s="105">
        <f t="shared" si="1"/>
        <v>0</v>
      </c>
      <c r="N13" s="106">
        <f t="shared" si="2"/>
        <v>0</v>
      </c>
      <c r="O13" s="105">
        <f>IF(OR(Flag="Ignore",Flag="Det",Flag="Hole"),"",VertexCalc!Xnorm*Interfaces!Xsag+VertexCalc!Ynorm*Interfaces!Ysag+VertexCalc!Znorm*Interfaces!Zsag)</f>
        <v>0</v>
      </c>
      <c r="P13" s="105">
        <f>IF(OR(Flag="Ignore",Flag="Det",Flag="Hole"),"",VertexCalc!Xsag*Interfaces!Xsag+VertexCalc!Ysag*Interfaces!Ysag+VertexCalc!Zsag*Interfaces!Zsag)</f>
        <v>1</v>
      </c>
      <c r="Q13" s="105">
        <f>IF(OR(Flag="Ignore",Flag="Det",Flag="Hole"),"",VertexCalc!Xtang*Interfaces!Xsag+VertexCalc!Ytang*Interfaces!Ysag+VertexCalc!Ztang*Interfaces!Zsag)</f>
        <v>0</v>
      </c>
      <c r="R13" s="104">
        <f t="shared" si="3"/>
        <v>0</v>
      </c>
      <c r="S13" s="105">
        <f t="shared" si="4"/>
        <v>1</v>
      </c>
      <c r="T13" s="106">
        <f t="shared" si="5"/>
        <v>0</v>
      </c>
      <c r="U13" s="29">
        <f t="shared" si="6"/>
        <v>90</v>
      </c>
    </row>
    <row r="14" spans="3:21" ht="12.75">
      <c r="C14" s="10" t="s">
        <v>125</v>
      </c>
      <c r="D14" s="11" t="s">
        <v>113</v>
      </c>
      <c r="E14" s="11" t="s">
        <v>392</v>
      </c>
      <c r="F14" s="101" t="e">
        <f>IF(OR(Flag="Ignore",Flag="Det",Flag="Hole"),"",VertexCalc!Xnorm*(Interfaces!Xmirr-VertexCalc!Xmirr)+VertexCalc!Ynorm*(Interfaces!Ymirr-VertexCalc!Ymirr)+VertexCalc!Znorm*(Interfaces!Zmirr-VertexCalc!Zmirr))</f>
        <v>#VALUE!</v>
      </c>
      <c r="G14" s="102" t="e">
        <f>IF(OR(Flag="Ignore",Flag="Det",Flag="Hole"),"",VertexCalc!Xsag*(Interfaces!Xmirr-VertexCalc!Xmirr)+VertexCalc!Ysag*(Interfaces!Ymirr-VertexCalc!Ymirr)+VertexCalc!Zsag*(Interfaces!Zmirr-VertexCalc!Zmirr))</f>
        <v>#VALUE!</v>
      </c>
      <c r="H14" s="103" t="e">
        <f>IF(OR(Flag="Ignore",Flag="Det",Flag="Hole"),"",VertexCalc!Xtang*(Interfaces!Xmirr-VertexCalc!Xmirr)+VertexCalc!Ytang*(Interfaces!Ymirr-VertexCalc!Ymirr)+VertexCalc!Ztang*(Interfaces!Zmirr-VertexCalc!Zmirr))</f>
        <v>#VALUE!</v>
      </c>
      <c r="I14" s="102" t="e">
        <f>IF(OR(Flag="Ignore",Flag="Det",Flag="Hole"),"",VertexCalc!Xnorm*Interfaces!Xnorm+VertexCalc!Ynorm*Interfaces!Ynorm+VertexCalc!Znorm*Interfaces!Znorm)</f>
        <v>#VALUE!</v>
      </c>
      <c r="J14" s="102" t="e">
        <f>IF(OR(Flag="Ignore",Flag="Det",Flag="Hole"),"",VertexCalc!Xsag*Interfaces!Xnorm+VertexCalc!Ysag*Interfaces!Ynorm+VertexCalc!Zsag*Interfaces!Znorm)</f>
        <v>#VALUE!</v>
      </c>
      <c r="K14" s="102" t="e">
        <f>IF(OR(Flag="Ignore",Flag="Det",Flag="Hole"),"",VertexCalc!Xtang*Interfaces!Xnorm+VertexCalc!Ytang*Interfaces!Ynorm+VertexCalc!Ztang*Interfaces!Znorm)</f>
        <v>#VALUE!</v>
      </c>
      <c r="L14" s="101" t="e">
        <f t="shared" si="0"/>
        <v>#VALUE!</v>
      </c>
      <c r="M14" s="102" t="e">
        <f t="shared" si="1"/>
        <v>#VALUE!</v>
      </c>
      <c r="N14" s="103" t="e">
        <f t="shared" si="2"/>
        <v>#VALUE!</v>
      </c>
      <c r="O14" s="102" t="e">
        <f>IF(OR(Flag="Ignore",Flag="Det",Flag="Hole"),"",VertexCalc!Xnorm*Interfaces!Xsag+VertexCalc!Ynorm*Interfaces!Ysag+VertexCalc!Znorm*Interfaces!Zsag)</f>
        <v>#VALUE!</v>
      </c>
      <c r="P14" s="102" t="e">
        <f>IF(OR(Flag="Ignore",Flag="Det",Flag="Hole"),"",VertexCalc!Xsag*Interfaces!Xsag+VertexCalc!Ysag*Interfaces!Ysag+VertexCalc!Zsag*Interfaces!Zsag)</f>
        <v>#VALUE!</v>
      </c>
      <c r="Q14" s="102" t="e">
        <f>IF(OR(Flag="Ignore",Flag="Det",Flag="Hole"),"",VertexCalc!Xtang*Interfaces!Xsag+VertexCalc!Ytang*Interfaces!Ysag+VertexCalc!Ztang*Interfaces!Zsag)</f>
        <v>#VALUE!</v>
      </c>
      <c r="R14" s="101" t="e">
        <f t="shared" si="3"/>
        <v>#VALUE!</v>
      </c>
      <c r="S14" s="102" t="e">
        <f t="shared" si="4"/>
        <v>#VALUE!</v>
      </c>
      <c r="T14" s="103" t="e">
        <f t="shared" si="5"/>
        <v>#VALUE!</v>
      </c>
      <c r="U14" s="28" t="e">
        <f t="shared" si="6"/>
        <v>#VALUE!</v>
      </c>
    </row>
    <row r="15" spans="3:21" ht="12.75">
      <c r="C15" s="20"/>
      <c r="D15" s="21" t="s">
        <v>115</v>
      </c>
      <c r="E15" s="21" t="s">
        <v>392</v>
      </c>
      <c r="F15" s="97">
        <f>IF(OR(Flag="Ignore",Flag="Det",Flag="Hole"),"",VertexCalc!Xnorm*(Interfaces!Xmirr-VertexCalc!Xmirr)+VertexCalc!Ynorm*(Interfaces!Ymirr-VertexCalc!Ymirr)+VertexCalc!Znorm*(Interfaces!Zmirr-VertexCalc!Zmirr))</f>
        <v>0</v>
      </c>
      <c r="G15" s="98">
        <f>IF(OR(Flag="Ignore",Flag="Det",Flag="Hole"),"",VertexCalc!Xsag*(Interfaces!Xmirr-VertexCalc!Xmirr)+VertexCalc!Ysag*(Interfaces!Ymirr-VertexCalc!Ymirr)+VertexCalc!Zsag*(Interfaces!Zmirr-VertexCalc!Zmirr))</f>
        <v>0</v>
      </c>
      <c r="H15" s="99">
        <f>IF(OR(Flag="Ignore",Flag="Det",Flag="Hole"),"",VertexCalc!Xtang*(Interfaces!Xmirr-VertexCalc!Xmirr)+VertexCalc!Ytang*(Interfaces!Ymirr-VertexCalc!Ymirr)+VertexCalc!Ztang*(Interfaces!Zmirr-VertexCalc!Zmirr))</f>
        <v>0</v>
      </c>
      <c r="I15" s="98">
        <f>IF(OR(Flag="Ignore",Flag="Det",Flag="Hole"),"",VertexCalc!Xnorm*Interfaces!Xnorm+VertexCalc!Ynorm*Interfaces!Ynorm+VertexCalc!Znorm*Interfaces!Znorm)</f>
        <v>0.9999999999999998</v>
      </c>
      <c r="J15" s="98">
        <f>IF(OR(Flag="Ignore",Flag="Det",Flag="Hole"),"",VertexCalc!Xsag*Interfaces!Xnorm+VertexCalc!Ysag*Interfaces!Ynorm+VertexCalc!Zsag*Interfaces!Znorm)</f>
        <v>-2.7755575615628914E-17</v>
      </c>
      <c r="K15" s="98">
        <f>IF(OR(Flag="Ignore",Flag="Det",Flag="Hole"),"",VertexCalc!Xtang*Interfaces!Xnorm+VertexCalc!Ytang*Interfaces!Ynorm+VertexCalc!Ztang*Interfaces!Znorm)</f>
        <v>-5.551115123125783E-17</v>
      </c>
      <c r="L15" s="97">
        <f t="shared" si="0"/>
        <v>0.9999999999999998</v>
      </c>
      <c r="M15" s="98">
        <f t="shared" si="1"/>
        <v>-2.7755575615628914E-17</v>
      </c>
      <c r="N15" s="99">
        <f t="shared" si="2"/>
        <v>-5.551115123125783E-17</v>
      </c>
      <c r="O15" s="98">
        <f>IF(OR(Flag="Ignore",Flag="Det",Flag="Hole"),"",VertexCalc!Xnorm*Interfaces!Xsag+VertexCalc!Ynorm*Interfaces!Ysag+VertexCalc!Znorm*Interfaces!Zsag)</f>
        <v>0</v>
      </c>
      <c r="P15" s="98">
        <f>IF(OR(Flag="Ignore",Flag="Det",Flag="Hole"),"",VertexCalc!Xsag*Interfaces!Xsag+VertexCalc!Ysag*Interfaces!Ysag+VertexCalc!Zsag*Interfaces!Zsag)</f>
        <v>-1</v>
      </c>
      <c r="Q15" s="98">
        <f>IF(OR(Flag="Ignore",Flag="Det",Flag="Hole"),"",VertexCalc!Xtang*Interfaces!Xsag+VertexCalc!Ytang*Interfaces!Ysag+VertexCalc!Ztang*Interfaces!Zsag)</f>
        <v>-5.551115123125783E-17</v>
      </c>
      <c r="R15" s="97">
        <f t="shared" si="3"/>
        <v>0</v>
      </c>
      <c r="S15" s="98">
        <f t="shared" si="4"/>
        <v>-1</v>
      </c>
      <c r="T15" s="99">
        <f t="shared" si="5"/>
        <v>-5.551115123125783E-17</v>
      </c>
      <c r="U15" s="30">
        <f t="shared" si="6"/>
        <v>90</v>
      </c>
    </row>
    <row r="16" spans="3:21" ht="13.5" thickBot="1">
      <c r="C16" s="15"/>
      <c r="D16" s="16" t="s">
        <v>117</v>
      </c>
      <c r="E16" s="16" t="s">
        <v>164</v>
      </c>
      <c r="F16" s="104">
        <f>IF(OR(Flag="Ignore",Flag="Det",Flag="Hole"),"",VertexCalc!Xnorm*(Interfaces!Xmirr-VertexCalc!Xmirr)+VertexCalc!Ynorm*(Interfaces!Ymirr-VertexCalc!Ymirr)+VertexCalc!Znorm*(Interfaces!Zmirr-VertexCalc!Zmirr))</f>
      </c>
      <c r="G16" s="105">
        <f>IF(OR(Flag="Ignore",Flag="Det",Flag="Hole"),"",VertexCalc!Xsag*(Interfaces!Xmirr-VertexCalc!Xmirr)+VertexCalc!Ysag*(Interfaces!Ymirr-VertexCalc!Ymirr)+VertexCalc!Zsag*(Interfaces!Zmirr-VertexCalc!Zmirr))</f>
      </c>
      <c r="H16" s="106">
        <f>IF(OR(Flag="Ignore",Flag="Det",Flag="Hole"),"",VertexCalc!Xtang*(Interfaces!Xmirr-VertexCalc!Xmirr)+VertexCalc!Ytang*(Interfaces!Ymirr-VertexCalc!Ymirr)+VertexCalc!Ztang*(Interfaces!Zmirr-VertexCalc!Zmirr))</f>
      </c>
      <c r="I16" s="105">
        <f>IF(OR(Flag="Ignore",Flag="Det",Flag="Hole"),"",VertexCalc!Xnorm*Interfaces!Xnorm+VertexCalc!Ynorm*Interfaces!Ynorm+VertexCalc!Znorm*Interfaces!Znorm)</f>
      </c>
      <c r="J16" s="105">
        <f>IF(OR(Flag="Ignore",Flag="Det",Flag="Hole"),"",VertexCalc!Xsag*Interfaces!Xnorm+VertexCalc!Ysag*Interfaces!Ynorm+VertexCalc!Zsag*Interfaces!Znorm)</f>
      </c>
      <c r="K16" s="105">
        <f>IF(OR(Flag="Ignore",Flag="Det",Flag="Hole"),"",VertexCalc!Xtang*Interfaces!Xnorm+VertexCalc!Ytang*Interfaces!Ynorm+VertexCalc!Ztang*Interfaces!Znorm)</f>
      </c>
      <c r="L16" s="104">
        <f t="shared" si="0"/>
      </c>
      <c r="M16" s="105">
        <f t="shared" si="1"/>
      </c>
      <c r="N16" s="106">
        <f t="shared" si="2"/>
      </c>
      <c r="O16" s="105">
        <f>IF(OR(Flag="Ignore",Flag="Det",Flag="Hole"),"",VertexCalc!Xnorm*Interfaces!Xsag+VertexCalc!Ynorm*Interfaces!Ysag+VertexCalc!Znorm*Interfaces!Zsag)</f>
      </c>
      <c r="P16" s="105">
        <f>IF(OR(Flag="Ignore",Flag="Det",Flag="Hole"),"",VertexCalc!Xsag*Interfaces!Xsag+VertexCalc!Ysag*Interfaces!Ysag+VertexCalc!Zsag*Interfaces!Zsag)</f>
      </c>
      <c r="Q16" s="105">
        <f>IF(OR(Flag="Ignore",Flag="Det",Flag="Hole"),"",VertexCalc!Xtang*Interfaces!Xsag+VertexCalc!Ytang*Interfaces!Ysag+VertexCalc!Ztang*Interfaces!Zsag)</f>
      </c>
      <c r="R16" s="104">
        <f t="shared" si="3"/>
      </c>
      <c r="S16" s="105">
        <f t="shared" si="4"/>
      </c>
      <c r="T16" s="106">
        <f t="shared" si="5"/>
      </c>
      <c r="U16" s="29">
        <f t="shared" si="6"/>
      </c>
    </row>
    <row r="17" spans="4:21" ht="13.5" thickBot="1">
      <c r="D17" s="1" t="s">
        <v>113</v>
      </c>
      <c r="E17" s="1" t="s">
        <v>128</v>
      </c>
      <c r="F17" s="97">
        <f>IF(OR(Flag="Ignore",Flag="Det",Flag="Hole"),"",VertexCalc!Xnorm*(Interfaces!Xmirr-VertexCalc!Xmirr)+VertexCalc!Ynorm*(Interfaces!Ymirr-VertexCalc!Ymirr)+VertexCalc!Znorm*(Interfaces!Zmirr-VertexCalc!Zmirr))</f>
      </c>
      <c r="G17" s="98">
        <f>IF(OR(Flag="Ignore",Flag="Det",Flag="Hole"),"",VertexCalc!Xsag*(Interfaces!Xmirr-VertexCalc!Xmirr)+VertexCalc!Ysag*(Interfaces!Ymirr-VertexCalc!Ymirr)+VertexCalc!Zsag*(Interfaces!Zmirr-VertexCalc!Zmirr))</f>
      </c>
      <c r="H17" s="99">
        <f>IF(OR(Flag="Ignore",Flag="Det",Flag="Hole"),"",VertexCalc!Xtang*(Interfaces!Xmirr-VertexCalc!Xmirr)+VertexCalc!Ytang*(Interfaces!Ymirr-VertexCalc!Ymirr)+VertexCalc!Ztang*(Interfaces!Zmirr-VertexCalc!Zmirr))</f>
      </c>
      <c r="I17" s="98">
        <f>IF(OR(Flag="Ignore",Flag="Det",Flag="Hole"),"",VertexCalc!Xnorm*Interfaces!Xnorm+VertexCalc!Ynorm*Interfaces!Ynorm+VertexCalc!Znorm*Interfaces!Znorm)</f>
      </c>
      <c r="J17" s="98">
        <f>IF(OR(Flag="Ignore",Flag="Det",Flag="Hole"),"",VertexCalc!Xsag*Interfaces!Xnorm+VertexCalc!Ysag*Interfaces!Ynorm+VertexCalc!Zsag*Interfaces!Znorm)</f>
      </c>
      <c r="K17" s="98">
        <f>IF(OR(Flag="Ignore",Flag="Det",Flag="Hole"),"",VertexCalc!Xtang*Interfaces!Xnorm+VertexCalc!Ytang*Interfaces!Ynorm+VertexCalc!Ztang*Interfaces!Znorm)</f>
      </c>
      <c r="L17" s="97">
        <f t="shared" si="0"/>
      </c>
      <c r="M17" s="98">
        <f t="shared" si="1"/>
      </c>
      <c r="N17" s="99">
        <f t="shared" si="2"/>
      </c>
      <c r="O17" s="98">
        <f>IF(OR(Flag="Ignore",Flag="Det",Flag="Hole"),"",VertexCalc!Xnorm*Interfaces!Xsag+VertexCalc!Ynorm*Interfaces!Ysag+VertexCalc!Znorm*Interfaces!Zsag)</f>
      </c>
      <c r="P17" s="98">
        <f>IF(OR(Flag="Ignore",Flag="Det",Flag="Hole"),"",VertexCalc!Xsag*Interfaces!Xsag+VertexCalc!Ysag*Interfaces!Ysag+VertexCalc!Zsag*Interfaces!Zsag)</f>
      </c>
      <c r="Q17" s="98">
        <f>IF(OR(Flag="Ignore",Flag="Det",Flag="Hole"),"",VertexCalc!Xtang*Interfaces!Xsag+VertexCalc!Ytang*Interfaces!Ysag+VertexCalc!Ztang*Interfaces!Zsag)</f>
      </c>
      <c r="R17" s="97">
        <f t="shared" si="3"/>
      </c>
      <c r="S17" s="98">
        <f t="shared" si="4"/>
      </c>
      <c r="T17" s="99">
        <f t="shared" si="5"/>
      </c>
      <c r="U17" s="22">
        <f t="shared" si="6"/>
      </c>
    </row>
    <row r="18" spans="3:21" ht="12.75">
      <c r="C18" s="10" t="s">
        <v>126</v>
      </c>
      <c r="D18" s="11" t="s">
        <v>118</v>
      </c>
      <c r="E18" s="11" t="s">
        <v>392</v>
      </c>
      <c r="F18" s="101" t="e">
        <f>IF(OR(Flag="Ignore",Flag="Det",Flag="Hole"),"",VertexCalc!Xnorm*(Interfaces!Xmirr-VertexCalc!Xmirr)+VertexCalc!Ynorm*(Interfaces!Ymirr-VertexCalc!Ymirr)+VertexCalc!Znorm*(Interfaces!Zmirr-VertexCalc!Zmirr))</f>
        <v>#VALUE!</v>
      </c>
      <c r="G18" s="102" t="e">
        <f>IF(OR(Flag="Ignore",Flag="Det",Flag="Hole"),"",VertexCalc!Xsag*(Interfaces!Xmirr-VertexCalc!Xmirr)+VertexCalc!Ysag*(Interfaces!Ymirr-VertexCalc!Ymirr)+VertexCalc!Zsag*(Interfaces!Zmirr-VertexCalc!Zmirr))</f>
        <v>#VALUE!</v>
      </c>
      <c r="H18" s="103" t="e">
        <f>IF(OR(Flag="Ignore",Flag="Det",Flag="Hole"),"",VertexCalc!Xtang*(Interfaces!Xmirr-VertexCalc!Xmirr)+VertexCalc!Ytang*(Interfaces!Ymirr-VertexCalc!Ymirr)+VertexCalc!Ztang*(Interfaces!Zmirr-VertexCalc!Zmirr))</f>
        <v>#VALUE!</v>
      </c>
      <c r="I18" s="102" t="e">
        <f>IF(OR(Flag="Ignore",Flag="Det",Flag="Hole"),"",VertexCalc!Xnorm*Interfaces!Xnorm+VertexCalc!Ynorm*Interfaces!Ynorm+VertexCalc!Znorm*Interfaces!Znorm)</f>
        <v>#VALUE!</v>
      </c>
      <c r="J18" s="102" t="e">
        <f>IF(OR(Flag="Ignore",Flag="Det",Flag="Hole"),"",VertexCalc!Xsag*Interfaces!Xnorm+VertexCalc!Ysag*Interfaces!Ynorm+VertexCalc!Zsag*Interfaces!Znorm)</f>
        <v>#VALUE!</v>
      </c>
      <c r="K18" s="102" t="e">
        <f>IF(OR(Flag="Ignore",Flag="Det",Flag="Hole"),"",VertexCalc!Xtang*Interfaces!Xnorm+VertexCalc!Ytang*Interfaces!Ynorm+VertexCalc!Ztang*Interfaces!Znorm)</f>
        <v>#VALUE!</v>
      </c>
      <c r="L18" s="101" t="e">
        <f t="shared" si="0"/>
        <v>#VALUE!</v>
      </c>
      <c r="M18" s="102" t="e">
        <f t="shared" si="1"/>
        <v>#VALUE!</v>
      </c>
      <c r="N18" s="103" t="e">
        <f t="shared" si="2"/>
        <v>#VALUE!</v>
      </c>
      <c r="O18" s="102" t="e">
        <f>IF(OR(Flag="Ignore",Flag="Det",Flag="Hole"),"",VertexCalc!Xnorm*Interfaces!Xsag+VertexCalc!Ynorm*Interfaces!Ysag+VertexCalc!Znorm*Interfaces!Zsag)</f>
        <v>#VALUE!</v>
      </c>
      <c r="P18" s="102" t="e">
        <f>IF(OR(Flag="Ignore",Flag="Det",Flag="Hole"),"",VertexCalc!Xsag*Interfaces!Xsag+VertexCalc!Ysag*Interfaces!Ysag+VertexCalc!Zsag*Interfaces!Zsag)</f>
        <v>#VALUE!</v>
      </c>
      <c r="Q18" s="102" t="e">
        <f>IF(OR(Flag="Ignore",Flag="Det",Flag="Hole"),"",VertexCalc!Xtang*Interfaces!Xsag+VertexCalc!Ytang*Interfaces!Ysag+VertexCalc!Ztang*Interfaces!Zsag)</f>
        <v>#VALUE!</v>
      </c>
      <c r="R18" s="101" t="e">
        <f t="shared" si="3"/>
        <v>#VALUE!</v>
      </c>
      <c r="S18" s="102" t="e">
        <f t="shared" si="4"/>
        <v>#VALUE!</v>
      </c>
      <c r="T18" s="103" t="e">
        <f t="shared" si="5"/>
        <v>#VALUE!</v>
      </c>
      <c r="U18" s="28" t="e">
        <f t="shared" si="6"/>
        <v>#VALUE!</v>
      </c>
    </row>
    <row r="19" spans="3:21" ht="13.5" thickBot="1">
      <c r="C19" s="15"/>
      <c r="D19" s="16" t="s">
        <v>119</v>
      </c>
      <c r="E19" s="16" t="s">
        <v>164</v>
      </c>
      <c r="F19" s="104">
        <f>IF(OR(Flag="Ignore",Flag="Det",Flag="Hole"),"",VertexCalc!Xnorm*(Interfaces!Xmirr-VertexCalc!Xmirr)+VertexCalc!Ynorm*(Interfaces!Ymirr-VertexCalc!Ymirr)+VertexCalc!Znorm*(Interfaces!Zmirr-VertexCalc!Zmirr))</f>
      </c>
      <c r="G19" s="105">
        <f>IF(OR(Flag="Ignore",Flag="Det",Flag="Hole"),"",VertexCalc!Xsag*(Interfaces!Xmirr-VertexCalc!Xmirr)+VertexCalc!Ysag*(Interfaces!Ymirr-VertexCalc!Ymirr)+VertexCalc!Zsag*(Interfaces!Zmirr-VertexCalc!Zmirr))</f>
      </c>
      <c r="H19" s="106">
        <f>IF(OR(Flag="Ignore",Flag="Det",Flag="Hole"),"",VertexCalc!Xtang*(Interfaces!Xmirr-VertexCalc!Xmirr)+VertexCalc!Ytang*(Interfaces!Ymirr-VertexCalc!Ymirr)+VertexCalc!Ztang*(Interfaces!Zmirr-VertexCalc!Zmirr))</f>
      </c>
      <c r="I19" s="105">
        <f>IF(OR(Flag="Ignore",Flag="Det",Flag="Hole"),"",VertexCalc!Xnorm*Interfaces!Xnorm+VertexCalc!Ynorm*Interfaces!Ynorm+VertexCalc!Znorm*Interfaces!Znorm)</f>
      </c>
      <c r="J19" s="105">
        <f>IF(OR(Flag="Ignore",Flag="Det",Flag="Hole"),"",VertexCalc!Xsag*Interfaces!Xnorm+VertexCalc!Ysag*Interfaces!Ynorm+VertexCalc!Zsag*Interfaces!Znorm)</f>
      </c>
      <c r="K19" s="105">
        <f>IF(OR(Flag="Ignore",Flag="Det",Flag="Hole"),"",VertexCalc!Xtang*Interfaces!Xnorm+VertexCalc!Ytang*Interfaces!Ynorm+VertexCalc!Ztang*Interfaces!Znorm)</f>
      </c>
      <c r="L19" s="104">
        <f t="shared" si="0"/>
      </c>
      <c r="M19" s="105">
        <f t="shared" si="1"/>
      </c>
      <c r="N19" s="106">
        <f t="shared" si="2"/>
      </c>
      <c r="O19" s="105">
        <f>IF(OR(Flag="Ignore",Flag="Det",Flag="Hole"),"",VertexCalc!Xnorm*Interfaces!Xsag+VertexCalc!Ynorm*Interfaces!Ysag+VertexCalc!Znorm*Interfaces!Zsag)</f>
      </c>
      <c r="P19" s="105">
        <f>IF(OR(Flag="Ignore",Flag="Det",Flag="Hole"),"",VertexCalc!Xsag*Interfaces!Xsag+VertexCalc!Ysag*Interfaces!Ysag+VertexCalc!Zsag*Interfaces!Zsag)</f>
      </c>
      <c r="Q19" s="105">
        <f>IF(OR(Flag="Ignore",Flag="Det",Flag="Hole"),"",VertexCalc!Xtang*Interfaces!Xsag+VertexCalc!Ytang*Interfaces!Ysag+VertexCalc!Ztang*Interfaces!Zsag)</f>
      </c>
      <c r="R19" s="104">
        <f t="shared" si="3"/>
      </c>
      <c r="S19" s="105">
        <f t="shared" si="4"/>
      </c>
      <c r="T19" s="106">
        <f t="shared" si="5"/>
      </c>
      <c r="U19" s="29">
        <f t="shared" si="6"/>
      </c>
    </row>
    <row r="20" spans="4:21" ht="13.5" thickBot="1">
      <c r="D20" s="1" t="s">
        <v>118</v>
      </c>
      <c r="E20" s="1" t="s">
        <v>128</v>
      </c>
      <c r="F20" s="97">
        <f>IF(OR(Flag="Ignore",Flag="Det",Flag="Hole"),"",VertexCalc!Xnorm*(Interfaces!Xmirr-VertexCalc!Xmirr)+VertexCalc!Ynorm*(Interfaces!Ymirr-VertexCalc!Ymirr)+VertexCalc!Znorm*(Interfaces!Zmirr-VertexCalc!Zmirr))</f>
      </c>
      <c r="G20" s="98">
        <f>IF(OR(Flag="Ignore",Flag="Det",Flag="Hole"),"",VertexCalc!Xsag*(Interfaces!Xmirr-VertexCalc!Xmirr)+VertexCalc!Ysag*(Interfaces!Ymirr-VertexCalc!Ymirr)+VertexCalc!Zsag*(Interfaces!Zmirr-VertexCalc!Zmirr))</f>
      </c>
      <c r="H20" s="99">
        <f>IF(OR(Flag="Ignore",Flag="Det",Flag="Hole"),"",VertexCalc!Xtang*(Interfaces!Xmirr-VertexCalc!Xmirr)+VertexCalc!Ytang*(Interfaces!Ymirr-VertexCalc!Ymirr)+VertexCalc!Ztang*(Interfaces!Zmirr-VertexCalc!Zmirr))</f>
      </c>
      <c r="I20" s="98">
        <f>IF(OR(Flag="Ignore",Flag="Det",Flag="Hole"),"",VertexCalc!Xnorm*Interfaces!Xnorm+VertexCalc!Ynorm*Interfaces!Ynorm+VertexCalc!Znorm*Interfaces!Znorm)</f>
      </c>
      <c r="J20" s="98">
        <f>IF(OR(Flag="Ignore",Flag="Det",Flag="Hole"),"",VertexCalc!Xsag*Interfaces!Xnorm+VertexCalc!Ysag*Interfaces!Ynorm+VertexCalc!Zsag*Interfaces!Znorm)</f>
      </c>
      <c r="K20" s="98">
        <f>IF(OR(Flag="Ignore",Flag="Det",Flag="Hole"),"",VertexCalc!Xtang*Interfaces!Xnorm+VertexCalc!Ytang*Interfaces!Ynorm+VertexCalc!Ztang*Interfaces!Znorm)</f>
      </c>
      <c r="L20" s="97">
        <f t="shared" si="0"/>
      </c>
      <c r="M20" s="98">
        <f t="shared" si="1"/>
      </c>
      <c r="N20" s="99">
        <f t="shared" si="2"/>
      </c>
      <c r="O20" s="98">
        <f>IF(OR(Flag="Ignore",Flag="Det",Flag="Hole"),"",VertexCalc!Xnorm*Interfaces!Xsag+VertexCalc!Ynorm*Interfaces!Ysag+VertexCalc!Znorm*Interfaces!Zsag)</f>
      </c>
      <c r="P20" s="98">
        <f>IF(OR(Flag="Ignore",Flag="Det",Flag="Hole"),"",VertexCalc!Xsag*Interfaces!Xsag+VertexCalc!Ysag*Interfaces!Ysag+VertexCalc!Zsag*Interfaces!Zsag)</f>
      </c>
      <c r="Q20" s="98">
        <f>IF(OR(Flag="Ignore",Flag="Det",Flag="Hole"),"",VertexCalc!Xtang*Interfaces!Xsag+VertexCalc!Ytang*Interfaces!Ysag+VertexCalc!Ztang*Interfaces!Zsag)</f>
      </c>
      <c r="R20" s="97">
        <f t="shared" si="3"/>
      </c>
      <c r="S20" s="98">
        <f t="shared" si="4"/>
      </c>
      <c r="T20" s="99">
        <f t="shared" si="5"/>
      </c>
      <c r="U20" s="22">
        <f t="shared" si="6"/>
      </c>
    </row>
    <row r="21" spans="3:21" ht="12.75">
      <c r="C21" s="10" t="s">
        <v>127</v>
      </c>
      <c r="D21" s="11" t="s">
        <v>120</v>
      </c>
      <c r="E21" s="11" t="s">
        <v>392</v>
      </c>
      <c r="F21" s="101">
        <f>IF(OR(Flag="Ignore",Flag="Det",Flag="Hole"),"",VertexCalc!Xnorm*(Interfaces!Xmirr-VertexCalc!Xmirr)+VertexCalc!Ynorm*(Interfaces!Ymirr-VertexCalc!Ymirr)+VertexCalc!Znorm*(Interfaces!Zmirr-VertexCalc!Zmirr))</f>
        <v>0</v>
      </c>
      <c r="G21" s="102">
        <f>IF(OR(Flag="Ignore",Flag="Det",Flag="Hole"),"",VertexCalc!Xsag*(Interfaces!Xmirr-VertexCalc!Xmirr)+VertexCalc!Ysag*(Interfaces!Ymirr-VertexCalc!Ymirr)+VertexCalc!Zsag*(Interfaces!Zmirr-VertexCalc!Zmirr))</f>
        <v>0</v>
      </c>
      <c r="H21" s="103">
        <f>IF(OR(Flag="Ignore",Flag="Det",Flag="Hole"),"",VertexCalc!Xtang*(Interfaces!Xmirr-VertexCalc!Xmirr)+VertexCalc!Ytang*(Interfaces!Ymirr-VertexCalc!Ymirr)+VertexCalc!Ztang*(Interfaces!Zmirr-VertexCalc!Zmirr))</f>
        <v>0</v>
      </c>
      <c r="I21" s="102">
        <f>IF(OR(Flag="Ignore",Flag="Det",Flag="Hole"),"",VertexCalc!Xnorm*Interfaces!Xnorm+VertexCalc!Ynorm*Interfaces!Ynorm+VertexCalc!Znorm*Interfaces!Znorm)</f>
        <v>-1</v>
      </c>
      <c r="J21" s="102">
        <f>IF(OR(Flag="Ignore",Flag="Det",Flag="Hole"),"",VertexCalc!Xsag*Interfaces!Xnorm+VertexCalc!Ysag*Interfaces!Ynorm+VertexCalc!Zsag*Interfaces!Znorm)</f>
        <v>0</v>
      </c>
      <c r="K21" s="102">
        <f>IF(OR(Flag="Ignore",Flag="Det",Flag="Hole"),"",VertexCalc!Xtang*Interfaces!Xnorm+VertexCalc!Ytang*Interfaces!Ynorm+VertexCalc!Ztang*Interfaces!Znorm)</f>
        <v>0</v>
      </c>
      <c r="L21" s="101">
        <f t="shared" si="0"/>
        <v>-1</v>
      </c>
      <c r="M21" s="102">
        <f t="shared" si="1"/>
        <v>0</v>
      </c>
      <c r="N21" s="103">
        <f t="shared" si="2"/>
        <v>0</v>
      </c>
      <c r="O21" s="102">
        <f>IF(OR(Flag="Ignore",Flag="Det",Flag="Hole"),"",VertexCalc!Xnorm*Interfaces!Xsag+VertexCalc!Ynorm*Interfaces!Ysag+VertexCalc!Znorm*Interfaces!Zsag)</f>
        <v>0</v>
      </c>
      <c r="P21" s="102">
        <f>IF(OR(Flag="Ignore",Flag="Det",Flag="Hole"),"",VertexCalc!Xsag*Interfaces!Xsag+VertexCalc!Ysag*Interfaces!Ysag+VertexCalc!Zsag*Interfaces!Zsag)</f>
        <v>1</v>
      </c>
      <c r="Q21" s="102">
        <f>IF(OR(Flag="Ignore",Flag="Det",Flag="Hole"),"",VertexCalc!Xtang*Interfaces!Xsag+VertexCalc!Ytang*Interfaces!Ysag+VertexCalc!Ztang*Interfaces!Zsag)</f>
        <v>0</v>
      </c>
      <c r="R21" s="101">
        <f t="shared" si="3"/>
        <v>0</v>
      </c>
      <c r="S21" s="102">
        <f t="shared" si="4"/>
        <v>1</v>
      </c>
      <c r="T21" s="103">
        <f t="shared" si="5"/>
        <v>0</v>
      </c>
      <c r="U21" s="28">
        <f t="shared" si="6"/>
        <v>90</v>
      </c>
    </row>
    <row r="22" spans="3:21" ht="13.5" thickBot="1">
      <c r="C22" s="15"/>
      <c r="D22" s="16" t="s">
        <v>121</v>
      </c>
      <c r="E22" s="16" t="s">
        <v>164</v>
      </c>
      <c r="F22" s="104">
        <f>IF(OR(Flag="Ignore",Flag="Det",Flag="Hole"),"",VertexCalc!Xnorm*(Interfaces!Xmirr-VertexCalc!Xmirr)+VertexCalc!Ynorm*(Interfaces!Ymirr-VertexCalc!Ymirr)+VertexCalc!Znorm*(Interfaces!Zmirr-VertexCalc!Zmirr))</f>
      </c>
      <c r="G22" s="105">
        <f>IF(OR(Flag="Ignore",Flag="Det",Flag="Hole"),"",VertexCalc!Xsag*(Interfaces!Xmirr-VertexCalc!Xmirr)+VertexCalc!Ysag*(Interfaces!Ymirr-VertexCalc!Ymirr)+VertexCalc!Zsag*(Interfaces!Zmirr-VertexCalc!Zmirr))</f>
      </c>
      <c r="H22" s="106">
        <f>IF(OR(Flag="Ignore",Flag="Det",Flag="Hole"),"",VertexCalc!Xtang*(Interfaces!Xmirr-VertexCalc!Xmirr)+VertexCalc!Ytang*(Interfaces!Ymirr-VertexCalc!Ymirr)+VertexCalc!Ztang*(Interfaces!Zmirr-VertexCalc!Zmirr))</f>
      </c>
      <c r="I22" s="105">
        <f>IF(OR(Flag="Ignore",Flag="Det",Flag="Hole"),"",VertexCalc!Xnorm*Interfaces!Xnorm+VertexCalc!Ynorm*Interfaces!Ynorm+VertexCalc!Znorm*Interfaces!Znorm)</f>
      </c>
      <c r="J22" s="105">
        <f>IF(OR(Flag="Ignore",Flag="Det",Flag="Hole"),"",VertexCalc!Xsag*Interfaces!Xnorm+VertexCalc!Ysag*Interfaces!Ynorm+VertexCalc!Zsag*Interfaces!Znorm)</f>
      </c>
      <c r="K22" s="105">
        <f>IF(OR(Flag="Ignore",Flag="Det",Flag="Hole"),"",VertexCalc!Xtang*Interfaces!Xnorm+VertexCalc!Ytang*Interfaces!Ynorm+VertexCalc!Ztang*Interfaces!Znorm)</f>
      </c>
      <c r="L22" s="104">
        <f t="shared" si="0"/>
      </c>
      <c r="M22" s="105">
        <f t="shared" si="1"/>
      </c>
      <c r="N22" s="106">
        <f t="shared" si="2"/>
      </c>
      <c r="O22" s="105">
        <f>IF(OR(Flag="Ignore",Flag="Det",Flag="Hole"),"",VertexCalc!Xnorm*Interfaces!Xsag+VertexCalc!Ynorm*Interfaces!Ysag+VertexCalc!Znorm*Interfaces!Zsag)</f>
      </c>
      <c r="P22" s="105">
        <f>IF(OR(Flag="Ignore",Flag="Det",Flag="Hole"),"",VertexCalc!Xsag*Interfaces!Xsag+VertexCalc!Ysag*Interfaces!Ysag+VertexCalc!Zsag*Interfaces!Zsag)</f>
      </c>
      <c r="Q22" s="105">
        <f>IF(OR(Flag="Ignore",Flag="Det",Flag="Hole"),"",VertexCalc!Xtang*Interfaces!Xsag+VertexCalc!Ytang*Interfaces!Ysag+VertexCalc!Ztang*Interfaces!Zsag)</f>
      </c>
      <c r="R22" s="104">
        <f t="shared" si="3"/>
      </c>
      <c r="S22" s="105">
        <f t="shared" si="4"/>
      </c>
      <c r="T22" s="106">
        <f t="shared" si="5"/>
      </c>
      <c r="U22" s="29">
        <f t="shared" si="6"/>
      </c>
    </row>
    <row r="23" ht="12.75">
      <c r="A23" s="26" t="s">
        <v>140</v>
      </c>
    </row>
    <row r="24" spans="1:3" ht="12.75">
      <c r="A24" s="1" t="s">
        <v>17</v>
      </c>
      <c r="B24" s="1" t="str">
        <f>"-Zsyno"</f>
        <v>-Zsyno</v>
      </c>
      <c r="C24" s="1" t="s">
        <v>130</v>
      </c>
    </row>
    <row r="25" spans="1:3" ht="12.75">
      <c r="A25" s="1" t="s">
        <v>81</v>
      </c>
      <c r="B25" s="1" t="s">
        <v>136</v>
      </c>
      <c r="C25" s="1" t="s">
        <v>131</v>
      </c>
    </row>
    <row r="26" spans="1:3" ht="12.75">
      <c r="A26" s="1" t="s">
        <v>82</v>
      </c>
      <c r="B26" s="1" t="s">
        <v>137</v>
      </c>
      <c r="C26" s="1" t="s">
        <v>132</v>
      </c>
    </row>
  </sheetData>
  <printOptions/>
  <pageMargins left="0.31" right="0.33" top="0.984251968503937" bottom="0.984251968503937" header="0.5118110236220472" footer="0.5118110236220472"/>
  <pageSetup horizontalDpi="600" verticalDpi="600" orientation="landscape" paperSize="9" scale="65" r:id="rId1"/>
  <headerFooter alignWithMargins="0">
    <oddHeader>&amp;L&amp;F, &amp;A&amp;R&amp;T, &amp;D</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X38"/>
  <sheetViews>
    <sheetView zoomScale="80" zoomScaleNormal="80" workbookViewId="0" topLeftCell="C1">
      <selection activeCell="T6" sqref="T6"/>
    </sheetView>
  </sheetViews>
  <sheetFormatPr defaultColWidth="12" defaultRowHeight="12.75"/>
  <cols>
    <col min="1" max="2" width="12" style="61" customWidth="1"/>
    <col min="3" max="3" width="20.16015625" style="61" customWidth="1"/>
    <col min="4" max="4" width="12" style="61" customWidth="1"/>
    <col min="5" max="5" width="8.83203125" style="61" customWidth="1"/>
    <col min="6" max="8" width="10.83203125" style="36" customWidth="1"/>
    <col min="9" max="9" width="12.33203125" style="36" customWidth="1"/>
    <col min="10" max="10" width="9.5" style="36" customWidth="1"/>
    <col min="11" max="11" width="11" style="36" customWidth="1"/>
    <col min="12" max="12" width="12.16015625" style="36" customWidth="1"/>
    <col min="13" max="15" width="8.83203125" style="36" customWidth="1"/>
    <col min="16" max="16" width="12" style="51" customWidth="1"/>
    <col min="17" max="18" width="9.33203125" style="51" customWidth="1"/>
    <col min="19" max="22" width="9.33203125" style="36" customWidth="1"/>
    <col min="23" max="23" width="12" style="36" customWidth="1"/>
    <col min="24" max="16384" width="12" style="61" customWidth="1"/>
  </cols>
  <sheetData>
    <row r="1" spans="3:23" s="59" customFormat="1" ht="12.75">
      <c r="C1" s="59" t="s">
        <v>129</v>
      </c>
      <c r="D1" s="59" t="s">
        <v>2</v>
      </c>
      <c r="E1" s="59" t="s">
        <v>162</v>
      </c>
      <c r="F1" s="38" t="str">
        <f>"X"&amp;Ray</f>
        <v>Xgut</v>
      </c>
      <c r="G1" s="38" t="str">
        <f>"Y"&amp;Ray</f>
        <v>Ygut</v>
      </c>
      <c r="H1" s="38" t="str">
        <f>"Z"&amp;Ray</f>
        <v>Zgut</v>
      </c>
      <c r="I1" s="38" t="s">
        <v>141</v>
      </c>
      <c r="J1" s="38" t="s">
        <v>142</v>
      </c>
      <c r="K1" s="38" t="s">
        <v>143</v>
      </c>
      <c r="L1" s="38" t="s">
        <v>144</v>
      </c>
      <c r="M1" s="38" t="s">
        <v>145</v>
      </c>
      <c r="N1" s="38" t="s">
        <v>146</v>
      </c>
      <c r="O1" s="38" t="s">
        <v>147</v>
      </c>
      <c r="P1" s="60" t="s">
        <v>148</v>
      </c>
      <c r="Q1" s="60" t="s">
        <v>149</v>
      </c>
      <c r="R1" s="60" t="s">
        <v>150</v>
      </c>
      <c r="S1" s="38" t="s">
        <v>151</v>
      </c>
      <c r="T1" s="38" t="s">
        <v>14</v>
      </c>
      <c r="U1" s="38" t="s">
        <v>15</v>
      </c>
      <c r="V1" s="38" t="s">
        <v>16</v>
      </c>
      <c r="W1" s="38" t="s">
        <v>404</v>
      </c>
    </row>
    <row r="2" spans="2:24" ht="13.5" thickBot="1">
      <c r="B2" s="61" t="s">
        <v>44</v>
      </c>
      <c r="C2" s="61" t="str">
        <f>GutRay!J4</f>
        <v>(BOLPHT154)</v>
      </c>
      <c r="D2" s="61" t="s">
        <v>93</v>
      </c>
      <c r="E2" s="61" t="s">
        <v>128</v>
      </c>
      <c r="F2" s="36">
        <f ca="1">INDIRECT("RayImpacts!"&amp;F$1)</f>
        <v>3252.162</v>
      </c>
      <c r="G2" s="36">
        <f ca="1" t="shared" si="0" ref="G2:H17">INDIRECT("RayImpacts!"&amp;G$1)</f>
        <v>0</v>
      </c>
      <c r="H2" s="36">
        <f ca="1" t="shared" si="0"/>
        <v>61.173748</v>
      </c>
      <c r="I2" s="36">
        <f>IF(Flag="Ignore","",F2-F1)</f>
      </c>
      <c r="J2" s="36">
        <f>IF(Flag="Ignore","",G2-G1)</f>
      </c>
      <c r="K2" s="36">
        <f>IF(Flag="Ignore","",H2-H1)</f>
      </c>
      <c r="L2" s="36">
        <f aca="true" t="shared" si="1" ref="L2:L22">IF(Flag="ignore","",SQRT(Xdiff^2+Ydiff^2+Zdiff^2))</f>
      </c>
      <c r="M2" s="36">
        <f aca="true" t="shared" si="2" ref="M2:M22">IF(Flag="ignore","",Xdiff/DiffMod)</f>
      </c>
      <c r="N2" s="36">
        <f aca="true" t="shared" si="3" ref="N2:N22">IF(Flag="ignore","",Ydiff/DiffMod)</f>
      </c>
      <c r="O2" s="36">
        <f aca="true" t="shared" si="4" ref="O2:O22">IF(Flag="ignore","",Zdiff/DiffMod)</f>
      </c>
      <c r="P2" s="51">
        <f>IF(OR(Flag="Ignore",Flag="Det",Flag="Hole"),"",M3-Xray)</f>
      </c>
      <c r="Q2" s="51">
        <f>IF(OR(Flag="Ignore",Flag="Det",Flag="Hole"),"",N3-Yray)</f>
      </c>
      <c r="R2" s="51">
        <f>IF(OR(Flag="Ignore",Flag="Det",Flag="Hole"),"",O3-Zray)</f>
      </c>
      <c r="S2" s="36">
        <f>IF(OR(Flag="Ignore",Flag="Det",Flag="Hole"),"",SQRT(dXray^2+dYray^2+dZray^2))</f>
      </c>
      <c r="T2" s="36">
        <f>IF(OR(Flag="Ignore",Flag="Det",Flag="Hole"),"",dXray/drayMod)</f>
      </c>
      <c r="U2" s="36">
        <f>IF(OR(Flag="Ignore",Flag="Det",Flag="Hole"),"",dYray/drayMod)</f>
      </c>
      <c r="V2" s="36">
        <f>IF(OR(Flag="Ignore",Flag="Det",Flag="Hole"),"",dZray/drayMod)</f>
      </c>
      <c r="W2" s="36">
        <f>IF(OR(Flag="Ignore",Flag="Det",Flag="Hole"),"",SIGN(Xnorm))</f>
      </c>
      <c r="X2" s="61" t="e">
        <f>Xnorm*VertexCalc!Xnorm+Ynorm*VertexCalc!Ynorm+Znorm*VertexCalc!Znorm</f>
        <v>#VALUE!</v>
      </c>
    </row>
    <row r="3" spans="3:24" ht="12.75">
      <c r="C3" s="62" t="s">
        <v>122</v>
      </c>
      <c r="D3" s="63" t="s">
        <v>94</v>
      </c>
      <c r="E3" s="63"/>
      <c r="F3" s="54">
        <f ca="1" t="shared" si="5" ref="F3:H22">INDIRECT("RayImpacts!"&amp;F$1)</f>
        <v>1252.590842</v>
      </c>
      <c r="G3" s="54">
        <f ca="1" t="shared" si="0"/>
        <v>0</v>
      </c>
      <c r="H3" s="54">
        <f ca="1" t="shared" si="0"/>
        <v>54.789529</v>
      </c>
      <c r="I3" s="54">
        <f aca="true" t="shared" si="6" ref="I3:I22">IF(Flag="Ignore","",F3-F2)</f>
        <v>-1999.5711579999997</v>
      </c>
      <c r="J3" s="54">
        <f aca="true" t="shared" si="7" ref="J3:J22">IF(Flag="Ignore","",G3-G2)</f>
        <v>0</v>
      </c>
      <c r="K3" s="54">
        <f aca="true" t="shared" si="8" ref="K3:K22">IF(Flag="Ignore","",H3-H2)</f>
        <v>-6.384219000000002</v>
      </c>
      <c r="L3" s="54">
        <f t="shared" si="1"/>
        <v>1999.5813497224112</v>
      </c>
      <c r="M3" s="54">
        <f t="shared" si="2"/>
        <v>-0.9999949030718791</v>
      </c>
      <c r="N3" s="54">
        <f t="shared" si="3"/>
        <v>0</v>
      </c>
      <c r="O3" s="54">
        <f t="shared" si="4"/>
        <v>-0.003192777828662125</v>
      </c>
      <c r="P3" s="54">
        <f aca="true" t="shared" si="9" ref="P3:P22">IF(OR(Flag="Ignore",Flag="Det",Flag="Hole"),"",M4-Xray)</f>
        <v>1.999399888027809</v>
      </c>
      <c r="Q3" s="54">
        <f aca="true" t="shared" si="10" ref="Q3:Q22">IF(OR(Flag="Ignore",Flag="Det",Flag="Hole"),"",N4-Yray)</f>
        <v>0</v>
      </c>
      <c r="R3" s="54">
        <f aca="true" t="shared" si="11" ref="R3:R22">IF(OR(Flag="Ignore",Flag="Det",Flag="Hole"),"",O4-Zray)</f>
        <v>-0.03129890298335011</v>
      </c>
      <c r="S3" s="54">
        <f aca="true" t="shared" si="12" ref="S3:S22">IF(OR(Flag="Ignore",Flag="Det",Flag="Hole"),"",SQRT(dXray^2+dYray^2+dZray^2))</f>
        <v>1.9996448518608438</v>
      </c>
      <c r="T3" s="54">
        <f aca="true" t="shared" si="13" ref="T3:T22">IF(OR(Flag="Ignore",Flag="Det",Flag="Hole"),"",dXray/drayMod)</f>
        <v>0.9998774963300073</v>
      </c>
      <c r="U3" s="54">
        <f aca="true" t="shared" si="14" ref="U3:U22">IF(OR(Flag="Ignore",Flag="Det",Flag="Hole"),"",dYray/drayMod)</f>
        <v>0</v>
      </c>
      <c r="V3" s="54">
        <f aca="true" t="shared" si="15" ref="V3:V22">IF(OR(Flag="Ignore",Flag="Det",Flag="Hole"),"",dZray/drayMod)</f>
        <v>-0.015652230922017854</v>
      </c>
      <c r="W3" s="55">
        <f aca="true" t="shared" si="16" ref="W3:W22">IF(OR(Flag="Ignore",Flag="Det",Flag="Hole"),"",SIGN(Xnorm))</f>
        <v>1</v>
      </c>
      <c r="X3" s="61">
        <f>Xnorm*VertexCalc!Xnorm+Ynorm*VertexCalc!Ynorm+Znorm*VertexCalc!Znorm</f>
        <v>-0.9998774963300073</v>
      </c>
    </row>
    <row r="4" spans="3:24" ht="13.5" thickBot="1">
      <c r="C4" s="64"/>
      <c r="D4" s="65" t="s">
        <v>95</v>
      </c>
      <c r="E4" s="65"/>
      <c r="F4" s="57">
        <f ca="1" t="shared" si="5"/>
        <v>2840.131</v>
      </c>
      <c r="G4" s="57">
        <f ca="1" t="shared" si="0"/>
        <v>0</v>
      </c>
      <c r="H4" s="57">
        <f ca="1" t="shared" si="0"/>
        <v>1.42E-14</v>
      </c>
      <c r="I4" s="57">
        <f t="shared" si="6"/>
        <v>1587.5401579999998</v>
      </c>
      <c r="J4" s="57">
        <f t="shared" si="7"/>
        <v>0</v>
      </c>
      <c r="K4" s="57">
        <f t="shared" si="8"/>
        <v>-54.78952899999999</v>
      </c>
      <c r="L4" s="57">
        <f t="shared" si="1"/>
        <v>1588.4853306690327</v>
      </c>
      <c r="M4" s="57">
        <f t="shared" si="2"/>
        <v>0.9994049849559298</v>
      </c>
      <c r="N4" s="57">
        <f t="shared" si="3"/>
        <v>0</v>
      </c>
      <c r="O4" s="57">
        <f t="shared" si="4"/>
        <v>-0.03449168081201224</v>
      </c>
      <c r="P4" s="57">
        <f t="shared" si="9"/>
        <v>-1.998809969901099</v>
      </c>
      <c r="Q4" s="57">
        <f t="shared" si="10"/>
        <v>0</v>
      </c>
      <c r="R4" s="57">
        <f t="shared" si="11"/>
        <v>-3.1179230725042473E-10</v>
      </c>
      <c r="S4" s="57">
        <f t="shared" si="12"/>
        <v>1.998809969901099</v>
      </c>
      <c r="T4" s="57">
        <f t="shared" si="13"/>
        <v>-1</v>
      </c>
      <c r="U4" s="57">
        <f t="shared" si="14"/>
        <v>0</v>
      </c>
      <c r="V4" s="57">
        <f t="shared" si="15"/>
        <v>-1.5598896940955931E-10</v>
      </c>
      <c r="W4" s="58">
        <f t="shared" si="16"/>
        <v>-1</v>
      </c>
      <c r="X4" s="61">
        <f>Xnorm*VertexCalc!Xnorm+Ynorm*VertexCalc!Ynorm+Znorm*VertexCalc!Znorm</f>
        <v>1</v>
      </c>
    </row>
    <row r="5" spans="1:24" ht="13.5" thickBot="1">
      <c r="A5" s="61" t="s">
        <v>3</v>
      </c>
      <c r="B5" s="66" t="s">
        <v>153</v>
      </c>
      <c r="C5" s="62" t="s">
        <v>123</v>
      </c>
      <c r="D5" s="63" t="s">
        <v>96</v>
      </c>
      <c r="E5" s="63" t="s">
        <v>163</v>
      </c>
      <c r="F5" s="54">
        <f ca="1" t="shared" si="5"/>
        <v>228.382426</v>
      </c>
      <c r="G5" s="54">
        <f ca="1" t="shared" si="0"/>
        <v>0</v>
      </c>
      <c r="H5" s="54">
        <f ca="1" t="shared" si="0"/>
        <v>-90.137232</v>
      </c>
      <c r="I5" s="54">
        <f t="shared" si="6"/>
        <v>-2611.7485739999997</v>
      </c>
      <c r="J5" s="54">
        <f t="shared" si="7"/>
        <v>0</v>
      </c>
      <c r="K5" s="54">
        <f t="shared" si="8"/>
        <v>-90.13723200000001</v>
      </c>
      <c r="L5" s="54">
        <f t="shared" si="1"/>
        <v>2613.303528942563</v>
      </c>
      <c r="M5" s="54">
        <f t="shared" si="2"/>
        <v>-0.9994049849451693</v>
      </c>
      <c r="N5" s="54">
        <f t="shared" si="3"/>
        <v>0</v>
      </c>
      <c r="O5" s="54">
        <f t="shared" si="4"/>
        <v>-0.034491681123804546</v>
      </c>
      <c r="P5" s="54">
        <f t="shared" si="9"/>
      </c>
      <c r="Q5" s="54">
        <f t="shared" si="10"/>
      </c>
      <c r="R5" s="54">
        <f t="shared" si="11"/>
      </c>
      <c r="S5" s="54">
        <f t="shared" si="12"/>
      </c>
      <c r="T5" s="54">
        <f t="shared" si="13"/>
      </c>
      <c r="U5" s="54">
        <f t="shared" si="14"/>
      </c>
      <c r="V5" s="54">
        <f t="shared" si="15"/>
      </c>
      <c r="W5" s="55">
        <f t="shared" si="16"/>
      </c>
      <c r="X5" s="61" t="e">
        <f>Xnorm*VertexCalc!Xnorm+Ynorm*VertexCalc!Ynorm+Znorm*VertexCalc!Znorm</f>
        <v>#VALUE!</v>
      </c>
    </row>
    <row r="6" spans="3:24" ht="12.75">
      <c r="C6" s="67"/>
      <c r="D6" s="68" t="s">
        <v>97</v>
      </c>
      <c r="E6" s="68"/>
      <c r="F6" s="51">
        <f ca="1" t="shared" si="5"/>
        <v>131.141755</v>
      </c>
      <c r="G6" s="51">
        <f ca="1" t="shared" si="0"/>
        <v>0</v>
      </c>
      <c r="H6" s="51">
        <f ca="1" t="shared" si="0"/>
        <v>-93.493223</v>
      </c>
      <c r="I6" s="51">
        <f t="shared" si="6"/>
        <v>-97.24067100000002</v>
      </c>
      <c r="J6" s="51">
        <f t="shared" si="7"/>
        <v>0</v>
      </c>
      <c r="K6" s="51">
        <f t="shared" si="8"/>
        <v>-3.355991000000003</v>
      </c>
      <c r="L6" s="51">
        <f t="shared" si="1"/>
        <v>97.29856510823953</v>
      </c>
      <c r="M6" s="51">
        <f t="shared" si="2"/>
        <v>-0.9994049849740836</v>
      </c>
      <c r="N6" s="51">
        <f t="shared" si="3"/>
        <v>0</v>
      </c>
      <c r="O6" s="51">
        <f t="shared" si="4"/>
        <v>-0.03449168028600052</v>
      </c>
      <c r="P6" s="51">
        <f t="shared" si="9"/>
        <v>1.8658356616373974</v>
      </c>
      <c r="Q6" s="51">
        <f t="shared" si="10"/>
        <v>0</v>
      </c>
      <c r="R6" s="51">
        <f t="shared" si="11"/>
        <v>-0.4648057085883576</v>
      </c>
      <c r="S6" s="51">
        <f t="shared" si="12"/>
        <v>1.9228590855739247</v>
      </c>
      <c r="T6" s="51">
        <f t="shared" si="13"/>
        <v>0.970344460306873</v>
      </c>
      <c r="U6" s="51">
        <f t="shared" si="14"/>
        <v>0</v>
      </c>
      <c r="V6" s="51">
        <f t="shared" si="15"/>
        <v>-0.2417263501394981</v>
      </c>
      <c r="W6" s="52">
        <f t="shared" si="16"/>
        <v>1</v>
      </c>
      <c r="X6" s="61">
        <f>Xnorm*VertexCalc!Xnorm+Ynorm*VertexCalc!Ynorm+Znorm*VertexCalc!Znorm</f>
        <v>-0.9227289004976345</v>
      </c>
    </row>
    <row r="7" spans="3:24" ht="12.75">
      <c r="C7" s="67"/>
      <c r="D7" s="68" t="s">
        <v>99</v>
      </c>
      <c r="E7" s="68"/>
      <c r="F7" s="51">
        <f ca="1" t="shared" si="5"/>
        <v>316.12521200000003</v>
      </c>
      <c r="G7" s="51">
        <f ca="1" t="shared" si="0"/>
        <v>0</v>
      </c>
      <c r="H7" s="51">
        <f ca="1" t="shared" si="0"/>
        <v>-200.093508</v>
      </c>
      <c r="I7" s="51">
        <f t="shared" si="6"/>
        <v>184.98345700000004</v>
      </c>
      <c r="J7" s="51">
        <f t="shared" si="7"/>
        <v>0</v>
      </c>
      <c r="K7" s="51">
        <f t="shared" si="8"/>
        <v>-106.60028500000001</v>
      </c>
      <c r="L7" s="51">
        <f t="shared" si="1"/>
        <v>213.50058577379147</v>
      </c>
      <c r="M7" s="51">
        <f t="shared" si="2"/>
        <v>0.866430676663314</v>
      </c>
      <c r="N7" s="51">
        <f t="shared" si="3"/>
        <v>0</v>
      </c>
      <c r="O7" s="51">
        <f t="shared" si="4"/>
        <v>-0.49929738887435815</v>
      </c>
      <c r="P7" s="51">
        <f t="shared" si="9"/>
        <v>-1.8610736312590093</v>
      </c>
      <c r="Q7" s="51">
        <f t="shared" si="10"/>
        <v>0</v>
      </c>
      <c r="R7" s="51">
        <f t="shared" si="11"/>
        <v>0.6026675628760769</v>
      </c>
      <c r="S7" s="51">
        <f t="shared" si="12"/>
        <v>1.9562216777018357</v>
      </c>
      <c r="T7" s="51">
        <f t="shared" si="13"/>
        <v>-0.951361316804031</v>
      </c>
      <c r="U7" s="51">
        <f t="shared" si="14"/>
        <v>0</v>
      </c>
      <c r="V7" s="51">
        <f t="shared" si="15"/>
        <v>0.3080773358897082</v>
      </c>
      <c r="W7" s="52">
        <f t="shared" si="16"/>
        <v>-1</v>
      </c>
      <c r="X7" s="61">
        <f>Xnorm*VertexCalc!Xnorm+Ynorm*VertexCalc!Ynorm+Znorm*VertexCalc!Znorm</f>
        <v>1</v>
      </c>
    </row>
    <row r="8" spans="3:24" ht="13.5" thickBot="1">
      <c r="C8" s="64"/>
      <c r="D8" s="65" t="s">
        <v>100</v>
      </c>
      <c r="E8" s="65"/>
      <c r="F8" s="57">
        <f ca="1" t="shared" si="5"/>
        <v>119.782648</v>
      </c>
      <c r="G8" s="57">
        <f ca="1" t="shared" si="0"/>
        <v>0</v>
      </c>
      <c r="H8" s="57">
        <f ca="1" t="shared" si="0"/>
        <v>-179.688231</v>
      </c>
      <c r="I8" s="57">
        <f t="shared" si="6"/>
        <v>-196.34256400000004</v>
      </c>
      <c r="J8" s="57">
        <f t="shared" si="7"/>
        <v>0</v>
      </c>
      <c r="K8" s="57">
        <f t="shared" si="8"/>
        <v>20.405277000000012</v>
      </c>
      <c r="L8" s="57">
        <f t="shared" si="1"/>
        <v>197.4000450038977</v>
      </c>
      <c r="M8" s="57">
        <f t="shared" si="2"/>
        <v>-0.9946429545956953</v>
      </c>
      <c r="N8" s="57">
        <f t="shared" si="3"/>
        <v>0</v>
      </c>
      <c r="O8" s="57">
        <f t="shared" si="4"/>
        <v>0.10337017400171872</v>
      </c>
      <c r="P8" s="57">
        <f t="shared" si="9"/>
        <v>1.90563526113036</v>
      </c>
      <c r="Q8" s="57">
        <f t="shared" si="10"/>
        <v>0</v>
      </c>
      <c r="R8" s="57">
        <f t="shared" si="11"/>
        <v>-0.5157935213459877</v>
      </c>
      <c r="S8" s="57">
        <f t="shared" si="12"/>
        <v>1.9742058416299626</v>
      </c>
      <c r="T8" s="57">
        <f t="shared" si="13"/>
        <v>0.9652667523043146</v>
      </c>
      <c r="U8" s="57">
        <f t="shared" si="14"/>
        <v>0</v>
      </c>
      <c r="V8" s="57">
        <f t="shared" si="15"/>
        <v>-0.26126633326144616</v>
      </c>
      <c r="W8" s="58">
        <f t="shared" si="16"/>
        <v>1</v>
      </c>
      <c r="X8" s="61">
        <f>Xnorm*VertexCalc!Xnorm+Ynorm*VertexCalc!Ynorm+Znorm*VertexCalc!Znorm</f>
        <v>-0.9999999999947956</v>
      </c>
    </row>
    <row r="9" spans="3:24" ht="12.75">
      <c r="C9" s="62" t="s">
        <v>124</v>
      </c>
      <c r="D9" s="63" t="s">
        <v>103</v>
      </c>
      <c r="E9" s="63"/>
      <c r="F9" s="54">
        <f ca="1" t="shared" si="5"/>
        <v>296.150648</v>
      </c>
      <c r="G9" s="54">
        <f ca="1" t="shared" si="0"/>
        <v>0</v>
      </c>
      <c r="H9" s="54">
        <f ca="1" t="shared" si="0"/>
        <v>-259.533341</v>
      </c>
      <c r="I9" s="54">
        <f t="shared" si="6"/>
        <v>176.368</v>
      </c>
      <c r="J9" s="54">
        <f t="shared" si="7"/>
        <v>0</v>
      </c>
      <c r="K9" s="54">
        <f t="shared" si="8"/>
        <v>-79.84511</v>
      </c>
      <c r="L9" s="54">
        <f t="shared" si="1"/>
        <v>193.5998786541771</v>
      </c>
      <c r="M9" s="54">
        <f t="shared" si="2"/>
        <v>0.9109923065346647</v>
      </c>
      <c r="N9" s="54">
        <f t="shared" si="3"/>
        <v>0</v>
      </c>
      <c r="O9" s="54">
        <f t="shared" si="4"/>
        <v>-0.41242334734426894</v>
      </c>
      <c r="P9" s="54">
        <f t="shared" si="9"/>
        <v>-1.9061472171467488</v>
      </c>
      <c r="Q9" s="54">
        <f t="shared" si="10"/>
        <v>0</v>
      </c>
      <c r="R9" s="54">
        <f t="shared" si="11"/>
        <v>0.3141039500482362</v>
      </c>
      <c r="S9" s="54">
        <f t="shared" si="12"/>
        <v>1.9318536447858052</v>
      </c>
      <c r="T9" s="54">
        <f t="shared" si="13"/>
        <v>-0.98669338761327</v>
      </c>
      <c r="U9" s="54">
        <f t="shared" si="14"/>
        <v>0</v>
      </c>
      <c r="V9" s="54">
        <f t="shared" si="15"/>
        <v>0.16259200115703515</v>
      </c>
      <c r="W9" s="55">
        <f t="shared" si="16"/>
        <v>-1</v>
      </c>
      <c r="X9" s="61">
        <f>Xnorm*VertexCalc!Xnorm+Ynorm*VertexCalc!Ynorm+Znorm*VertexCalc!Znorm</f>
        <v>0.9999999999999221</v>
      </c>
    </row>
    <row r="10" spans="3:24" ht="12.75">
      <c r="C10" s="67"/>
      <c r="D10" s="68" t="s">
        <v>106</v>
      </c>
      <c r="E10" s="68"/>
      <c r="F10" s="51">
        <f ca="1" t="shared" si="5"/>
        <v>94.233987</v>
      </c>
      <c r="G10" s="51">
        <f ca="1" t="shared" si="0"/>
        <v>0</v>
      </c>
      <c r="H10" s="51">
        <f ca="1" t="shared" si="0"/>
        <v>-279.48232</v>
      </c>
      <c r="I10" s="51">
        <f t="shared" si="6"/>
        <v>-201.91666099999998</v>
      </c>
      <c r="J10" s="51">
        <f t="shared" si="7"/>
        <v>0</v>
      </c>
      <c r="K10" s="51">
        <f t="shared" si="8"/>
        <v>-19.94897900000001</v>
      </c>
      <c r="L10" s="51">
        <f t="shared" si="1"/>
        <v>202.89972832049665</v>
      </c>
      <c r="M10" s="51">
        <f t="shared" si="2"/>
        <v>-0.995154910612084</v>
      </c>
      <c r="N10" s="51">
        <f t="shared" si="3"/>
        <v>0</v>
      </c>
      <c r="O10" s="51">
        <f t="shared" si="4"/>
        <v>-0.0983193972960327</v>
      </c>
      <c r="P10" s="51">
        <f t="shared" si="9"/>
        <v>1.7729877587531047</v>
      </c>
      <c r="Q10" s="51">
        <f t="shared" si="10"/>
        <v>0</v>
      </c>
      <c r="R10" s="51">
        <f t="shared" si="11"/>
        <v>-0.530151811553528</v>
      </c>
      <c r="S10" s="51">
        <f t="shared" si="12"/>
        <v>1.8505530351713362</v>
      </c>
      <c r="T10" s="51">
        <f t="shared" si="13"/>
        <v>0.9580853534354123</v>
      </c>
      <c r="U10" s="51">
        <f t="shared" si="14"/>
        <v>0</v>
      </c>
      <c r="V10" s="51">
        <f t="shared" si="15"/>
        <v>-0.2864829061786079</v>
      </c>
      <c r="W10" s="52">
        <f t="shared" si="16"/>
        <v>1</v>
      </c>
      <c r="X10" s="61">
        <f>Xnorm*VertexCalc!Xnorm+Ynorm*VertexCalc!Ynorm+Znorm*VertexCalc!Znorm</f>
        <v>-0.9999999999981763</v>
      </c>
    </row>
    <row r="11" spans="3:24" ht="12.75">
      <c r="C11" s="67"/>
      <c r="D11" s="68" t="s">
        <v>109</v>
      </c>
      <c r="E11" s="68"/>
      <c r="F11" s="51">
        <f ca="1" t="shared" si="5"/>
        <v>240.466374</v>
      </c>
      <c r="G11" s="51">
        <f ca="1" t="shared" si="0"/>
        <v>0</v>
      </c>
      <c r="H11" s="51">
        <f ca="1" t="shared" si="0"/>
        <v>-397.634755</v>
      </c>
      <c r="I11" s="51">
        <f t="shared" si="6"/>
        <v>146.23238700000002</v>
      </c>
      <c r="J11" s="51">
        <f t="shared" si="7"/>
        <v>0</v>
      </c>
      <c r="K11" s="51">
        <f t="shared" si="8"/>
        <v>-118.15243499999997</v>
      </c>
      <c r="L11" s="51">
        <f t="shared" si="1"/>
        <v>187.99975772363908</v>
      </c>
      <c r="M11" s="51">
        <f t="shared" si="2"/>
        <v>0.7778328481410206</v>
      </c>
      <c r="N11" s="51">
        <f t="shared" si="3"/>
        <v>0</v>
      </c>
      <c r="O11" s="51">
        <f t="shared" si="4"/>
        <v>-0.6284712088495606</v>
      </c>
      <c r="P11" s="51">
        <f t="shared" si="9"/>
        <v>-1.4578074952658118</v>
      </c>
      <c r="Q11" s="51">
        <f t="shared" si="10"/>
        <v>0</v>
      </c>
      <c r="R11" s="51">
        <f t="shared" si="11"/>
        <v>-0.10476441444455853</v>
      </c>
      <c r="S11" s="51">
        <f t="shared" si="12"/>
        <v>1.4615670616797203</v>
      </c>
      <c r="T11" s="51">
        <f t="shared" si="13"/>
        <v>-0.9974277154210168</v>
      </c>
      <c r="U11" s="51">
        <f t="shared" si="14"/>
        <v>0</v>
      </c>
      <c r="V11" s="51">
        <f t="shared" si="15"/>
        <v>-0.07167951248446787</v>
      </c>
      <c r="W11" s="52">
        <f t="shared" si="16"/>
        <v>-1</v>
      </c>
      <c r="X11" s="61">
        <f>Xnorm*VertexCalc!Xnorm+Ynorm*VertexCalc!Ynorm+Znorm*VertexCalc!Znorm</f>
        <v>0.9999999999969534</v>
      </c>
    </row>
    <row r="12" spans="3:24" ht="12.75">
      <c r="C12" s="67"/>
      <c r="D12" s="68" t="s">
        <v>110</v>
      </c>
      <c r="E12" s="68" t="s">
        <v>163</v>
      </c>
      <c r="F12" s="51">
        <f ca="1" t="shared" si="5"/>
        <v>192.867821</v>
      </c>
      <c r="G12" s="51">
        <f ca="1" t="shared" si="0"/>
        <v>0</v>
      </c>
      <c r="H12" s="51">
        <f ca="1" t="shared" si="0"/>
        <v>-448.961602</v>
      </c>
      <c r="I12" s="51">
        <f t="shared" si="6"/>
        <v>-47.59855300000001</v>
      </c>
      <c r="J12" s="51">
        <f t="shared" si="7"/>
        <v>0</v>
      </c>
      <c r="K12" s="51">
        <f t="shared" si="8"/>
        <v>-51.32684700000004</v>
      </c>
      <c r="L12" s="51">
        <f t="shared" si="1"/>
        <v>70.00048193159262</v>
      </c>
      <c r="M12" s="51">
        <f t="shared" si="2"/>
        <v>-0.6799746471247912</v>
      </c>
      <c r="N12" s="51">
        <f t="shared" si="3"/>
        <v>0</v>
      </c>
      <c r="O12" s="51">
        <f t="shared" si="4"/>
        <v>-0.7332356232941192</v>
      </c>
      <c r="P12" s="51">
        <f t="shared" si="9"/>
      </c>
      <c r="Q12" s="51">
        <f t="shared" si="10"/>
      </c>
      <c r="R12" s="51">
        <f t="shared" si="11"/>
      </c>
      <c r="S12" s="51">
        <f t="shared" si="12"/>
      </c>
      <c r="T12" s="51">
        <f t="shared" si="13"/>
      </c>
      <c r="U12" s="51">
        <f t="shared" si="14"/>
      </c>
      <c r="V12" s="51">
        <f t="shared" si="15"/>
      </c>
      <c r="W12" s="52">
        <f t="shared" si="16"/>
      </c>
      <c r="X12" s="61" t="e">
        <f>Xnorm*VertexCalc!Xnorm+Ynorm*VertexCalc!Ynorm+Znorm*VertexCalc!Znorm</f>
        <v>#VALUE!</v>
      </c>
    </row>
    <row r="13" spans="3:24" ht="13.5" thickBot="1">
      <c r="C13" s="64"/>
      <c r="D13" s="65" t="s">
        <v>111</v>
      </c>
      <c r="E13" s="65"/>
      <c r="F13" s="57">
        <f ca="1" t="shared" si="5"/>
        <v>104.471471</v>
      </c>
      <c r="G13" s="57">
        <f ca="1" t="shared" si="0"/>
        <v>0</v>
      </c>
      <c r="H13" s="57">
        <f ca="1" t="shared" si="0"/>
        <v>-544.281853</v>
      </c>
      <c r="I13" s="57">
        <f t="shared" si="6"/>
        <v>-88.39635</v>
      </c>
      <c r="J13" s="57">
        <f t="shared" si="7"/>
        <v>0</v>
      </c>
      <c r="K13" s="57">
        <f t="shared" si="8"/>
        <v>-95.32025099999993</v>
      </c>
      <c r="L13" s="57">
        <f t="shared" si="1"/>
        <v>129.9994805529064</v>
      </c>
      <c r="M13" s="57">
        <f t="shared" si="2"/>
        <v>-0.6799746400834655</v>
      </c>
      <c r="N13" s="57">
        <f t="shared" si="3"/>
        <v>0</v>
      </c>
      <c r="O13" s="57">
        <f t="shared" si="4"/>
        <v>-0.7332356298239752</v>
      </c>
      <c r="P13" s="57">
        <f t="shared" si="9"/>
        <v>1.6721801549975517</v>
      </c>
      <c r="Q13" s="57">
        <f t="shared" si="10"/>
        <v>0</v>
      </c>
      <c r="R13" s="57">
        <f t="shared" si="11"/>
        <v>0.8578478931613895</v>
      </c>
      <c r="S13" s="57">
        <f t="shared" si="12"/>
        <v>1.8793853991582117</v>
      </c>
      <c r="T13" s="57">
        <f t="shared" si="13"/>
        <v>0.8897484016564838</v>
      </c>
      <c r="U13" s="57">
        <f t="shared" si="14"/>
        <v>0</v>
      </c>
      <c r="V13" s="57">
        <f t="shared" si="15"/>
        <v>0.45645129176039406</v>
      </c>
      <c r="W13" s="58">
        <f t="shared" si="16"/>
        <v>1</v>
      </c>
      <c r="X13" s="61">
        <f>Xnorm*VertexCalc!Xnorm+Ynorm*VertexCalc!Ynorm+Znorm*VertexCalc!Znorm</f>
        <v>-0.9999999999906202</v>
      </c>
    </row>
    <row r="14" spans="3:24" ht="12.75">
      <c r="C14" s="62" t="s">
        <v>125</v>
      </c>
      <c r="D14" s="63" t="s">
        <v>113</v>
      </c>
      <c r="E14" s="63"/>
      <c r="F14" s="54">
        <f ca="1" t="shared" si="5"/>
        <v>238.41944999999998</v>
      </c>
      <c r="G14" s="54">
        <f ca="1" t="shared" si="0"/>
        <v>0</v>
      </c>
      <c r="H14" s="54">
        <f ca="1" t="shared" si="0"/>
        <v>-527.459168</v>
      </c>
      <c r="I14" s="54">
        <f t="shared" si="6"/>
        <v>133.94797899999998</v>
      </c>
      <c r="J14" s="54">
        <f t="shared" si="7"/>
        <v>0</v>
      </c>
      <c r="K14" s="54">
        <f t="shared" si="8"/>
        <v>16.82268499999998</v>
      </c>
      <c r="L14" s="54">
        <f t="shared" si="1"/>
        <v>135.00023632865853</v>
      </c>
      <c r="M14" s="54">
        <f t="shared" si="2"/>
        <v>0.9922055149140863</v>
      </c>
      <c r="N14" s="54">
        <f t="shared" si="3"/>
        <v>0</v>
      </c>
      <c r="O14" s="54">
        <f t="shared" si="4"/>
        <v>0.12461226333741443</v>
      </c>
      <c r="P14" s="54">
        <f t="shared" si="9"/>
        <v>-1.7216657751225248</v>
      </c>
      <c r="Q14" s="54">
        <f t="shared" si="10"/>
        <v>1.3481453023964693E-16</v>
      </c>
      <c r="R14" s="54">
        <f t="shared" si="11"/>
        <v>-0.8086354564943694</v>
      </c>
      <c r="S14" s="54">
        <f t="shared" si="12"/>
        <v>1.9021104969817346</v>
      </c>
      <c r="T14" s="54">
        <f t="shared" si="13"/>
        <v>-0.905134469240594</v>
      </c>
      <c r="U14" s="54">
        <f t="shared" si="14"/>
        <v>7.087628739422362E-17</v>
      </c>
      <c r="V14" s="54">
        <f t="shared" si="15"/>
        <v>-0.42512538455442556</v>
      </c>
      <c r="W14" s="55">
        <f t="shared" si="16"/>
        <v>-1</v>
      </c>
      <c r="X14" s="61">
        <f>Xnorm*VertexCalc!Xnorm+Ynorm*VertexCalc!Ynorm+Znorm*VertexCalc!Znorm</f>
        <v>1</v>
      </c>
    </row>
    <row r="15" spans="3:24" ht="12.75">
      <c r="C15" s="67"/>
      <c r="D15" s="68" t="s">
        <v>115</v>
      </c>
      <c r="E15" s="68"/>
      <c r="F15" s="51">
        <f ca="1" t="shared" si="5"/>
        <v>139.942107</v>
      </c>
      <c r="G15" s="51">
        <f ca="1" t="shared" si="0"/>
        <v>1.82E-14</v>
      </c>
      <c r="H15" s="51">
        <f ca="1" t="shared" si="0"/>
        <v>-619.802494</v>
      </c>
      <c r="I15" s="51">
        <f t="shared" si="6"/>
        <v>-98.47734299999999</v>
      </c>
      <c r="J15" s="51">
        <f t="shared" si="7"/>
        <v>1.82E-14</v>
      </c>
      <c r="K15" s="51">
        <f t="shared" si="8"/>
        <v>-92.34332600000005</v>
      </c>
      <c r="L15" s="51">
        <f t="shared" si="1"/>
        <v>135.00028496666937</v>
      </c>
      <c r="M15" s="51">
        <f t="shared" si="2"/>
        <v>-0.7294602602084386</v>
      </c>
      <c r="N15" s="51">
        <f t="shared" si="3"/>
        <v>1.3481453023964693E-16</v>
      </c>
      <c r="O15" s="51">
        <f t="shared" si="4"/>
        <v>-0.684023193156955</v>
      </c>
      <c r="P15" s="51">
        <f t="shared" si="9"/>
        <v>0.7294630802084389</v>
      </c>
      <c r="Q15" s="51">
        <f t="shared" si="10"/>
        <v>-0.9999999999915836</v>
      </c>
      <c r="R15" s="51">
        <f t="shared" si="11"/>
        <v>0.6840202131569557</v>
      </c>
      <c r="S15" s="51">
        <f t="shared" si="12"/>
        <v>1.4142135755880856</v>
      </c>
      <c r="T15" s="51">
        <f t="shared" si="13"/>
        <v>0.5158082858206897</v>
      </c>
      <c r="U15" s="51">
        <f t="shared" si="14"/>
        <v>-0.707106774573101</v>
      </c>
      <c r="V15" s="51">
        <f t="shared" si="15"/>
        <v>0.4836753266722908</v>
      </c>
      <c r="W15" s="52">
        <f t="shared" si="16"/>
        <v>1</v>
      </c>
      <c r="X15" s="61">
        <f>Xnorm*VertexCalc!Xnorm+Ynorm*VertexCalc!Ynorm+Znorm*VertexCalc!Znorm</f>
        <v>-0.9999999999999999</v>
      </c>
    </row>
    <row r="16" spans="3:24" ht="13.5" thickBot="1">
      <c r="C16" s="64"/>
      <c r="D16" s="65" t="s">
        <v>117</v>
      </c>
      <c r="E16" s="65" t="s">
        <v>164</v>
      </c>
      <c r="F16" s="57">
        <f ca="1" t="shared" si="5"/>
        <v>139.942248</v>
      </c>
      <c r="G16" s="57">
        <f ca="1" t="shared" si="0"/>
        <v>-50</v>
      </c>
      <c r="H16" s="57">
        <f ca="1" t="shared" si="0"/>
        <v>-619.802643</v>
      </c>
      <c r="I16" s="57">
        <f t="shared" si="6"/>
        <v>0.00014100000001349144</v>
      </c>
      <c r="J16" s="57">
        <f t="shared" si="7"/>
        <v>-50.00000000000002</v>
      </c>
      <c r="K16" s="57">
        <f t="shared" si="8"/>
        <v>-0.00014899999996487168</v>
      </c>
      <c r="L16" s="57">
        <f t="shared" si="1"/>
        <v>50.00000000042085</v>
      </c>
      <c r="M16" s="57">
        <f t="shared" si="2"/>
        <v>2.8200000002460932E-06</v>
      </c>
      <c r="N16" s="57">
        <f t="shared" si="3"/>
        <v>-0.9999999999915835</v>
      </c>
      <c r="O16" s="57">
        <f t="shared" si="4"/>
        <v>-2.979999999272351E-06</v>
      </c>
      <c r="P16" s="57">
        <f t="shared" si="9"/>
      </c>
      <c r="Q16" s="57">
        <f t="shared" si="10"/>
      </c>
      <c r="R16" s="57">
        <f t="shared" si="11"/>
      </c>
      <c r="S16" s="57">
        <f t="shared" si="12"/>
      </c>
      <c r="T16" s="57">
        <f t="shared" si="13"/>
      </c>
      <c r="U16" s="57">
        <f t="shared" si="14"/>
      </c>
      <c r="V16" s="57">
        <f t="shared" si="15"/>
      </c>
      <c r="W16" s="58">
        <f t="shared" si="16"/>
      </c>
      <c r="X16" s="61" t="e">
        <f>Xnorm*VertexCalc!Xnorm+Ynorm*VertexCalc!Ynorm+Znorm*VertexCalc!Znorm</f>
        <v>#VALUE!</v>
      </c>
    </row>
    <row r="17" spans="4:24" ht="13.5" thickBot="1">
      <c r="D17" s="61" t="s">
        <v>113</v>
      </c>
      <c r="E17" s="61" t="s">
        <v>128</v>
      </c>
      <c r="F17" s="36">
        <f ca="1" t="shared" si="5"/>
        <v>238.41944999999998</v>
      </c>
      <c r="G17" s="36">
        <f ca="1" t="shared" si="0"/>
        <v>0</v>
      </c>
      <c r="H17" s="36">
        <f ca="1" t="shared" si="0"/>
        <v>-527.459168</v>
      </c>
      <c r="I17" s="36">
        <f t="shared" si="6"/>
      </c>
      <c r="J17" s="36">
        <f t="shared" si="7"/>
      </c>
      <c r="K17" s="36">
        <f t="shared" si="8"/>
      </c>
      <c r="L17" s="36">
        <f t="shared" si="1"/>
      </c>
      <c r="M17" s="36">
        <f t="shared" si="2"/>
      </c>
      <c r="N17" s="36">
        <f t="shared" si="3"/>
      </c>
      <c r="O17" s="36">
        <f t="shared" si="4"/>
      </c>
      <c r="P17" s="51">
        <f t="shared" si="9"/>
      </c>
      <c r="Q17" s="51">
        <f t="shared" si="10"/>
      </c>
      <c r="R17" s="51">
        <f t="shared" si="11"/>
      </c>
      <c r="S17" s="36">
        <f t="shared" si="12"/>
      </c>
      <c r="T17" s="36">
        <f t="shared" si="13"/>
      </c>
      <c r="U17" s="36">
        <f t="shared" si="14"/>
      </c>
      <c r="V17" s="36">
        <f t="shared" si="15"/>
      </c>
      <c r="W17" s="36">
        <f t="shared" si="16"/>
      </c>
      <c r="X17" s="61" t="e">
        <f>Xnorm*VertexCalc!Xnorm+Ynorm*VertexCalc!Ynorm+Znorm*VertexCalc!Znorm</f>
        <v>#VALUE!</v>
      </c>
    </row>
    <row r="18" spans="3:24" ht="12.75">
      <c r="C18" s="62" t="s">
        <v>126</v>
      </c>
      <c r="D18" s="63" t="s">
        <v>118</v>
      </c>
      <c r="E18" s="63"/>
      <c r="F18" s="54">
        <f ca="1" t="shared" si="5"/>
        <v>337.640283</v>
      </c>
      <c r="G18" s="54">
        <f ca="1" t="shared" si="5"/>
        <v>-4.41E-16</v>
      </c>
      <c r="H18" s="54">
        <f ca="1" t="shared" si="5"/>
        <v>-514.997907</v>
      </c>
      <c r="I18" s="54">
        <f t="shared" si="6"/>
        <v>99.22083300000003</v>
      </c>
      <c r="J18" s="54">
        <f t="shared" si="7"/>
        <v>-4.41E-16</v>
      </c>
      <c r="K18" s="54">
        <f t="shared" si="8"/>
        <v>12.461260999999922</v>
      </c>
      <c r="L18" s="54">
        <f t="shared" si="1"/>
        <v>100.00028363421784</v>
      </c>
      <c r="M18" s="54">
        <f t="shared" si="2"/>
        <v>0.9922055157656463</v>
      </c>
      <c r="N18" s="54">
        <f t="shared" si="3"/>
        <v>-4.409987491766471E-18</v>
      </c>
      <c r="O18" s="54">
        <f t="shared" si="4"/>
        <v>0.124612256557</v>
      </c>
      <c r="P18" s="54">
        <f t="shared" si="9"/>
        <v>-1.6299820812639891</v>
      </c>
      <c r="Q18" s="54">
        <f t="shared" si="10"/>
        <v>-0.7660444480106615</v>
      </c>
      <c r="R18" s="54">
        <f t="shared" si="11"/>
        <v>-0.20471816253888703</v>
      </c>
      <c r="S18" s="54">
        <f t="shared" si="12"/>
        <v>1.8126155708376068</v>
      </c>
      <c r="T18" s="54">
        <f t="shared" si="13"/>
        <v>-0.8992431199908412</v>
      </c>
      <c r="U18" s="54">
        <f t="shared" si="14"/>
        <v>-0.42261826519380147</v>
      </c>
      <c r="V18" s="54">
        <f t="shared" si="15"/>
        <v>-0.11294075027960125</v>
      </c>
      <c r="W18" s="55">
        <f t="shared" si="16"/>
        <v>-1</v>
      </c>
      <c r="X18" s="61">
        <f>Xnorm*VertexCalc!Xnorm+Ynorm*VertexCalc!Ynorm+Znorm*VertexCalc!Znorm</f>
        <v>0.9999999999999999</v>
      </c>
    </row>
    <row r="19" spans="3:24" ht="13.5" thickBot="1">
      <c r="C19" s="64"/>
      <c r="D19" s="65" t="s">
        <v>119</v>
      </c>
      <c r="E19" s="65" t="s">
        <v>164</v>
      </c>
      <c r="F19" s="57">
        <f ca="1" t="shared" si="5"/>
        <v>283.429275</v>
      </c>
      <c r="G19" s="57">
        <f ca="1" t="shared" si="5"/>
        <v>-65.113778</v>
      </c>
      <c r="H19" s="57">
        <f ca="1" t="shared" si="5"/>
        <v>-521.806909</v>
      </c>
      <c r="I19" s="57">
        <f t="shared" si="6"/>
        <v>-54.21100799999999</v>
      </c>
      <c r="J19" s="57">
        <f t="shared" si="7"/>
        <v>-65.113778</v>
      </c>
      <c r="K19" s="57">
        <f t="shared" si="8"/>
        <v>-6.809001999999964</v>
      </c>
      <c r="L19" s="57">
        <f t="shared" si="1"/>
        <v>84.99999989438442</v>
      </c>
      <c r="M19" s="57">
        <f t="shared" si="2"/>
        <v>-0.6377765654983428</v>
      </c>
      <c r="N19" s="57">
        <f t="shared" si="3"/>
        <v>-0.7660444480106615</v>
      </c>
      <c r="O19" s="57">
        <f t="shared" si="4"/>
        <v>-0.08010590598188701</v>
      </c>
      <c r="P19" s="57">
        <f t="shared" si="9"/>
      </c>
      <c r="Q19" s="57">
        <f t="shared" si="10"/>
      </c>
      <c r="R19" s="57">
        <f t="shared" si="11"/>
      </c>
      <c r="S19" s="57">
        <f t="shared" si="12"/>
      </c>
      <c r="T19" s="57">
        <f t="shared" si="13"/>
      </c>
      <c r="U19" s="57">
        <f t="shared" si="14"/>
      </c>
      <c r="V19" s="57">
        <f t="shared" si="15"/>
      </c>
      <c r="W19" s="58">
        <f t="shared" si="16"/>
      </c>
      <c r="X19" s="61" t="e">
        <f>Xnorm*VertexCalc!Xnorm+Ynorm*VertexCalc!Ynorm+Znorm*VertexCalc!Znorm</f>
        <v>#VALUE!</v>
      </c>
    </row>
    <row r="20" spans="4:24" ht="13.5" thickBot="1">
      <c r="D20" s="61" t="s">
        <v>118</v>
      </c>
      <c r="E20" s="61" t="s">
        <v>128</v>
      </c>
      <c r="F20" s="36">
        <f ca="1" t="shared" si="5"/>
        <v>337.640283</v>
      </c>
      <c r="G20" s="36">
        <f ca="1" t="shared" si="5"/>
        <v>-4.41E-16</v>
      </c>
      <c r="H20" s="36">
        <f ca="1" t="shared" si="5"/>
        <v>-514.997907</v>
      </c>
      <c r="I20" s="36">
        <f t="shared" si="6"/>
      </c>
      <c r="J20" s="36">
        <f t="shared" si="7"/>
      </c>
      <c r="K20" s="36">
        <f t="shared" si="8"/>
      </c>
      <c r="L20" s="36">
        <f t="shared" si="1"/>
      </c>
      <c r="M20" s="36">
        <f t="shared" si="2"/>
      </c>
      <c r="N20" s="36">
        <f t="shared" si="3"/>
      </c>
      <c r="O20" s="36">
        <f t="shared" si="4"/>
      </c>
      <c r="P20" s="51">
        <f t="shared" si="9"/>
      </c>
      <c r="Q20" s="51">
        <f t="shared" si="10"/>
      </c>
      <c r="R20" s="51">
        <f t="shared" si="11"/>
      </c>
      <c r="S20" s="36">
        <f t="shared" si="12"/>
      </c>
      <c r="T20" s="36">
        <f t="shared" si="13"/>
      </c>
      <c r="U20" s="36">
        <f t="shared" si="14"/>
      </c>
      <c r="V20" s="36">
        <f t="shared" si="15"/>
      </c>
      <c r="W20" s="36">
        <f t="shared" si="16"/>
      </c>
      <c r="X20" s="61" t="e">
        <f>Xnorm*VertexCalc!Xnorm+Ynorm*VertexCalc!Ynorm+Znorm*VertexCalc!Znorm</f>
        <v>#VALUE!</v>
      </c>
    </row>
    <row r="21" spans="3:24" ht="12.75">
      <c r="C21" s="62" t="s">
        <v>127</v>
      </c>
      <c r="D21" s="63" t="s">
        <v>120</v>
      </c>
      <c r="E21" s="63"/>
      <c r="F21" s="54">
        <f ca="1" t="shared" si="5"/>
        <v>381.297645</v>
      </c>
      <c r="G21" s="54">
        <f ca="1" t="shared" si="5"/>
        <v>-4.78E-15</v>
      </c>
      <c r="H21" s="54">
        <f ca="1" t="shared" si="5"/>
        <v>-509.514927</v>
      </c>
      <c r="I21" s="54">
        <f t="shared" si="6"/>
        <v>43.65736199999998</v>
      </c>
      <c r="J21" s="54">
        <f t="shared" si="7"/>
        <v>-4.3390000000000005E-15</v>
      </c>
      <c r="K21" s="54">
        <f t="shared" si="8"/>
        <v>5.482980000000055</v>
      </c>
      <c r="L21" s="54">
        <f t="shared" si="1"/>
        <v>44.00032189063442</v>
      </c>
      <c r="M21" s="54">
        <f t="shared" si="2"/>
        <v>0.992205514053127</v>
      </c>
      <c r="N21" s="54">
        <f t="shared" si="3"/>
        <v>-9.861291494150564E-17</v>
      </c>
      <c r="O21" s="54">
        <f t="shared" si="4"/>
        <v>0.12461227019266696</v>
      </c>
      <c r="P21" s="54">
        <f t="shared" si="9"/>
        <v>-0.9921851724299604</v>
      </c>
      <c r="Q21" s="54">
        <f t="shared" si="10"/>
        <v>4.4154243739022116E-16</v>
      </c>
      <c r="R21" s="54">
        <f t="shared" si="11"/>
        <v>0.8753877296004422</v>
      </c>
      <c r="S21" s="54">
        <f t="shared" si="12"/>
        <v>1.3231534655983361</v>
      </c>
      <c r="T21" s="54">
        <f t="shared" si="13"/>
        <v>-0.7498640167044339</v>
      </c>
      <c r="U21" s="54">
        <f t="shared" si="14"/>
        <v>3.337046297880145E-16</v>
      </c>
      <c r="V21" s="54">
        <f t="shared" si="15"/>
        <v>0.6615919863872992</v>
      </c>
      <c r="W21" s="55">
        <f t="shared" si="16"/>
        <v>-1</v>
      </c>
      <c r="X21" s="61">
        <f>Xnorm*VertexCalc!Xnorm+Ynorm*VertexCalc!Ynorm+Znorm*VertexCalc!Znorm</f>
        <v>1</v>
      </c>
    </row>
    <row r="22" spans="3:24" ht="13.5" thickBot="1">
      <c r="C22" s="64"/>
      <c r="D22" s="65" t="s">
        <v>121</v>
      </c>
      <c r="E22" s="65" t="s">
        <v>164</v>
      </c>
      <c r="F22" s="57">
        <f ca="1" t="shared" si="5"/>
        <v>381.298479</v>
      </c>
      <c r="G22" s="57">
        <f ca="1" t="shared" si="5"/>
        <v>9.28E-15</v>
      </c>
      <c r="H22" s="57">
        <f ca="1" t="shared" si="5"/>
        <v>-468.515249</v>
      </c>
      <c r="I22" s="57">
        <f t="shared" si="6"/>
        <v>0.0008339999999975589</v>
      </c>
      <c r="J22" s="57">
        <f t="shared" si="7"/>
        <v>1.4059999999999999E-14</v>
      </c>
      <c r="K22" s="57">
        <f t="shared" si="8"/>
        <v>40.99967800000002</v>
      </c>
      <c r="L22" s="57">
        <f t="shared" si="1"/>
        <v>40.999678008482476</v>
      </c>
      <c r="M22" s="57">
        <f t="shared" si="2"/>
        <v>2.0341623166528566E-05</v>
      </c>
      <c r="N22" s="57">
        <f t="shared" si="3"/>
        <v>3.4292952244871553E-16</v>
      </c>
      <c r="O22" s="57">
        <f t="shared" si="4"/>
        <v>0.9999999997931092</v>
      </c>
      <c r="P22" s="57">
        <f t="shared" si="9"/>
      </c>
      <c r="Q22" s="57">
        <f t="shared" si="10"/>
      </c>
      <c r="R22" s="57">
        <f t="shared" si="11"/>
      </c>
      <c r="S22" s="57">
        <f t="shared" si="12"/>
      </c>
      <c r="T22" s="57">
        <f t="shared" si="13"/>
      </c>
      <c r="U22" s="57">
        <f t="shared" si="14"/>
      </c>
      <c r="V22" s="57">
        <f t="shared" si="15"/>
      </c>
      <c r="W22" s="58">
        <f t="shared" si="16"/>
      </c>
      <c r="X22" s="61" t="e">
        <f>Xnorm*VertexCalc!Xnorm+Ynorm*VertexCalc!Ynorm+Znorm*VertexCalc!Znorm</f>
        <v>#VALUE!</v>
      </c>
    </row>
    <row r="23" ht="12.75">
      <c r="A23" s="69" t="s">
        <v>140</v>
      </c>
    </row>
    <row r="24" spans="1:3" ht="12.75">
      <c r="A24" s="61" t="s">
        <v>17</v>
      </c>
      <c r="B24" s="61" t="str">
        <f>"-Zsyno"</f>
        <v>-Zsyno</v>
      </c>
      <c r="C24" s="61" t="s">
        <v>130</v>
      </c>
    </row>
    <row r="25" spans="1:3" ht="12.75">
      <c r="A25" s="61" t="s">
        <v>81</v>
      </c>
      <c r="B25" s="61" t="s">
        <v>136</v>
      </c>
      <c r="C25" s="61" t="s">
        <v>131</v>
      </c>
    </row>
    <row r="26" spans="1:3" ht="12.75">
      <c r="A26" s="61" t="s">
        <v>82</v>
      </c>
      <c r="B26" s="61" t="s">
        <v>137</v>
      </c>
      <c r="C26" s="61" t="s">
        <v>132</v>
      </c>
    </row>
    <row r="27" spans="8:14" ht="12.75">
      <c r="H27" s="51"/>
      <c r="I27" s="51"/>
      <c r="J27" s="51"/>
      <c r="K27" s="51"/>
      <c r="L27" s="51"/>
      <c r="M27" s="51"/>
      <c r="N27" s="51"/>
    </row>
    <row r="28" spans="8:14" ht="12.75">
      <c r="H28" s="51"/>
      <c r="I28" s="51"/>
      <c r="J28" s="51"/>
      <c r="K28" s="51"/>
      <c r="L28" s="51"/>
      <c r="M28" s="51"/>
      <c r="N28" s="51"/>
    </row>
    <row r="29" spans="8:14" ht="12.75">
      <c r="H29" s="51"/>
      <c r="I29" s="51"/>
      <c r="J29" s="51"/>
      <c r="K29" s="51"/>
      <c r="L29" s="51"/>
      <c r="M29" s="51"/>
      <c r="N29" s="51"/>
    </row>
    <row r="30" spans="8:14" ht="12.75">
      <c r="H30" s="51"/>
      <c r="I30" s="51"/>
      <c r="J30" s="51"/>
      <c r="K30" s="51"/>
      <c r="L30" s="51"/>
      <c r="M30" s="51"/>
      <c r="N30" s="51"/>
    </row>
    <row r="31" spans="8:14" ht="12.75">
      <c r="H31" s="51"/>
      <c r="I31" s="51"/>
      <c r="J31" s="51"/>
      <c r="K31" s="51"/>
      <c r="L31" s="51"/>
      <c r="M31" s="51"/>
      <c r="N31" s="51"/>
    </row>
    <row r="32" spans="8:14" ht="12.75">
      <c r="H32" s="51"/>
      <c r="I32" s="51"/>
      <c r="J32" s="51"/>
      <c r="K32" s="51"/>
      <c r="L32" s="51"/>
      <c r="M32" s="51"/>
      <c r="N32" s="51"/>
    </row>
    <row r="33" spans="8:14" ht="12.75">
      <c r="H33" s="51"/>
      <c r="I33" s="51"/>
      <c r="J33" s="51"/>
      <c r="K33" s="51"/>
      <c r="L33" s="51"/>
      <c r="M33" s="51"/>
      <c r="N33" s="51"/>
    </row>
    <row r="34" spans="8:14" ht="12.75">
      <c r="H34" s="51"/>
      <c r="I34" s="51"/>
      <c r="J34" s="51"/>
      <c r="K34" s="51"/>
      <c r="L34" s="51"/>
      <c r="M34" s="51"/>
      <c r="N34" s="51"/>
    </row>
    <row r="35" spans="8:14" ht="12.75">
      <c r="H35" s="51"/>
      <c r="I35" s="51"/>
      <c r="J35" s="51"/>
      <c r="K35" s="51"/>
      <c r="L35" s="51"/>
      <c r="M35" s="51"/>
      <c r="N35" s="51"/>
    </row>
    <row r="36" spans="8:14" ht="12.75">
      <c r="H36" s="51"/>
      <c r="I36" s="51"/>
      <c r="J36" s="51"/>
      <c r="K36" s="51"/>
      <c r="L36" s="51"/>
      <c r="M36" s="51"/>
      <c r="N36" s="51"/>
    </row>
    <row r="37" spans="8:14" ht="12.75">
      <c r="H37" s="51"/>
      <c r="I37" s="51"/>
      <c r="J37" s="51"/>
      <c r="K37" s="51"/>
      <c r="L37" s="51"/>
      <c r="M37" s="51"/>
      <c r="N37" s="51"/>
    </row>
    <row r="38" spans="8:14" ht="12.75">
      <c r="H38" s="51"/>
      <c r="I38" s="51"/>
      <c r="J38" s="51"/>
      <c r="K38" s="51"/>
      <c r="L38" s="51"/>
      <c r="M38" s="51"/>
      <c r="N38" s="51"/>
    </row>
  </sheetData>
  <printOptions/>
  <pageMargins left="0.58" right="0.7874015748031497"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AE26"/>
  <sheetViews>
    <sheetView zoomScale="60" zoomScaleNormal="60" workbookViewId="0" topLeftCell="A1">
      <selection activeCell="U11" sqref="U11"/>
    </sheetView>
  </sheetViews>
  <sheetFormatPr defaultColWidth="12" defaultRowHeight="12.75"/>
  <cols>
    <col min="1" max="2" width="12" style="1" customWidth="1"/>
    <col min="3" max="3" width="20.16015625" style="1" customWidth="1"/>
    <col min="4" max="5" width="12" style="1" customWidth="1"/>
    <col min="6" max="6" width="13.33203125" style="9" customWidth="1"/>
    <col min="7" max="7" width="12.83203125" style="9" customWidth="1"/>
    <col min="8" max="8" width="14.83203125" style="9" customWidth="1"/>
    <col min="9" max="9" width="14.33203125" style="8" customWidth="1"/>
    <col min="10" max="11" width="13.5" style="8" customWidth="1"/>
    <col min="12" max="15" width="8.83203125" style="8" customWidth="1"/>
    <col min="16" max="16" width="12" style="8" customWidth="1"/>
    <col min="17" max="22" width="9.33203125" style="8" customWidth="1"/>
    <col min="23" max="23" width="12" style="36" customWidth="1"/>
    <col min="24" max="24" width="11.33203125" style="41" customWidth="1"/>
    <col min="25" max="16384" width="12" style="1" customWidth="1"/>
  </cols>
  <sheetData>
    <row r="1" spans="3:28" s="5" customFormat="1" ht="12.75">
      <c r="C1" s="5" t="s">
        <v>129</v>
      </c>
      <c r="D1" s="5" t="s">
        <v>2</v>
      </c>
      <c r="E1" s="5" t="s">
        <v>162</v>
      </c>
      <c r="F1" s="7" t="str">
        <f>"X"&amp;Ray</f>
        <v>XM3Cent</v>
      </c>
      <c r="G1" s="7" t="str">
        <f>"Y"&amp;Ray</f>
        <v>YM3Cent</v>
      </c>
      <c r="H1" s="7" t="str">
        <f>"Z"&amp;Ray</f>
        <v>ZM3Cent</v>
      </c>
      <c r="I1" s="6" t="s">
        <v>141</v>
      </c>
      <c r="J1" s="6" t="s">
        <v>142</v>
      </c>
      <c r="K1" s="6" t="s">
        <v>143</v>
      </c>
      <c r="L1" s="6" t="s">
        <v>144</v>
      </c>
      <c r="M1" s="6" t="s">
        <v>145</v>
      </c>
      <c r="N1" s="6" t="s">
        <v>146</v>
      </c>
      <c r="O1" s="6" t="s">
        <v>147</v>
      </c>
      <c r="P1" s="6" t="s">
        <v>148</v>
      </c>
      <c r="Q1" s="6" t="s">
        <v>149</v>
      </c>
      <c r="R1" s="6" t="s">
        <v>150</v>
      </c>
      <c r="S1" s="6" t="s">
        <v>151</v>
      </c>
      <c r="T1" s="6" t="s">
        <v>14</v>
      </c>
      <c r="U1" s="6" t="s">
        <v>15</v>
      </c>
      <c r="V1" s="6" t="s">
        <v>16</v>
      </c>
      <c r="W1" s="38" t="s">
        <v>400</v>
      </c>
      <c r="X1" s="39" t="s">
        <v>402</v>
      </c>
      <c r="Y1" s="7" t="s">
        <v>21</v>
      </c>
      <c r="Z1" s="7" t="s">
        <v>22</v>
      </c>
      <c r="AA1" s="6" t="s">
        <v>23</v>
      </c>
      <c r="AB1" s="5" t="s">
        <v>403</v>
      </c>
    </row>
    <row r="2" spans="1:28" ht="13.5" thickBot="1">
      <c r="A2" s="1" t="s">
        <v>44</v>
      </c>
      <c r="B2" s="1" t="str">
        <f>'M3CentRay'!J4</f>
        <v>(BOLPHT154C)</v>
      </c>
      <c r="D2" s="1" t="s">
        <v>93</v>
      </c>
      <c r="E2" s="1" t="s">
        <v>128</v>
      </c>
      <c r="F2" s="9">
        <f ca="1">INDIRECT("RayImpacts!"&amp;F$1)</f>
        <v>3252.162</v>
      </c>
      <c r="G2" s="9">
        <f ca="1" t="shared" si="0" ref="G2:H17">INDIRECT("RayImpacts!"&amp;G$1)</f>
        <v>12.75945</v>
      </c>
      <c r="H2" s="9">
        <f ca="1" t="shared" si="0"/>
        <v>62.305383</v>
      </c>
      <c r="I2" s="9">
        <f>IF(Flag="Ignore","",F2-F1)</f>
      </c>
      <c r="J2" s="9">
        <f>IF(Flag="Ignore","",G2-G1)</f>
      </c>
      <c r="K2" s="9">
        <f>IF(Flag="Ignore","",H2-H1)</f>
      </c>
      <c r="L2" s="8">
        <f aca="true" t="shared" si="1" ref="L2:L22">IF(Flag="ignore","",SQRT(Xdiff^2+Ydiff^2+Zdiff^2))</f>
      </c>
      <c r="M2" s="8">
        <f aca="true" t="shared" si="2" ref="M2:M22">IF(Flag="ignore","",Xdiff/DiffMod)</f>
      </c>
      <c r="N2" s="8">
        <f aca="true" t="shared" si="3" ref="N2:N22">IF(Flag="ignore","",Ydiff/DiffMod)</f>
      </c>
      <c r="O2" s="8">
        <f aca="true" t="shared" si="4" ref="O2:O22">IF(Flag="ignore","",Zdiff/DiffMod)</f>
      </c>
      <c r="P2" s="8">
        <f>IF(OR(Flag="Ignore",Flag="Hole",Flag="Det"),"",M3-Xray)</f>
      </c>
      <c r="Q2" s="8">
        <f>IF(OR(Flag="Ignore",Flag="Hole",Flag="Det"),"",N3-Yray)</f>
      </c>
      <c r="R2" s="8">
        <f>IF(OR(Flag="Ignore",Flag="Hole",Flag="Det"),"",O3-Zray)</f>
      </c>
      <c r="S2" s="8">
        <f>IF(OR(Flag="Ignore",Flag="Hole",Flag="Det"),"",SQRT(dXray^2+dYray^2+dZray^2))</f>
      </c>
      <c r="T2" s="8">
        <f>IF(OR(Flag="Ignore",Flag="Hole",Flag="Det"),"",dXray/drayMod*VertexCalc!NormDirCorr)</f>
      </c>
      <c r="U2" s="8">
        <f>IF(OR(Flag="Ignore",Flag="Hole",Flag="Det"),"",dYray/drayMod*VertexCalc!NormDirCorr)</f>
      </c>
      <c r="V2" s="8">
        <f>IF(OR(Flag="Ignore",Flag="Hole",Flag="Det"),"",dZray/drayMod*VertexCalc!NormDirCorr)</f>
      </c>
      <c r="W2" s="36">
        <f>IF(OR(Flag="Ignore",Flag="Hole",Flag="Det"),"",ACOS((Xnorm*VertexCalc!Xnorm*SIGN(VertexCalc!NormDir)+Ynorm*VertexCalc!Ynorm*SIGN(VertexCalc!NormDir))/(SQRT(Xnorm^2+Ynorm^2)*SQRT(VertexCalc!Xnorm^2+VertexCalc!Ynorm^2)))*180/PI()*SIGN(Xnorm*Ynorm))</f>
      </c>
      <c r="X2" s="40">
        <f>IF(OR(Flag="Ignore",Flag="Hole",Flag="Det"),"",((Xnorm*GutCalc!Xnorm+Ynorm*GutCalc!Ynorm)/(SQRT(Xnorm^2+Ynorm^2)*SQRT(GutCalc!Xnorm^2+GutCalc!Ynorm^2)))*180/PI())</f>
      </c>
      <c r="Y2" s="36">
        <f>IF(OR(Flag="Ignore",Flag="Hole",Flag="Det"),"",VertexCalc!Xsag*COS(Theta*PI()/180)-VertexCalc!Ysag*SIN(Theta*PI()/180))</f>
      </c>
      <c r="Z2" s="36">
        <f>IF(OR(Flag="Ignore",Flag="Hole",Flag="Det"),"",VertexCalc!Xsag*SIN(Theta*PI()/180)+VertexCalc!Ysag*COS(Theta*PI()/180))</f>
      </c>
      <c r="AA2" s="36">
        <f>IF(OR(Flag="Ignore",Flag="Hole",Flag="Det"),"",VertexCalc!Zsag)</f>
      </c>
      <c r="AB2" s="36">
        <f>IF(OR(Flag="Ignore",Flag="Hole",Flag="Det"),"",ACOS(Xsag*Xnorm+Ysag*Ynorm+zSag*Znorm)*180/PI())</f>
      </c>
    </row>
    <row r="3" spans="3:28" ht="12.75">
      <c r="C3" s="10" t="s">
        <v>122</v>
      </c>
      <c r="D3" s="11" t="s">
        <v>94</v>
      </c>
      <c r="E3" s="11"/>
      <c r="F3" s="13">
        <f ca="1" t="shared" si="5" ref="F3:H22">INDIRECT("RayImpacts!"&amp;F$1)</f>
        <v>1252.625517</v>
      </c>
      <c r="G3" s="13">
        <f ca="1" t="shared" si="0"/>
        <v>11.427923</v>
      </c>
      <c r="H3" s="13">
        <f ca="1" t="shared" si="0"/>
        <v>55.803431</v>
      </c>
      <c r="I3" s="13">
        <f aca="true" t="shared" si="6" ref="I3:I22">IF(Flag="Ignore","",F3-F2)</f>
        <v>-1999.5364829999999</v>
      </c>
      <c r="J3" s="13">
        <f aca="true" t="shared" si="7" ref="J3:J22">IF(Flag="Ignore","",G3-G2)</f>
        <v>-1.3315269999999995</v>
      </c>
      <c r="K3" s="13">
        <f aca="true" t="shared" si="8" ref="K3:K22">IF(Flag="Ignore","",H3-H2)</f>
        <v>-6.501951999999996</v>
      </c>
      <c r="L3" s="12">
        <f t="shared" si="1"/>
        <v>1999.5474976083892</v>
      </c>
      <c r="M3" s="12">
        <f t="shared" si="2"/>
        <v>-0.9999944914494892</v>
      </c>
      <c r="N3" s="12">
        <f t="shared" si="3"/>
        <v>-0.0006659141638758804</v>
      </c>
      <c r="O3" s="12">
        <f t="shared" si="4"/>
        <v>-0.0032517117036613657</v>
      </c>
      <c r="P3" s="12">
        <f aca="true" t="shared" si="9" ref="P3:P22">IF(OR(Flag="Ignore",Flag="Hole",Flag="Det"),"",M4-Xray)</f>
        <v>1.9993513828495733</v>
      </c>
      <c r="Q3" s="12">
        <f aca="true" t="shared" si="10" ref="Q3:Q22">IF(OR(Flag="Ignore",Flag="Hole",Flag="Det"),"",N4-Yray)</f>
        <v>-0.006528123101971799</v>
      </c>
      <c r="R3" s="12">
        <f aca="true" t="shared" si="11" ref="R3:R22">IF(OR(Flag="Ignore",Flag="Hole",Flag="Det"),"",O4-Zray)</f>
        <v>-0.031877328120649646</v>
      </c>
      <c r="S3" s="12">
        <f aca="true" t="shared" si="12" ref="S3:S22">IF(OR(Flag="Ignore",Flag="Hole",Flag="Det"),"",SQRT(dXray^2+dYray^2+dZray^2))</f>
        <v>1.9996161462995459</v>
      </c>
      <c r="T3" s="12">
        <f>IF(OR(Flag="Ignore",Flag="Hole",Flag="Det"),"",dXray/drayMod*VertexCalc!NormDirCorr)</f>
        <v>-0.9998675928625288</v>
      </c>
      <c r="U3" s="12">
        <f>IF(OR(Flag="Ignore",Flag="Hole",Flag="Det"),"",dYray/drayMod*VertexCalc!NormDirCorr)</f>
        <v>0.003264688132296105</v>
      </c>
      <c r="V3" s="12">
        <f>IF(OR(Flag="Ignore",Flag="Hole",Flag="Det"),"",dZray/drayMod*VertexCalc!NormDirCorr)</f>
        <v>0.01594172370514274</v>
      </c>
      <c r="W3" s="54">
        <f>IF(OR(Flag="Ignore",Flag="Hole",Flag="Det"),"",ACOS((Xnorm*VertexCalc!Xnorm*SIGN(VertexCalc!NormDir)+Ynorm*VertexCalc!Ynorm*SIGN(VertexCalc!NormDir))/(SQRT(Xnorm^2+Ynorm^2)*SQRT(VertexCalc!Xnorm^2+VertexCalc!Ynorm^2)))*180/PI()*SIGN(Xnorm*Ynorm))</f>
        <v>-0.18707695701109645</v>
      </c>
      <c r="X3" s="70">
        <f>IF(OR(Flag="Ignore",Flag="Hole",Flag="Det"),"",(1-(Xnorm*GutCalc!Xnorm+Ynorm*GutCalc!Ynorm)/(SQRT(Xnorm^2+Ynorm^2)*SQRT(GutCalc!Xnorm^2+GutCalc!Ynorm^2))))</f>
        <v>1.9999946695368198</v>
      </c>
      <c r="Y3" s="54">
        <f>IF(OR(Flag="Ignore",Flag="Hole",Flag="Det"),"",VertexCalc!Xsag*COS(Theta*PI()/180)-VertexCalc!Ysag*SIN(Theta*PI()/180))</f>
        <v>0.0032651030529392854</v>
      </c>
      <c r="Z3" s="54">
        <f>IF(OR(Flag="Ignore",Flag="Hole",Flag="Det"),"",VertexCalc!Xsag*SIN(Theta*PI()/180)+VertexCalc!Ysag*COS(Theta*PI()/180))</f>
        <v>0.9999946695368199</v>
      </c>
      <c r="AA3" s="54">
        <f>IF(OR(Flag="Ignore",Flag="Hole",Flag="Det"),"",VertexCalc!Zsag)</f>
        <v>0</v>
      </c>
      <c r="AB3" s="55">
        <f aca="true" t="shared" si="13" ref="AB3:AB22">IF(OR(Flag="Ignore",Flag="Hole",Flag="Det"),"",ACOS(Xsag*Xnorm+Ysag*Ynorm+zSag*Znorm)*180/PI())</f>
        <v>89.99999999999967</v>
      </c>
    </row>
    <row r="4" spans="3:28" ht="13.5" thickBot="1">
      <c r="C4" s="15"/>
      <c r="D4" s="16" t="s">
        <v>95</v>
      </c>
      <c r="E4" s="16"/>
      <c r="F4" s="18">
        <f ca="1" t="shared" si="5"/>
        <v>2840.131</v>
      </c>
      <c r="G4" s="18">
        <f ca="1" t="shared" si="0"/>
        <v>3.55E-15</v>
      </c>
      <c r="H4" s="18">
        <f ca="1" t="shared" si="0"/>
        <v>1.42E-14</v>
      </c>
      <c r="I4" s="18">
        <f t="shared" si="6"/>
        <v>1587.505483</v>
      </c>
      <c r="J4" s="18">
        <f t="shared" si="7"/>
        <v>-11.427922999999996</v>
      </c>
      <c r="K4" s="18">
        <f t="shared" si="8"/>
        <v>-55.80343099999999</v>
      </c>
      <c r="L4" s="17">
        <f t="shared" si="1"/>
        <v>1588.5270784253344</v>
      </c>
      <c r="M4" s="17">
        <f t="shared" si="2"/>
        <v>0.9993568914000842</v>
      </c>
      <c r="N4" s="17">
        <f t="shared" si="3"/>
        <v>-0.00719403726584768</v>
      </c>
      <c r="O4" s="17">
        <f t="shared" si="4"/>
        <v>-0.03512903982431101</v>
      </c>
      <c r="P4" s="17">
        <f t="shared" si="9"/>
        <v>-1.9987137828074946</v>
      </c>
      <c r="Q4" s="17">
        <f t="shared" si="10"/>
        <v>2.1741908794170595E-10</v>
      </c>
      <c r="R4" s="17">
        <f t="shared" si="11"/>
        <v>1.6389338497457828E-10</v>
      </c>
      <c r="S4" s="17">
        <f t="shared" si="12"/>
        <v>1.9987137828074946</v>
      </c>
      <c r="T4" s="17">
        <f>IF(OR(Flag="Ignore",Flag="Hole",Flag="Det"),"",dXray/drayMod*VertexCalc!NormDirCorr)</f>
        <v>1</v>
      </c>
      <c r="U4" s="17">
        <f>IF(OR(Flag="Ignore",Flag="Hole",Flag="Det"),"",dYray/drayMod*VertexCalc!NormDirCorr)</f>
        <v>-1.0877950100304412E-10</v>
      </c>
      <c r="V4" s="17">
        <f>IF(OR(Flag="Ignore",Flag="Hole",Flag="Det"),"",dZray/drayMod*VertexCalc!NormDirCorr)</f>
        <v>-8.199942702369588E-11</v>
      </c>
      <c r="W4" s="57">
        <f>IF(OR(Flag="Ignore",Flag="Hole",Flag="Det"),"",ACOS((Xnorm*VertexCalc!Xnorm*SIGN(VertexCalc!NormDir)+Ynorm*VertexCalc!Ynorm*SIGN(VertexCalc!NormDir))/(SQRT(Xnorm^2+Ynorm^2)*SQRT(VertexCalc!Xnorm^2+VertexCalc!Ynorm^2)))*180/PI()*SIGN(Xnorm*Ynorm))</f>
        <v>0</v>
      </c>
      <c r="X4" s="71">
        <f>IF(OR(Flag="Ignore",Flag="Hole",Flag="Det"),"",(1-(Xnorm*GutCalc!Xnorm+Ynorm*GutCalc!Ynorm)/(SQRT(Xnorm^2+Ynorm^2)*SQRT(GutCalc!Xnorm^2+GutCalc!Ynorm^2))))</f>
        <v>2</v>
      </c>
      <c r="Y4" s="57">
        <f>IF(OR(Flag="Ignore",Flag="Hole",Flag="Det"),"",VertexCalc!Xsag*COS(Theta*PI()/180)-VertexCalc!Ysag*SIN(Theta*PI()/180))</f>
        <v>0</v>
      </c>
      <c r="Z4" s="57">
        <f>IF(OR(Flag="Ignore",Flag="Hole",Flag="Det"),"",VertexCalc!Xsag*SIN(Theta*PI()/180)+VertexCalc!Ysag*COS(Theta*PI()/180))</f>
        <v>1</v>
      </c>
      <c r="AA4" s="57">
        <f>IF(OR(Flag="Ignore",Flag="Hole",Flag="Det"),"",VertexCalc!Zsag)</f>
        <v>0</v>
      </c>
      <c r="AB4" s="58">
        <f t="shared" si="13"/>
        <v>90.0000000062326</v>
      </c>
    </row>
    <row r="5" spans="1:28" ht="13.5" thickBot="1">
      <c r="A5" s="1" t="s">
        <v>3</v>
      </c>
      <c r="B5" s="27" t="s">
        <v>165</v>
      </c>
      <c r="C5" s="10" t="s">
        <v>123</v>
      </c>
      <c r="D5" s="11" t="s">
        <v>96</v>
      </c>
      <c r="E5" s="11" t="s">
        <v>163</v>
      </c>
      <c r="F5" s="13">
        <f ca="1" t="shared" si="5"/>
        <v>230.68079</v>
      </c>
      <c r="G5" s="13">
        <f ca="1" t="shared" si="0"/>
        <v>-18.784562</v>
      </c>
      <c r="H5" s="13">
        <f ca="1" t="shared" si="0"/>
        <v>-91.72647</v>
      </c>
      <c r="I5" s="13">
        <f t="shared" si="6"/>
        <v>-2609.45021</v>
      </c>
      <c r="J5" s="13">
        <f t="shared" si="7"/>
        <v>-18.784562000000005</v>
      </c>
      <c r="K5" s="13">
        <f t="shared" si="8"/>
        <v>-91.72647000000002</v>
      </c>
      <c r="L5" s="12">
        <f t="shared" si="1"/>
        <v>2611.129449785521</v>
      </c>
      <c r="M5" s="12">
        <f t="shared" si="2"/>
        <v>-0.9993568914074104</v>
      </c>
      <c r="N5" s="12">
        <f t="shared" si="3"/>
        <v>-0.007194037048428592</v>
      </c>
      <c r="O5" s="12">
        <f t="shared" si="4"/>
        <v>-0.035129039660417624</v>
      </c>
      <c r="P5" s="12">
        <f t="shared" si="9"/>
      </c>
      <c r="Q5" s="12">
        <f t="shared" si="10"/>
      </c>
      <c r="R5" s="12">
        <f t="shared" si="11"/>
      </c>
      <c r="S5" s="12">
        <f t="shared" si="12"/>
      </c>
      <c r="T5" s="12">
        <f>IF(OR(Flag="Ignore",Flag="Hole",Flag="Det"),"",dXray/drayMod*VertexCalc!NormDirCorr)</f>
      </c>
      <c r="U5" s="12">
        <f>IF(OR(Flag="Ignore",Flag="Hole",Flag="Det"),"",dYray/drayMod*VertexCalc!NormDirCorr)</f>
      </c>
      <c r="V5" s="12">
        <f>IF(OR(Flag="Ignore",Flag="Hole",Flag="Det"),"",dZray/drayMod*VertexCalc!NormDirCorr)</f>
      </c>
      <c r="W5" s="54">
        <f>IF(OR(Flag="Ignore",Flag="Hole",Flag="Det"),"",ACOS((Xnorm*VertexCalc!Xnorm*SIGN(VertexCalc!NormDir)+Ynorm*VertexCalc!Ynorm*SIGN(VertexCalc!NormDir))/(SQRT(Xnorm^2+Ynorm^2)*SQRT(VertexCalc!Xnorm^2+VertexCalc!Ynorm^2)))*180/PI()*SIGN(Xnorm*Ynorm))</f>
      </c>
      <c r="X5" s="70">
        <f>IF(OR(Flag="Ignore",Flag="Hole",Flag="Det"),"",(1-(Xnorm*GutCalc!Xnorm+Ynorm*GutCalc!Ynorm)/(SQRT(Xnorm^2+Ynorm^2)*SQRT(GutCalc!Xnorm^2+GutCalc!Ynorm^2))))</f>
      </c>
      <c r="Y5" s="54">
        <f>IF(OR(Flag="Ignore",Flag="Hole",Flag="Det"),"",VertexCalc!Xsag*COS(Theta*PI()/180)-VertexCalc!Ysag*SIN(Theta*PI()/180))</f>
      </c>
      <c r="Z5" s="54">
        <f>IF(OR(Flag="Ignore",Flag="Hole",Flag="Det"),"",VertexCalc!Xsag*SIN(Theta*PI()/180)+VertexCalc!Ysag*COS(Theta*PI()/180))</f>
      </c>
      <c r="AA5" s="54">
        <f>IF(OR(Flag="Ignore",Flag="Hole",Flag="Det"),"",VertexCalc!Zsag)</f>
      </c>
      <c r="AB5" s="55">
        <f t="shared" si="13"/>
      </c>
    </row>
    <row r="6" spans="3:31" s="5" customFormat="1" ht="12.75">
      <c r="C6" s="42"/>
      <c r="D6" s="31" t="s">
        <v>97</v>
      </c>
      <c r="E6" s="31"/>
      <c r="F6" s="33">
        <f ca="1" t="shared" si="5"/>
        <v>131.229806</v>
      </c>
      <c r="G6" s="33">
        <f ca="1" t="shared" si="0"/>
        <v>-19.500476</v>
      </c>
      <c r="H6" s="33">
        <f ca="1" t="shared" si="0"/>
        <v>-95.222336</v>
      </c>
      <c r="I6" s="33">
        <f t="shared" si="6"/>
        <v>-99.450984</v>
      </c>
      <c r="J6" s="33">
        <f t="shared" si="7"/>
        <v>-0.7159139999999979</v>
      </c>
      <c r="K6" s="33">
        <f t="shared" si="8"/>
        <v>-3.4958659999999924</v>
      </c>
      <c r="L6" s="32">
        <f t="shared" si="1"/>
        <v>99.51498294484911</v>
      </c>
      <c r="M6" s="32">
        <f t="shared" si="2"/>
        <v>-0.9993568913649458</v>
      </c>
      <c r="N6" s="32">
        <f t="shared" si="3"/>
        <v>-0.007194032283528152</v>
      </c>
      <c r="O6" s="32">
        <f t="shared" si="4"/>
        <v>-0.03512904184425566</v>
      </c>
      <c r="P6" s="32">
        <f t="shared" si="9"/>
        <v>1.865488011099519</v>
      </c>
      <c r="Q6" s="32">
        <f t="shared" si="10"/>
        <v>0.09853450119552655</v>
      </c>
      <c r="R6" s="32">
        <f t="shared" si="11"/>
        <v>-0.45627079755973815</v>
      </c>
      <c r="S6" s="32">
        <f t="shared" si="12"/>
        <v>1.9230022382170255</v>
      </c>
      <c r="T6" s="32">
        <f>IF(OR(Flag="Ignore",Flag="Hole",Flag="Det"),"",dXray/drayMod*VertexCalc!NormDirCorr)</f>
        <v>-0.9700914403662718</v>
      </c>
      <c r="U6" s="32">
        <f>IF(OR(Flag="Ignore",Flag="Hole",Flag="Det"),"",dYray/drayMod*VertexCalc!NormDirCorr)</f>
        <v>-0.05123993058213288</v>
      </c>
      <c r="V6" s="32">
        <f>IF(OR(Flag="Ignore",Flag="Hole",Flag="Det"),"",dZray/drayMod*VertexCalc!NormDirCorr)</f>
        <v>0.23727002938009295</v>
      </c>
      <c r="W6" s="60">
        <f>IF(OR(Flag="Ignore",Flag="Hole",Flag="Det"),"",ACOS((Xnorm*VertexCalc!Xnorm*SIGN(VertexCalc!NormDir)+Ynorm*VertexCalc!Ynorm*SIGN(VertexCalc!NormDir))/(SQRT(Xnorm^2+Ynorm^2)*SQRT(VertexCalc!Xnorm^2+VertexCalc!Ynorm^2)))*180/PI()*SIGN(Xnorm*Ynorm))</f>
        <v>3.0235356781819513</v>
      </c>
      <c r="X6" s="72">
        <f>IF(OR(Flag="Ignore",Flag="Hole",Flag="Det"),"",(1-(Xnorm*GutCalc!Xnorm+Ynorm*GutCalc!Ynorm)/(SQRT(Xnorm^2+Ynorm^2)*SQRT(GutCalc!Xnorm^2+GutCalc!Ynorm^2))))</f>
        <v>1.9986079521963203</v>
      </c>
      <c r="Y6" s="60">
        <f>IF(OR(Flag="Ignore",Flag="Hole",Flag="Det"),"",VertexCalc!Xsag*COS(Theta*PI()/180)-VertexCalc!Ysag*SIN(Theta*PI()/180))</f>
        <v>-0.05274616393892295</v>
      </c>
      <c r="Z6" s="60">
        <f>IF(OR(Flag="Ignore",Flag="Hole",Flag="Det"),"",VertexCalc!Xsag*SIN(Theta*PI()/180)+VertexCalc!Ysag*COS(Theta*PI()/180))</f>
        <v>0.9986079521963203</v>
      </c>
      <c r="AA6" s="60">
        <f>IF(OR(Flag="Ignore",Flag="Hole",Flag="Det"),"",VertexCalc!Zsag)</f>
        <v>0</v>
      </c>
      <c r="AB6" s="91">
        <f t="shared" si="13"/>
        <v>90</v>
      </c>
      <c r="AD6" s="38"/>
      <c r="AE6" s="38"/>
    </row>
    <row r="7" spans="3:28" ht="12.75">
      <c r="C7" s="20"/>
      <c r="D7" s="21" t="s">
        <v>99</v>
      </c>
      <c r="E7" s="21"/>
      <c r="F7" s="23">
        <f ca="1" t="shared" si="5"/>
        <v>316.117194</v>
      </c>
      <c r="G7" s="23">
        <f ca="1" t="shared" si="0"/>
        <v>-0.002619</v>
      </c>
      <c r="H7" s="23">
        <f ca="1" t="shared" si="0"/>
        <v>-200.11827</v>
      </c>
      <c r="I7" s="23">
        <f t="shared" si="6"/>
        <v>184.887388</v>
      </c>
      <c r="J7" s="23">
        <f t="shared" si="7"/>
        <v>19.497857</v>
      </c>
      <c r="K7" s="23">
        <f t="shared" si="8"/>
        <v>-104.895934</v>
      </c>
      <c r="L7" s="22">
        <f t="shared" si="1"/>
        <v>213.46350891613147</v>
      </c>
      <c r="M7" s="22">
        <f t="shared" si="2"/>
        <v>0.8661311197345731</v>
      </c>
      <c r="N7" s="22">
        <f t="shared" si="3"/>
        <v>0.0913404689119984</v>
      </c>
      <c r="O7" s="22">
        <f t="shared" si="4"/>
        <v>-0.4913998394039938</v>
      </c>
      <c r="P7" s="22">
        <f t="shared" si="9"/>
        <v>-1.855901950093028</v>
      </c>
      <c r="Q7" s="22">
        <f t="shared" si="10"/>
        <v>6.11796668881226E-10</v>
      </c>
      <c r="R7" s="22">
        <f t="shared" si="11"/>
        <v>0.6009928227501324</v>
      </c>
      <c r="S7" s="22">
        <f t="shared" si="12"/>
        <v>1.9507855908213687</v>
      </c>
      <c r="T7" s="22">
        <f>IF(OR(Flag="Ignore",Flag="Hole",Flag="Det"),"",dXray/drayMod*VertexCalc!NormDirCorr)</f>
        <v>0.9513613176277408</v>
      </c>
      <c r="U7" s="22">
        <f>IF(OR(Flag="Ignore",Flag="Hole",Flag="Det"),"",dYray/drayMod*VertexCalc!NormDirCorr)</f>
        <v>-3.136155360998089E-10</v>
      </c>
      <c r="V7" s="22">
        <f>IF(OR(Flag="Ignore",Flag="Hole",Flag="Det"),"",dZray/drayMod*VertexCalc!NormDirCorr)</f>
        <v>-0.3080773333460431</v>
      </c>
      <c r="W7" s="51">
        <f>IF(OR(Flag="Ignore",Flag="Hole",Flag="Det"),"",ACOS((Xnorm*VertexCalc!Xnorm*SIGN(VertexCalc!NormDir)+Ynorm*VertexCalc!Ynorm*SIGN(VertexCalc!NormDir))/(SQRT(Xnorm^2+Ynorm^2)*SQRT(VertexCalc!Xnorm^2+VertexCalc!Ynorm^2)))*180/PI()*SIGN(Xnorm*Ynorm))</f>
        <v>0</v>
      </c>
      <c r="X7" s="73">
        <f>IF(OR(Flag="Ignore",Flag="Hole",Flag="Det"),"",(1-(Xnorm*GutCalc!Xnorm+Ynorm*GutCalc!Ynorm)/(SQRT(Xnorm^2+Ynorm^2)*SQRT(GutCalc!Xnorm^2+GutCalc!Ynorm^2))))</f>
        <v>2</v>
      </c>
      <c r="Y7" s="51">
        <f>IF(OR(Flag="Ignore",Flag="Hole",Flag="Det"),"",VertexCalc!Xsag*COS(Theta*PI()/180)-VertexCalc!Ysag*SIN(Theta*PI()/180))</f>
        <v>0</v>
      </c>
      <c r="Z7" s="51">
        <f>IF(OR(Flag="Ignore",Flag="Hole",Flag="Det"),"",VertexCalc!Xsag*SIN(Theta*PI()/180)+VertexCalc!Ysag*COS(Theta*PI()/180))</f>
        <v>1</v>
      </c>
      <c r="AA7" s="51">
        <f>IF(OR(Flag="Ignore",Flag="Hole",Flag="Det"),"",VertexCalc!Zsag)</f>
        <v>0</v>
      </c>
      <c r="AB7" s="52">
        <f t="shared" si="13"/>
        <v>90.00000001796884</v>
      </c>
    </row>
    <row r="8" spans="3:28" ht="13.5" thickBot="1">
      <c r="C8" s="15"/>
      <c r="D8" s="16" t="s">
        <v>100</v>
      </c>
      <c r="E8" s="16"/>
      <c r="F8" s="18">
        <f ca="1" t="shared" si="5"/>
        <v>120.717899</v>
      </c>
      <c r="G8" s="18">
        <f ca="1" t="shared" si="0"/>
        <v>18.0297</v>
      </c>
      <c r="H8" s="18">
        <f ca="1" t="shared" si="0"/>
        <v>-178.482563</v>
      </c>
      <c r="I8" s="18">
        <f t="shared" si="6"/>
        <v>-195.399295</v>
      </c>
      <c r="J8" s="18">
        <f t="shared" si="7"/>
        <v>18.032318999999998</v>
      </c>
      <c r="K8" s="18">
        <f t="shared" si="8"/>
        <v>21.635706999999996</v>
      </c>
      <c r="L8" s="17">
        <f t="shared" si="1"/>
        <v>197.4187246246025</v>
      </c>
      <c r="M8" s="17">
        <f t="shared" si="2"/>
        <v>-0.989770830358455</v>
      </c>
      <c r="N8" s="17">
        <f t="shared" si="3"/>
        <v>0.09134046952379507</v>
      </c>
      <c r="O8" s="17">
        <f t="shared" si="4"/>
        <v>0.10959298334613866</v>
      </c>
      <c r="P8" s="17">
        <f t="shared" si="9"/>
        <v>1.899207903316571</v>
      </c>
      <c r="Q8" s="17">
        <f t="shared" si="10"/>
        <v>-0.12784904994035776</v>
      </c>
      <c r="R8" s="17">
        <f t="shared" si="11"/>
        <v>-0.5238288266592709</v>
      </c>
      <c r="S8" s="17">
        <f t="shared" si="12"/>
        <v>1.9742676311052678</v>
      </c>
      <c r="T8" s="17">
        <f>IF(OR(Flag="Ignore",Flag="Hole",Flag="Det"),"",dXray/drayMod*VertexCalc!NormDirCorr)</f>
        <v>-0.9619809763346646</v>
      </c>
      <c r="U8" s="17">
        <f>IF(OR(Flag="Ignore",Flag="Hole",Flag="Det"),"",dYray/drayMod*VertexCalc!NormDirCorr)</f>
        <v>0.06475770960636332</v>
      </c>
      <c r="V8" s="17">
        <f>IF(OR(Flag="Ignore",Flag="Hole",Flag="Det"),"",dZray/drayMod*VertexCalc!NormDirCorr)</f>
        <v>0.26532817456264135</v>
      </c>
      <c r="W8" s="57">
        <f>IF(OR(Flag="Ignore",Flag="Hole",Flag="Det"),"",ACOS((Xnorm*VertexCalc!Xnorm*SIGN(VertexCalc!NormDir)+Ynorm*VertexCalc!Ynorm*SIGN(VertexCalc!NormDir))/(SQRT(Xnorm^2+Ynorm^2)*SQRT(VertexCalc!Xnorm^2+VertexCalc!Ynorm^2)))*180/PI()*SIGN(Xnorm*Ynorm))</f>
        <v>-3.851171857661354</v>
      </c>
      <c r="X8" s="71">
        <f>IF(OR(Flag="Ignore",Flag="Hole",Flag="Det"),"",(1-(Xnorm*GutCalc!Xnorm+Ynorm*GutCalc!Ynorm)/(SQRT(Xnorm^2+Ynorm^2)*SQRT(GutCalc!Xnorm^2+GutCalc!Ynorm^2))))</f>
        <v>1.997741879973789</v>
      </c>
      <c r="Y8" s="57">
        <f>IF(OR(Flag="Ignore",Flag="Hole",Flag="Det"),"",VertexCalc!Xsag*COS(Theta*PI()/180)-VertexCalc!Ysag*SIN(Theta*PI()/180))</f>
        <v>0.06716502770318128</v>
      </c>
      <c r="Z8" s="57">
        <f>IF(OR(Flag="Ignore",Flag="Hole",Flag="Det"),"",VertexCalc!Xsag*SIN(Theta*PI()/180)+VertexCalc!Ysag*COS(Theta*PI()/180))</f>
        <v>0.997741879973789</v>
      </c>
      <c r="AA8" s="57">
        <f>IF(OR(Flag="Ignore",Flag="Hole",Flag="Det"),"",VertexCalc!Zsag)</f>
        <v>0</v>
      </c>
      <c r="AB8" s="58">
        <f t="shared" si="13"/>
        <v>90.0000000000001</v>
      </c>
    </row>
    <row r="9" spans="3:28" ht="12.75">
      <c r="C9" s="10" t="s">
        <v>124</v>
      </c>
      <c r="D9" s="11" t="s">
        <v>103</v>
      </c>
      <c r="E9" s="11"/>
      <c r="F9" s="13">
        <f ca="1" t="shared" si="5"/>
        <v>296.485541</v>
      </c>
      <c r="G9" s="13">
        <f ca="1" t="shared" si="0"/>
        <v>10.973657</v>
      </c>
      <c r="H9" s="13">
        <f ca="1" t="shared" si="0"/>
        <v>-258.542261</v>
      </c>
      <c r="I9" s="13">
        <f t="shared" si="6"/>
        <v>175.76764200000002</v>
      </c>
      <c r="J9" s="13">
        <f t="shared" si="7"/>
        <v>-7.056042999999999</v>
      </c>
      <c r="K9" s="13">
        <f t="shared" si="8"/>
        <v>-80.059698</v>
      </c>
      <c r="L9" s="12">
        <f t="shared" si="1"/>
        <v>193.27081249094294</v>
      </c>
      <c r="M9" s="12">
        <f t="shared" si="2"/>
        <v>0.9094370729581159</v>
      </c>
      <c r="N9" s="12">
        <f t="shared" si="3"/>
        <v>-0.036508580416562686</v>
      </c>
      <c r="O9" s="12">
        <f t="shared" si="4"/>
        <v>-0.41423584331313223</v>
      </c>
      <c r="P9" s="12">
        <f t="shared" si="9"/>
        <v>-1.9047756806395706</v>
      </c>
      <c r="Q9" s="12">
        <f t="shared" si="10"/>
        <v>0.059000516695390914</v>
      </c>
      <c r="R9" s="12">
        <f t="shared" si="11"/>
        <v>0.32045328170825516</v>
      </c>
      <c r="S9" s="12">
        <f t="shared" si="12"/>
        <v>1.932444503804405</v>
      </c>
      <c r="T9" s="12">
        <f>IF(OR(Flag="Ignore",Flag="Hole",Flag="Det"),"",dXray/drayMod*VertexCalc!NormDirCorr)</f>
        <v>0.9856819571737441</v>
      </c>
      <c r="U9" s="12">
        <f>IF(OR(Flag="Ignore",Flag="Hole",Flag="Det"),"",dYray/drayMod*VertexCalc!NormDirCorr)</f>
        <v>-0.030531545190165387</v>
      </c>
      <c r="V9" s="12">
        <f>IF(OR(Flag="Ignore",Flag="Hole",Flag="Det"),"",dZray/drayMod*VertexCalc!NormDirCorr)</f>
        <v>-0.16582793507258736</v>
      </c>
      <c r="W9" s="54">
        <f>IF(OR(Flag="Ignore",Flag="Hole",Flag="Det"),"",ACOS((Xnorm*VertexCalc!Xnorm*SIGN(VertexCalc!NormDir)+Ynorm*VertexCalc!Ynorm*SIGN(VertexCalc!NormDir))/(SQRT(Xnorm^2+Ynorm^2)*SQRT(VertexCalc!Xnorm^2+VertexCalc!Ynorm^2)))*180/PI()*SIGN(Xnorm*Ynorm))</f>
        <v>-1.774172210408984</v>
      </c>
      <c r="X9" s="70">
        <f>IF(OR(Flag="Ignore",Flag="Hole",Flag="Det"),"",(1-(Xnorm*GutCalc!Xnorm+Ynorm*GutCalc!Ynorm)/(SQRT(Xnorm^2+Ynorm^2)*SQRT(GutCalc!Xnorm^2+GutCalc!Ynorm^2))))</f>
        <v>1.9995206181550353</v>
      </c>
      <c r="Y9" s="54">
        <f>IF(OR(Flag="Ignore",Flag="Hole",Flag="Det"),"",VertexCalc!Xsag*COS(Theta*PI()/180)-VertexCalc!Ysag*SIN(Theta*PI()/180))</f>
        <v>0.030960198367840246</v>
      </c>
      <c r="Z9" s="54">
        <f>IF(OR(Flag="Ignore",Flag="Hole",Flag="Det"),"",VertexCalc!Xsag*SIN(Theta*PI()/180)+VertexCalc!Ysag*COS(Theta*PI()/180))</f>
        <v>0.9995206181550353</v>
      </c>
      <c r="AA9" s="54">
        <f>IF(OR(Flag="Ignore",Flag="Hole",Flag="Det"),"",VertexCalc!Zsag)</f>
        <v>0</v>
      </c>
      <c r="AB9" s="55">
        <f t="shared" si="13"/>
        <v>90.00000000000014</v>
      </c>
    </row>
    <row r="10" spans="3:28" ht="12.75">
      <c r="C10" s="20"/>
      <c r="D10" s="21" t="s">
        <v>106</v>
      </c>
      <c r="E10" s="21"/>
      <c r="F10" s="23">
        <f ca="1" t="shared" si="5"/>
        <v>95.212653</v>
      </c>
      <c r="G10" s="23">
        <f ca="1" t="shared" si="0"/>
        <v>15.521875</v>
      </c>
      <c r="H10" s="23">
        <f ca="1" t="shared" si="0"/>
        <v>-277.506548</v>
      </c>
      <c r="I10" s="23">
        <f t="shared" si="6"/>
        <v>-201.27288800000002</v>
      </c>
      <c r="J10" s="23">
        <f t="shared" si="7"/>
        <v>4.548218</v>
      </c>
      <c r="K10" s="23">
        <f t="shared" si="8"/>
        <v>-18.964287000000013</v>
      </c>
      <c r="L10" s="22">
        <f t="shared" si="1"/>
        <v>202.21549374925365</v>
      </c>
      <c r="M10" s="22">
        <f t="shared" si="2"/>
        <v>-0.9953386076814547</v>
      </c>
      <c r="N10" s="22">
        <f t="shared" si="3"/>
        <v>0.022491936278828225</v>
      </c>
      <c r="O10" s="22">
        <f t="shared" si="4"/>
        <v>-0.09378256160487707</v>
      </c>
      <c r="P10" s="22">
        <f t="shared" si="9"/>
        <v>1.765649781823539</v>
      </c>
      <c r="Q10" s="22">
        <f t="shared" si="10"/>
        <v>-0.08676686012427744</v>
      </c>
      <c r="R10" s="22">
        <f t="shared" si="11"/>
        <v>-0.5406379843711379</v>
      </c>
      <c r="S10" s="22">
        <f t="shared" si="12"/>
        <v>1.8486040869299796</v>
      </c>
      <c r="T10" s="22">
        <f>IF(OR(Flag="Ignore",Flag="Hole",Flag="Det"),"",dXray/drayMod*VertexCalc!NormDirCorr)</f>
        <v>-0.9551259754898602</v>
      </c>
      <c r="U10" s="22">
        <f>IF(OR(Flag="Ignore",Flag="Hole",Flag="Det"),"",dYray/drayMod*VertexCalc!NormDirCorr)</f>
        <v>0.04693642123683347</v>
      </c>
      <c r="V10" s="22">
        <f>IF(OR(Flag="Ignore",Flag="Hole",Flag="Det"),"",dZray/drayMod*VertexCalc!NormDirCorr)</f>
        <v>0.29245742135569336</v>
      </c>
      <c r="W10" s="51">
        <f>IF(OR(Flag="Ignore",Flag="Hole",Flag="Det"),"",ACOS((Xnorm*VertexCalc!Xnorm*SIGN(VertexCalc!NormDir)+Ynorm*VertexCalc!Ynorm*SIGN(VertexCalc!NormDir))/(SQRT(Xnorm^2+Ynorm^2)*SQRT(VertexCalc!Xnorm^2+VertexCalc!Ynorm^2)))*180/PI()*SIGN(Xnorm*Ynorm))</f>
        <v>-2.813343246164872</v>
      </c>
      <c r="X10" s="73">
        <f>IF(OR(Flag="Ignore",Flag="Hole",Flag="Det"),"",(1-(Xnorm*GutCalc!Xnorm+Ynorm*GutCalc!Ynorm)/(SQRT(Xnorm^2+Ynorm^2)*SQRT(GutCalc!Xnorm^2+GutCalc!Ynorm^2))))</f>
        <v>1.9987947339473329</v>
      </c>
      <c r="Y10" s="51">
        <f>IF(OR(Flag="Ignore",Flag="Hole",Flag="Det"),"",VertexCalc!Xsag*COS(Theta*PI()/180)-VertexCalc!Ysag*SIN(Theta*PI()/180))</f>
        <v>0.049082374016305906</v>
      </c>
      <c r="Z10" s="51">
        <f>IF(OR(Flag="Ignore",Flag="Hole",Flag="Det"),"",VertexCalc!Xsag*SIN(Theta*PI()/180)+VertexCalc!Ysag*COS(Theta*PI()/180))</f>
        <v>0.9987947339473329</v>
      </c>
      <c r="AA10" s="51">
        <f>IF(OR(Flag="Ignore",Flag="Hole",Flag="Det"),"",VertexCalc!Zsag)</f>
        <v>0</v>
      </c>
      <c r="AB10" s="52">
        <f t="shared" si="13"/>
        <v>89.99999999999997</v>
      </c>
    </row>
    <row r="11" spans="3:28" ht="12.75">
      <c r="C11" s="20"/>
      <c r="D11" s="21" t="s">
        <v>109</v>
      </c>
      <c r="E11" s="21"/>
      <c r="F11" s="23">
        <f ca="1" t="shared" si="5"/>
        <v>240.450296</v>
      </c>
      <c r="G11" s="23">
        <f ca="1" t="shared" si="0"/>
        <v>3.403216</v>
      </c>
      <c r="H11" s="23">
        <f ca="1" t="shared" si="0"/>
        <v>-397.122812</v>
      </c>
      <c r="I11" s="23">
        <f t="shared" si="6"/>
        <v>145.237643</v>
      </c>
      <c r="J11" s="23">
        <f t="shared" si="7"/>
        <v>-12.118659</v>
      </c>
      <c r="K11" s="23">
        <f t="shared" si="8"/>
        <v>-119.616264</v>
      </c>
      <c r="L11" s="22">
        <f t="shared" si="1"/>
        <v>188.544120707784</v>
      </c>
      <c r="M11" s="22">
        <f t="shared" si="2"/>
        <v>0.7703111741420844</v>
      </c>
      <c r="N11" s="22">
        <f t="shared" si="3"/>
        <v>-0.06427492384544921</v>
      </c>
      <c r="O11" s="22">
        <f t="shared" si="4"/>
        <v>-0.6344205459760149</v>
      </c>
      <c r="P11" s="22">
        <f t="shared" si="9"/>
        <v>-1.4459407318430586</v>
      </c>
      <c r="Q11" s="22">
        <f t="shared" si="10"/>
        <v>0.0172099789170403</v>
      </c>
      <c r="R11" s="22">
        <f t="shared" si="11"/>
        <v>-0.1013169015687404</v>
      </c>
      <c r="S11" s="22">
        <f t="shared" si="12"/>
        <v>1.449588182181634</v>
      </c>
      <c r="T11" s="22">
        <f>IF(OR(Flag="Ignore",Flag="Hole",Flag="Det"),"",dXray/drayMod*VertexCalc!NormDirCorr)</f>
        <v>0.9974838023768337</v>
      </c>
      <c r="U11" s="22">
        <f>IF(OR(Flag="Ignore",Flag="Hole",Flag="Det"),"",dYray/drayMod*VertexCalc!NormDirCorr)</f>
        <v>-0.011872322862855597</v>
      </c>
      <c r="V11" s="22">
        <f>IF(OR(Flag="Ignore",Flag="Hole",Flag="Det"),"",dZray/drayMod*VertexCalc!NormDirCorr)</f>
        <v>0.06989357585425275</v>
      </c>
      <c r="W11" s="51">
        <f>IF(OR(Flag="Ignore",Flag="Hole",Flag="Det"),"",ACOS((Xnorm*VertexCalc!Xnorm*SIGN(VertexCalc!NormDir)+Ynorm*VertexCalc!Ynorm*SIGN(VertexCalc!NormDir))/(SQRT(Xnorm^2+Ynorm^2)*SQRT(VertexCalc!Xnorm^2+VertexCalc!Ynorm^2)))*180/PI()*SIGN(Xnorm*Ynorm))</f>
        <v>-0.6819177139485171</v>
      </c>
      <c r="X11" s="73">
        <f>IF(OR(Flag="Ignore",Flag="Hole",Flag="Det"),"",(1-(Xnorm*GutCalc!Xnorm+Ynorm*GutCalc!Ynorm)/(SQRT(Xnorm^2+Ynorm^2)*SQRT(GutCalc!Xnorm^2+GutCalc!Ynorm^2))))</f>
        <v>1.9999291754934738</v>
      </c>
      <c r="Y11" s="51">
        <f>IF(OR(Flag="Ignore",Flag="Hole",Flag="Det"),"",VertexCalc!Xsag*COS(Theta*PI()/180)-VertexCalc!Ysag*SIN(Theta*PI()/180))</f>
        <v>0.011901428357184274</v>
      </c>
      <c r="Z11" s="51">
        <f>IF(OR(Flag="Ignore",Flag="Hole",Flag="Det"),"",VertexCalc!Xsag*SIN(Theta*PI()/180)+VertexCalc!Ysag*COS(Theta*PI()/180))</f>
        <v>0.999929175493474</v>
      </c>
      <c r="AA11" s="51">
        <f>IF(OR(Flag="Ignore",Flag="Hole",Flag="Det"),"",VertexCalc!Zsag)</f>
        <v>0</v>
      </c>
      <c r="AB11" s="52">
        <f t="shared" si="13"/>
        <v>90.00000000000044</v>
      </c>
    </row>
    <row r="12" spans="3:28" ht="12.75">
      <c r="C12" s="20"/>
      <c r="D12" s="21" t="s">
        <v>110</v>
      </c>
      <c r="E12" s="21" t="s">
        <v>163</v>
      </c>
      <c r="F12" s="23">
        <f ca="1" t="shared" si="5"/>
        <v>192.856362</v>
      </c>
      <c r="G12" s="23">
        <f ca="1" t="shared" si="0"/>
        <v>0.087781</v>
      </c>
      <c r="H12" s="23">
        <f ca="1" t="shared" si="0"/>
        <v>-448.950976</v>
      </c>
      <c r="I12" s="23">
        <f t="shared" si="6"/>
        <v>-47.59393400000002</v>
      </c>
      <c r="J12" s="23">
        <f t="shared" si="7"/>
        <v>-3.315435</v>
      </c>
      <c r="K12" s="23">
        <f t="shared" si="8"/>
        <v>-51.828164000000015</v>
      </c>
      <c r="L12" s="22">
        <f t="shared" si="1"/>
        <v>70.44383043564909</v>
      </c>
      <c r="M12" s="22">
        <f t="shared" si="2"/>
        <v>-0.6756295577009742</v>
      </c>
      <c r="N12" s="22">
        <f t="shared" si="3"/>
        <v>-0.04706494492840891</v>
      </c>
      <c r="O12" s="22">
        <f t="shared" si="4"/>
        <v>-0.7357374475447553</v>
      </c>
      <c r="P12" s="22">
        <f t="shared" si="9"/>
      </c>
      <c r="Q12" s="22">
        <f t="shared" si="10"/>
      </c>
      <c r="R12" s="22">
        <f t="shared" si="11"/>
      </c>
      <c r="S12" s="22">
        <f t="shared" si="12"/>
      </c>
      <c r="T12" s="22">
        <f>IF(OR(Flag="Ignore",Flag="Hole",Flag="Det"),"",dXray/drayMod*VertexCalc!NormDirCorr)</f>
      </c>
      <c r="U12" s="22">
        <f>IF(OR(Flag="Ignore",Flag="Hole",Flag="Det"),"",dYray/drayMod*VertexCalc!NormDirCorr)</f>
      </c>
      <c r="V12" s="22">
        <f>IF(OR(Flag="Ignore",Flag="Hole",Flag="Det"),"",dZray/drayMod*VertexCalc!NormDirCorr)</f>
      </c>
      <c r="W12" s="51">
        <f>IF(OR(Flag="Ignore",Flag="Hole",Flag="Det"),"",ACOS((Xnorm*VertexCalc!Xnorm*SIGN(VertexCalc!NormDir)+Ynorm*VertexCalc!Ynorm*SIGN(VertexCalc!NormDir))/(SQRT(Xnorm^2+Ynorm^2)*SQRT(VertexCalc!Xnorm^2+VertexCalc!Ynorm^2)))*180/PI()*SIGN(Xnorm*Ynorm))</f>
      </c>
      <c r="X12" s="73">
        <f>IF(OR(Flag="Ignore",Flag="Hole",Flag="Det"),"",(1-(Xnorm*GutCalc!Xnorm+Ynorm*GutCalc!Ynorm)/(SQRT(Xnorm^2+Ynorm^2)*SQRT(GutCalc!Xnorm^2+GutCalc!Ynorm^2))))</f>
      </c>
      <c r="Y12" s="51">
        <f>IF(OR(Flag="Ignore",Flag="Hole",Flag="Det"),"",VertexCalc!Xsag*COS(Theta*PI()/180)-VertexCalc!Ysag*SIN(Theta*PI()/180))</f>
      </c>
      <c r="Z12" s="51">
        <f>IF(OR(Flag="Ignore",Flag="Hole",Flag="Det"),"",VertexCalc!Xsag*SIN(Theta*PI()/180)+VertexCalc!Ysag*COS(Theta*PI()/180))</f>
      </c>
      <c r="AA12" s="51">
        <f>IF(OR(Flag="Ignore",Flag="Hole",Flag="Det"),"",VertexCalc!Zsag)</f>
      </c>
      <c r="AB12" s="52">
        <f t="shared" si="13"/>
      </c>
    </row>
    <row r="13" spans="3:28" ht="13.5" thickBot="1">
      <c r="C13" s="15"/>
      <c r="D13" s="16" t="s">
        <v>111</v>
      </c>
      <c r="E13" s="16"/>
      <c r="F13" s="18">
        <f ca="1" t="shared" si="5"/>
        <v>104.811354</v>
      </c>
      <c r="G13" s="18">
        <f ca="1" t="shared" si="0"/>
        <v>-6.04551</v>
      </c>
      <c r="H13" s="18">
        <f ca="1" t="shared" si="0"/>
        <v>-544.828974</v>
      </c>
      <c r="I13" s="18">
        <f t="shared" si="6"/>
        <v>-88.045008</v>
      </c>
      <c r="J13" s="18">
        <f t="shared" si="7"/>
        <v>-6.133291</v>
      </c>
      <c r="K13" s="18">
        <f t="shared" si="8"/>
        <v>-95.87799799999999</v>
      </c>
      <c r="L13" s="17">
        <f t="shared" si="1"/>
        <v>130.3155063401848</v>
      </c>
      <c r="M13" s="17">
        <f t="shared" si="2"/>
        <v>-0.6756295583900896</v>
      </c>
      <c r="N13" s="17">
        <f t="shared" si="3"/>
        <v>-0.047064936263142954</v>
      </c>
      <c r="O13" s="17">
        <f t="shared" si="4"/>
        <v>-0.7357374474662538</v>
      </c>
      <c r="P13" s="17">
        <f t="shared" si="9"/>
        <v>1.667834875605041</v>
      </c>
      <c r="Q13" s="17">
        <f t="shared" si="10"/>
        <v>0.032334725830780044</v>
      </c>
      <c r="R13" s="17">
        <f t="shared" si="11"/>
        <v>0.8594776163322944</v>
      </c>
      <c r="S13" s="17">
        <f t="shared" si="12"/>
        <v>1.8765448248723706</v>
      </c>
      <c r="T13" s="17">
        <f>IF(OR(Flag="Ignore",Flag="Hole",Flag="Det"),"",dXray/drayMod*VertexCalc!NormDirCorr)</f>
        <v>-0.8887796622276131</v>
      </c>
      <c r="U13" s="17">
        <f>IF(OR(Flag="Ignore",Flag="Hole",Flag="Det"),"",dYray/drayMod*VertexCalc!NormDirCorr)</f>
        <v>-0.01723099038307237</v>
      </c>
      <c r="V13" s="17">
        <f>IF(OR(Flag="Ignore",Flag="Hole",Flag="Det"),"",dZray/drayMod*VertexCalc!NormDirCorr)</f>
        <v>-0.4580107040026342</v>
      </c>
      <c r="W13" s="57">
        <f>IF(OR(Flag="Ignore",Flag="Hole",Flag="Det"),"",ACOS((Xnorm*VertexCalc!Xnorm*SIGN(VertexCalc!NormDir)+Ynorm*VertexCalc!Ynorm*SIGN(VertexCalc!NormDir))/(SQRT(Xnorm^2+Ynorm^2)*SQRT(VertexCalc!Xnorm^2+VertexCalc!Ynorm^2)))*180/PI()*SIGN(Xnorm*Ynorm))</f>
        <v>1.110668260058832</v>
      </c>
      <c r="X13" s="71">
        <f>IF(OR(Flag="Ignore",Flag="Hole",Flag="Det"),"",(1-(Xnorm*GutCalc!Xnorm+Ynorm*GutCalc!Ynorm)/(SQRT(Xnorm^2+Ynorm^2)*SQRT(GutCalc!Xnorm^2+GutCalc!Ynorm^2))))</f>
        <v>1.9998121202982921</v>
      </c>
      <c r="Y13" s="57">
        <f>IF(OR(Flag="Ignore",Flag="Hole",Flag="Det"),"",VertexCalc!Xsag*COS(Theta*PI()/180)-VertexCalc!Ysag*SIN(Theta*PI()/180))</f>
        <v>-0.019383604015606726</v>
      </c>
      <c r="Z13" s="57">
        <f>IF(OR(Flag="Ignore",Flag="Hole",Flag="Det"),"",VertexCalc!Xsag*SIN(Theta*PI()/180)+VertexCalc!Ysag*COS(Theta*PI()/180))</f>
        <v>0.9998121202982919</v>
      </c>
      <c r="AA13" s="57">
        <f>IF(OR(Flag="Ignore",Flag="Hole",Flag="Det"),"",VertexCalc!Zsag)</f>
        <v>0</v>
      </c>
      <c r="AB13" s="58">
        <f t="shared" si="13"/>
        <v>89.99999999999967</v>
      </c>
    </row>
    <row r="14" spans="3:28" ht="12.75">
      <c r="C14" s="10" t="s">
        <v>125</v>
      </c>
      <c r="D14" s="11" t="s">
        <v>113</v>
      </c>
      <c r="E14" s="11"/>
      <c r="F14" s="13">
        <f ca="1" t="shared" si="5"/>
        <v>238.733246</v>
      </c>
      <c r="G14" s="13">
        <f ca="1" t="shared" si="0"/>
        <v>-8.033705</v>
      </c>
      <c r="H14" s="13">
        <f ca="1" t="shared" si="0"/>
        <v>-528.127272</v>
      </c>
      <c r="I14" s="13">
        <f t="shared" si="6"/>
        <v>133.921892</v>
      </c>
      <c r="J14" s="13">
        <f t="shared" si="7"/>
        <v>-1.9881949999999993</v>
      </c>
      <c r="K14" s="13">
        <f t="shared" si="8"/>
        <v>16.70170200000007</v>
      </c>
      <c r="L14" s="12">
        <f t="shared" si="1"/>
        <v>134.97397129044734</v>
      </c>
      <c r="M14" s="12">
        <f t="shared" si="2"/>
        <v>0.9922053172149512</v>
      </c>
      <c r="N14" s="12">
        <f t="shared" si="3"/>
        <v>-0.01473021043236291</v>
      </c>
      <c r="O14" s="12">
        <f t="shared" si="4"/>
        <v>0.1237401688660406</v>
      </c>
      <c r="P14" s="12">
        <f t="shared" si="9"/>
        <v>-1.7209942911092517</v>
      </c>
      <c r="Q14" s="12">
        <f t="shared" si="10"/>
        <v>-2.6543276257506854E-11</v>
      </c>
      <c r="R14" s="12">
        <f t="shared" si="11"/>
        <v>-0.8083200783214151</v>
      </c>
      <c r="S14" s="12">
        <f t="shared" si="12"/>
        <v>1.9013686383887198</v>
      </c>
      <c r="T14" s="12">
        <f>IF(OR(Flag="Ignore",Flag="Hole",Flag="Det"),"",dXray/drayMod*VertexCalc!NormDirCorr)</f>
        <v>0.9051344680680528</v>
      </c>
      <c r="U14" s="12">
        <f>IF(OR(Flag="Ignore",Flag="Hole",Flag="Det"),"",dYray/drayMod*VertexCalc!NormDirCorr)</f>
        <v>1.3960089443781121E-11</v>
      </c>
      <c r="V14" s="12">
        <f>IF(OR(Flag="Ignore",Flag="Hole",Flag="Det"),"",dZray/drayMod*VertexCalc!NormDirCorr)</f>
        <v>0.4251253870508831</v>
      </c>
      <c r="W14" s="54">
        <f>IF(OR(Flag="Ignore",Flag="Hole",Flag="Det"),"",ACOS((Xnorm*VertexCalc!Xnorm*SIGN(VertexCalc!NormDir)+Ynorm*VertexCalc!Ynorm*SIGN(VertexCalc!NormDir))/(SQRT(Xnorm^2+Ynorm^2)*SQRT(VertexCalc!Xnorm^2+VertexCalc!Ynorm^2)))*180/PI()*SIGN(Xnorm*Ynorm))</f>
        <v>0</v>
      </c>
      <c r="X14" s="70">
        <f>IF(OR(Flag="Ignore",Flag="Hole",Flag="Det"),"",(1-(Xnorm*GutCalc!Xnorm+Ynorm*GutCalc!Ynorm)/(SQRT(Xnorm^2+Ynorm^2)*SQRT(GutCalc!Xnorm^2+GutCalc!Ynorm^2))))</f>
        <v>2</v>
      </c>
      <c r="Y14" s="54">
        <f>IF(OR(Flag="Ignore",Flag="Hole",Flag="Det"),"",VertexCalc!Xsag*COS(Theta*PI()/180)-VertexCalc!Ysag*SIN(Theta*PI()/180))</f>
        <v>0</v>
      </c>
      <c r="Z14" s="54">
        <f>IF(OR(Flag="Ignore",Flag="Hole",Flag="Det"),"",VertexCalc!Xsag*SIN(Theta*PI()/180)+VertexCalc!Ysag*COS(Theta*PI()/180))</f>
        <v>1</v>
      </c>
      <c r="AA14" s="54">
        <f>IF(OR(Flag="Ignore",Flag="Hole",Flag="Det"),"",VertexCalc!Zsag)</f>
        <v>0</v>
      </c>
      <c r="AB14" s="55">
        <f t="shared" si="13"/>
        <v>89.99999999920014</v>
      </c>
    </row>
    <row r="15" spans="3:28" ht="12.75">
      <c r="C15" s="20"/>
      <c r="D15" s="21" t="s">
        <v>115</v>
      </c>
      <c r="E15" s="21"/>
      <c r="F15" s="23">
        <f ca="1" t="shared" si="5"/>
        <v>133.090238</v>
      </c>
      <c r="G15" s="23">
        <f ca="1" t="shared" si="0"/>
        <v>-10.168951</v>
      </c>
      <c r="H15" s="23">
        <f ca="1" t="shared" si="0"/>
        <v>-627.36187</v>
      </c>
      <c r="I15" s="23">
        <f t="shared" si="6"/>
        <v>-105.64300800000001</v>
      </c>
      <c r="J15" s="23">
        <f t="shared" si="7"/>
        <v>-2.1352460000000004</v>
      </c>
      <c r="K15" s="23">
        <f t="shared" si="8"/>
        <v>-99.234598</v>
      </c>
      <c r="L15" s="22">
        <f t="shared" si="1"/>
        <v>144.95692413606943</v>
      </c>
      <c r="M15" s="22">
        <f t="shared" si="2"/>
        <v>-0.7287889738943005</v>
      </c>
      <c r="N15" s="22">
        <f t="shared" si="3"/>
        <v>-0.014730210458906186</v>
      </c>
      <c r="O15" s="22">
        <f t="shared" si="4"/>
        <v>-0.6845799094553745</v>
      </c>
      <c r="P15" s="22">
        <f t="shared" si="9"/>
        <v>0.7186385011480247</v>
      </c>
      <c r="Q15" s="22">
        <f t="shared" si="10"/>
        <v>-0.9851609163182187</v>
      </c>
      <c r="R15" s="22">
        <f t="shared" si="11"/>
        <v>0.6738699843669976</v>
      </c>
      <c r="S15" s="22">
        <f t="shared" si="12"/>
        <v>1.393227936198528</v>
      </c>
      <c r="T15" s="22">
        <f>IF(OR(Flag="Ignore",Flag="Hole",Flag="Det"),"",dXray/drayMod*VertexCalc!NormDirCorr)</f>
        <v>-0.5158082769348248</v>
      </c>
      <c r="U15" s="22">
        <f>IF(OR(Flag="Ignore",Flag="Hole",Flag="Det"),"",dYray/drayMod*VertexCalc!NormDirCorr)</f>
        <v>0.7071067775214623</v>
      </c>
      <c r="V15" s="22">
        <f>IF(OR(Flag="Ignore",Flag="Hole",Flag="Det"),"",dZray/drayMod*VertexCalc!NormDirCorr)</f>
        <v>-0.4836753318381455</v>
      </c>
      <c r="W15" s="51">
        <f>IF(OR(Flag="Ignore",Flag="Hole",Flag="Det"),"",ACOS((Xnorm*VertexCalc!Xnorm*SIGN(VertexCalc!NormDir)+Ynorm*VertexCalc!Ynorm*SIGN(VertexCalc!NormDir))/(SQRT(Xnorm^2+Ynorm^2)*SQRT(VertexCalc!Xnorm^2+VertexCalc!Ynorm^2)))*180/PI()*SIGN(Xnorm*Ynorm))</f>
        <v>0</v>
      </c>
      <c r="X15" s="73">
        <f>IF(OR(Flag="Ignore",Flag="Hole",Flag="Det"),"",(1-(Xnorm*GutCalc!Xnorm+Ynorm*GutCalc!Ynorm)/(SQRT(Xnorm^2+Ynorm^2)*SQRT(GutCalc!Xnorm^2+GutCalc!Ynorm^2))))</f>
        <v>2</v>
      </c>
      <c r="Y15" s="51">
        <f>IF(OR(Flag="Ignore",Flag="Hole",Flag="Det"),"",VertexCalc!Xsag*COS(Theta*PI()/180)-VertexCalc!Ysag*SIN(Theta*PI()/180))</f>
        <v>0.5158082818360726</v>
      </c>
      <c r="Z15" s="51">
        <f>IF(OR(Flag="Ignore",Flag="Hole",Flag="Det"),"",VertexCalc!Xsag*SIN(Theta*PI()/180)+VertexCalc!Ysag*COS(Theta*PI()/180))</f>
        <v>0.7071067811865476</v>
      </c>
      <c r="AA15" s="51">
        <f>IF(OR(Flag="Ignore",Flag="Hole",Flag="Det"),"",VertexCalc!Zsag)</f>
        <v>0.48367532125313006</v>
      </c>
      <c r="AB15" s="52">
        <f t="shared" si="13"/>
        <v>90.00000029697622</v>
      </c>
    </row>
    <row r="16" spans="3:28" ht="13.5" thickBot="1">
      <c r="C16" s="15"/>
      <c r="D16" s="16" t="s">
        <v>117</v>
      </c>
      <c r="E16" s="16" t="s">
        <v>164</v>
      </c>
      <c r="F16" s="18">
        <f ca="1" t="shared" si="5"/>
        <v>132.68589</v>
      </c>
      <c r="G16" s="18">
        <f ca="1" t="shared" si="0"/>
        <v>-50</v>
      </c>
      <c r="H16" s="18">
        <f ca="1" t="shared" si="0"/>
        <v>-627.788504</v>
      </c>
      <c r="I16" s="18">
        <f t="shared" si="6"/>
        <v>-0.4043479999999988</v>
      </c>
      <c r="J16" s="18">
        <f t="shared" si="7"/>
        <v>-39.831049</v>
      </c>
      <c r="K16" s="18">
        <f t="shared" si="8"/>
        <v>-0.4266340000000355</v>
      </c>
      <c r="L16" s="17">
        <f t="shared" si="1"/>
        <v>39.83538600685904</v>
      </c>
      <c r="M16" s="17">
        <f t="shared" si="2"/>
        <v>-0.010150472746275794</v>
      </c>
      <c r="N16" s="17">
        <f t="shared" si="3"/>
        <v>-0.9998911267771249</v>
      </c>
      <c r="O16" s="17">
        <f t="shared" si="4"/>
        <v>-0.010709925088376844</v>
      </c>
      <c r="P16" s="17">
        <f t="shared" si="9"/>
      </c>
      <c r="Q16" s="17">
        <f t="shared" si="10"/>
      </c>
      <c r="R16" s="17">
        <f t="shared" si="11"/>
      </c>
      <c r="S16" s="17">
        <f t="shared" si="12"/>
      </c>
      <c r="T16" s="17">
        <f>IF(OR(Flag="Ignore",Flag="Hole",Flag="Det"),"",dXray/drayMod*VertexCalc!NormDirCorr)</f>
      </c>
      <c r="U16" s="17">
        <f>IF(OR(Flag="Ignore",Flag="Hole",Flag="Det"),"",dYray/drayMod*VertexCalc!NormDirCorr)</f>
      </c>
      <c r="V16" s="17">
        <f>IF(OR(Flag="Ignore",Flag="Hole",Flag="Det"),"",dZray/drayMod*VertexCalc!NormDirCorr)</f>
      </c>
      <c r="W16" s="57">
        <f>IF(OR(Flag="Ignore",Flag="Hole",Flag="Det"),"",ACOS((Xnorm*VertexCalc!Xnorm*SIGN(VertexCalc!NormDir)+Ynorm*VertexCalc!Ynorm*SIGN(VertexCalc!NormDir))/(SQRT(Xnorm^2+Ynorm^2)*SQRT(VertexCalc!Xnorm^2+VertexCalc!Ynorm^2)))*180/PI()*SIGN(Xnorm*Ynorm))</f>
      </c>
      <c r="X16" s="71">
        <f>IF(OR(Flag="Ignore",Flag="Hole",Flag="Det"),"",(1-(Xnorm*GutCalc!Xnorm+Ynorm*GutCalc!Ynorm)/(SQRT(Xnorm^2+Ynorm^2)*SQRT(GutCalc!Xnorm^2+GutCalc!Ynorm^2))))</f>
      </c>
      <c r="Y16" s="57">
        <f>IF(OR(Flag="Ignore",Flag="Hole",Flag="Det"),"",VertexCalc!Xsag*COS(Theta*PI()/180)-VertexCalc!Ysag*SIN(Theta*PI()/180))</f>
      </c>
      <c r="Z16" s="57">
        <f>IF(OR(Flag="Ignore",Flag="Hole",Flag="Det"),"",VertexCalc!Xsag*SIN(Theta*PI()/180)+VertexCalc!Ysag*COS(Theta*PI()/180))</f>
      </c>
      <c r="AA16" s="57">
        <f>IF(OR(Flag="Ignore",Flag="Hole",Flag="Det"),"",VertexCalc!Zsag)</f>
      </c>
      <c r="AB16" s="58">
        <f t="shared" si="13"/>
      </c>
    </row>
    <row r="17" spans="4:28" ht="13.5" thickBot="1">
      <c r="D17" s="1" t="s">
        <v>113</v>
      </c>
      <c r="E17" s="1" t="s">
        <v>128</v>
      </c>
      <c r="F17" s="9">
        <f ca="1" t="shared" si="5"/>
        <v>238.733246</v>
      </c>
      <c r="G17" s="9">
        <f ca="1" t="shared" si="0"/>
        <v>-8.033705</v>
      </c>
      <c r="H17" s="9">
        <f ca="1" t="shared" si="0"/>
        <v>-528.127272</v>
      </c>
      <c r="I17" s="9">
        <f t="shared" si="6"/>
      </c>
      <c r="J17" s="9">
        <f t="shared" si="7"/>
      </c>
      <c r="K17" s="9">
        <f t="shared" si="8"/>
      </c>
      <c r="L17" s="8">
        <f t="shared" si="1"/>
      </c>
      <c r="M17" s="8">
        <f t="shared" si="2"/>
      </c>
      <c r="N17" s="8">
        <f t="shared" si="3"/>
      </c>
      <c r="O17" s="8">
        <f t="shared" si="4"/>
      </c>
      <c r="P17" s="8">
        <f t="shared" si="9"/>
      </c>
      <c r="Q17" s="8">
        <f t="shared" si="10"/>
      </c>
      <c r="R17" s="8">
        <f t="shared" si="11"/>
      </c>
      <c r="S17" s="8">
        <f t="shared" si="12"/>
      </c>
      <c r="T17" s="8">
        <f>IF(OR(Flag="Ignore",Flag="Hole",Flag="Det"),"",dXray/drayMod*VertexCalc!NormDirCorr)</f>
      </c>
      <c r="U17" s="8">
        <f>IF(OR(Flag="Ignore",Flag="Hole",Flag="Det"),"",dYray/drayMod*VertexCalc!NormDirCorr)</f>
      </c>
      <c r="V17" s="8">
        <f>IF(OR(Flag="Ignore",Flag="Hole",Flag="Det"),"",dZray/drayMod*VertexCalc!NormDirCorr)</f>
      </c>
      <c r="W17" s="36">
        <f>IF(OR(Flag="Ignore",Flag="Hole",Flag="Det"),"",ACOS((Xnorm*VertexCalc!Xnorm*SIGN(VertexCalc!NormDir)+Ynorm*VertexCalc!Ynorm*SIGN(VertexCalc!NormDir))/(SQRT(Xnorm^2+Ynorm^2)*SQRT(VertexCalc!Xnorm^2+VertexCalc!Ynorm^2)))*180/PI()*SIGN(Xnorm*Ynorm))</f>
      </c>
      <c r="X17" s="40">
        <f>IF(OR(Flag="Ignore",Flag="Hole",Flag="Det"),"",(1-(Xnorm*GutCalc!Xnorm+Ynorm*GutCalc!Ynorm)/(SQRT(Xnorm^2+Ynorm^2)*SQRT(GutCalc!Xnorm^2+GutCalc!Ynorm^2))))</f>
      </c>
      <c r="Y17" s="36">
        <f>IF(OR(Flag="Ignore",Flag="Hole",Flag="Det"),"",VertexCalc!Xsag*COS(Theta*PI()/180)-VertexCalc!Ysag*SIN(Theta*PI()/180))</f>
      </c>
      <c r="Z17" s="36">
        <f>IF(OR(Flag="Ignore",Flag="Hole",Flag="Det"),"",VertexCalc!Xsag*SIN(Theta*PI()/180)+VertexCalc!Ysag*COS(Theta*PI()/180))</f>
      </c>
      <c r="AA17" s="36">
        <f>IF(OR(Flag="Ignore",Flag="Hole",Flag="Det"),"",VertexCalc!Zsag)</f>
      </c>
      <c r="AB17" s="36">
        <f t="shared" si="13"/>
      </c>
    </row>
    <row r="18" spans="3:28" ht="12.75">
      <c r="C18" s="10" t="s">
        <v>126</v>
      </c>
      <c r="D18" s="11" t="s">
        <v>118</v>
      </c>
      <c r="E18" s="11"/>
      <c r="F18" s="13">
        <f ca="1" t="shared" si="5"/>
        <v>342.166446</v>
      </c>
      <c r="G18" s="13">
        <f ca="1" t="shared" si="5"/>
        <v>-9.569267</v>
      </c>
      <c r="H18" s="13">
        <f ca="1" t="shared" si="5"/>
        <v>-515.227885</v>
      </c>
      <c r="I18" s="13">
        <f t="shared" si="6"/>
        <v>103.4332</v>
      </c>
      <c r="J18" s="13">
        <f t="shared" si="7"/>
        <v>-1.5355620000000005</v>
      </c>
      <c r="K18" s="13">
        <f t="shared" si="8"/>
        <v>12.899386999999933</v>
      </c>
      <c r="L18" s="12">
        <f t="shared" si="1"/>
        <v>104.24576249359784</v>
      </c>
      <c r="M18" s="12">
        <f t="shared" si="2"/>
        <v>0.9922053187183725</v>
      </c>
      <c r="N18" s="12">
        <f t="shared" si="3"/>
        <v>-0.014730210257652494</v>
      </c>
      <c r="O18" s="12">
        <f t="shared" si="4"/>
        <v>0.12374015683171906</v>
      </c>
      <c r="P18" s="12">
        <f t="shared" si="9"/>
        <v>-1.6186085835908846</v>
      </c>
      <c r="Q18" s="12">
        <f t="shared" si="10"/>
        <v>-0.7606992320321275</v>
      </c>
      <c r="R18" s="12">
        <f t="shared" si="11"/>
        <v>-0.20328969980475026</v>
      </c>
      <c r="S18" s="12">
        <f t="shared" si="12"/>
        <v>1.7999677137479615</v>
      </c>
      <c r="T18" s="12">
        <f>IF(OR(Flag="Ignore",Flag="Hole",Flag="Det"),"",dXray/drayMod*VertexCalc!NormDirCorr)</f>
        <v>0.8992431204338416</v>
      </c>
      <c r="U18" s="12">
        <f>IF(OR(Flag="Ignore",Flag="Hole",Flag="Det"),"",dYray/drayMod*VertexCalc!NormDirCorr)</f>
        <v>0.4226182648844131</v>
      </c>
      <c r="V18" s="12">
        <f>IF(OR(Flag="Ignore",Flag="Hole",Flag="Det"),"",dZray/drayMod*VertexCalc!NormDirCorr)</f>
        <v>0.1129407479101126</v>
      </c>
      <c r="W18" s="54">
        <f>IF(OR(Flag="Ignore",Flag="Hole",Flag="Det"),"",ACOS((Xnorm*VertexCalc!Xnorm*SIGN(VertexCalc!NormDir)+Ynorm*VertexCalc!Ynorm*SIGN(VertexCalc!NormDir))/(SQRT(Xnorm^2+Ynorm^2)*SQRT(VertexCalc!Xnorm^2+VertexCalc!Ynorm^2)))*180/PI()*SIGN(Xnorm*Ynorm))</f>
        <v>0</v>
      </c>
      <c r="X18" s="70">
        <f>IF(OR(Flag="Ignore",Flag="Hole",Flag="Det"),"",(1-(Xnorm*GutCalc!Xnorm+Ynorm*GutCalc!Ynorm)/(SQRT(Xnorm^2+Ynorm^2)*SQRT(GutCalc!Xnorm^2+GutCalc!Ynorm^2))))</f>
        <v>2</v>
      </c>
      <c r="Y18" s="54">
        <f>IF(OR(Flag="Ignore",Flag="Hole",Flag="Det"),"",VertexCalc!Xsag*COS(Theta*PI()/180)-VertexCalc!Ysag*SIN(Theta*PI()/180))</f>
        <v>-0.4193239540327994</v>
      </c>
      <c r="Z18" s="54">
        <f>IF(OR(Flag="Ignore",Flag="Hole",Flag="Det"),"",VertexCalc!Xsag*SIN(Theta*PI()/180)+VertexCalc!Ysag*COS(Theta*PI()/180))</f>
        <v>0.9063077870366499</v>
      </c>
      <c r="AA18" s="54">
        <f>IF(OR(Flag="Ignore",Flag="Hole",Flag="Det"),"",VertexCalc!Zsag)</f>
        <v>-0.05266513771964412</v>
      </c>
      <c r="AB18" s="55">
        <f t="shared" si="13"/>
        <v>89.9999998012579</v>
      </c>
    </row>
    <row r="19" spans="3:28" ht="13.5" thickBot="1">
      <c r="C19" s="15"/>
      <c r="D19" s="16" t="s">
        <v>119</v>
      </c>
      <c r="E19" s="16" t="s">
        <v>164</v>
      </c>
      <c r="F19" s="18">
        <f ca="1" t="shared" si="5"/>
        <v>291.711826</v>
      </c>
      <c r="G19" s="18">
        <f ca="1" t="shared" si="5"/>
        <v>-72.027431</v>
      </c>
      <c r="H19" s="18">
        <f ca="1" t="shared" si="5"/>
        <v>-521.635326</v>
      </c>
      <c r="I19" s="18">
        <f t="shared" si="6"/>
        <v>-50.454620000000034</v>
      </c>
      <c r="J19" s="18">
        <f t="shared" si="7"/>
        <v>-62.45816400000001</v>
      </c>
      <c r="K19" s="18">
        <f t="shared" si="8"/>
        <v>-6.407440999999949</v>
      </c>
      <c r="L19" s="17">
        <f t="shared" si="1"/>
        <v>80.54654697604225</v>
      </c>
      <c r="M19" s="17">
        <f t="shared" si="2"/>
        <v>-0.6264032648725121</v>
      </c>
      <c r="N19" s="17">
        <f t="shared" si="3"/>
        <v>-0.7754294422897801</v>
      </c>
      <c r="O19" s="17">
        <f t="shared" si="4"/>
        <v>-0.0795495429730312</v>
      </c>
      <c r="P19" s="17">
        <f t="shared" si="9"/>
      </c>
      <c r="Q19" s="17">
        <f t="shared" si="10"/>
      </c>
      <c r="R19" s="17">
        <f t="shared" si="11"/>
      </c>
      <c r="S19" s="17">
        <f t="shared" si="12"/>
      </c>
      <c r="T19" s="17">
        <f>IF(OR(Flag="Ignore",Flag="Hole",Flag="Det"),"",dXray/drayMod*VertexCalc!NormDirCorr)</f>
      </c>
      <c r="U19" s="17">
        <f>IF(OR(Flag="Ignore",Flag="Hole",Flag="Det"),"",dYray/drayMod*VertexCalc!NormDirCorr)</f>
      </c>
      <c r="V19" s="17">
        <f>IF(OR(Flag="Ignore",Flag="Hole",Flag="Det"),"",dZray/drayMod*VertexCalc!NormDirCorr)</f>
      </c>
      <c r="W19" s="57">
        <f>IF(OR(Flag="Ignore",Flag="Hole",Flag="Det"),"",ACOS((Xnorm*VertexCalc!Xnorm*SIGN(VertexCalc!NormDir)+Ynorm*VertexCalc!Ynorm*SIGN(VertexCalc!NormDir))/(SQRT(Xnorm^2+Ynorm^2)*SQRT(VertexCalc!Xnorm^2+VertexCalc!Ynorm^2)))*180/PI()*SIGN(Xnorm*Ynorm))</f>
      </c>
      <c r="X19" s="71">
        <f>IF(OR(Flag="Ignore",Flag="Hole",Flag="Det"),"",(1-(Xnorm*GutCalc!Xnorm+Ynorm*GutCalc!Ynorm)/(SQRT(Xnorm^2+Ynorm^2)*SQRT(GutCalc!Xnorm^2+GutCalc!Ynorm^2))))</f>
      </c>
      <c r="Y19" s="57">
        <f>IF(OR(Flag="Ignore",Flag="Hole",Flag="Det"),"",VertexCalc!Xsag*COS(Theta*PI()/180)-VertexCalc!Ysag*SIN(Theta*PI()/180))</f>
      </c>
      <c r="Z19" s="57">
        <f>IF(OR(Flag="Ignore",Flag="Hole",Flag="Det"),"",VertexCalc!Xsag*SIN(Theta*PI()/180)+VertexCalc!Ysag*COS(Theta*PI()/180))</f>
      </c>
      <c r="AA19" s="57">
        <f>IF(OR(Flag="Ignore",Flag="Hole",Flag="Det"),"",VertexCalc!Zsag)</f>
      </c>
      <c r="AB19" s="58">
        <f t="shared" si="13"/>
      </c>
    </row>
    <row r="20" spans="4:28" ht="13.5" thickBot="1">
      <c r="D20" s="1" t="s">
        <v>118</v>
      </c>
      <c r="E20" s="1" t="s">
        <v>128</v>
      </c>
      <c r="F20" s="9">
        <f ca="1" t="shared" si="5"/>
        <v>342.166446</v>
      </c>
      <c r="G20" s="9">
        <f ca="1" t="shared" si="5"/>
        <v>-9.569267</v>
      </c>
      <c r="H20" s="9">
        <f ca="1" t="shared" si="5"/>
        <v>-515.227885</v>
      </c>
      <c r="I20" s="9">
        <f t="shared" si="6"/>
      </c>
      <c r="J20" s="9">
        <f t="shared" si="7"/>
      </c>
      <c r="K20" s="9">
        <f t="shared" si="8"/>
      </c>
      <c r="L20" s="8">
        <f t="shared" si="1"/>
      </c>
      <c r="M20" s="8">
        <f t="shared" si="2"/>
      </c>
      <c r="N20" s="8">
        <f t="shared" si="3"/>
      </c>
      <c r="O20" s="8">
        <f t="shared" si="4"/>
      </c>
      <c r="P20" s="8">
        <f t="shared" si="9"/>
      </c>
      <c r="Q20" s="8">
        <f t="shared" si="10"/>
      </c>
      <c r="R20" s="8">
        <f t="shared" si="11"/>
      </c>
      <c r="S20" s="8">
        <f t="shared" si="12"/>
      </c>
      <c r="T20" s="8">
        <f>IF(OR(Flag="Ignore",Flag="Hole",Flag="Det"),"",dXray/drayMod*VertexCalc!NormDirCorr)</f>
      </c>
      <c r="U20" s="8">
        <f>IF(OR(Flag="Ignore",Flag="Hole",Flag="Det"),"",dYray/drayMod*VertexCalc!NormDirCorr)</f>
      </c>
      <c r="V20" s="8">
        <f>IF(OR(Flag="Ignore",Flag="Hole",Flag="Det"),"",dZray/drayMod*VertexCalc!NormDirCorr)</f>
      </c>
      <c r="W20" s="36">
        <f>IF(OR(Flag="Ignore",Flag="Hole",Flag="Det"),"",ACOS((Xnorm*VertexCalc!Xnorm*SIGN(VertexCalc!NormDir)+Ynorm*VertexCalc!Ynorm*SIGN(VertexCalc!NormDir))/(SQRT(Xnorm^2+Ynorm^2)*SQRT(VertexCalc!Xnorm^2+VertexCalc!Ynorm^2)))*180/PI()*SIGN(Xnorm*Ynorm))</f>
      </c>
      <c r="X20" s="40">
        <f>IF(OR(Flag="Ignore",Flag="Hole",Flag="Det"),"",(1-(Xnorm*GutCalc!Xnorm+Ynorm*GutCalc!Ynorm)/(SQRT(Xnorm^2+Ynorm^2)*SQRT(GutCalc!Xnorm^2+GutCalc!Ynorm^2))))</f>
      </c>
      <c r="Y20" s="36">
        <f>IF(OR(Flag="Ignore",Flag="Hole",Flag="Det"),"",VertexCalc!Xsag*COS(Theta*PI()/180)-VertexCalc!Ysag*SIN(Theta*PI()/180))</f>
      </c>
      <c r="Z20" s="36">
        <f>IF(OR(Flag="Ignore",Flag="Hole",Flag="Det"),"",VertexCalc!Xsag*SIN(Theta*PI()/180)+VertexCalc!Ysag*COS(Theta*PI()/180))</f>
      </c>
      <c r="AA20" s="36">
        <f>IF(OR(Flag="Ignore",Flag="Hole",Flag="Det"),"",VertexCalc!Zsag)</f>
      </c>
      <c r="AB20" s="36">
        <f t="shared" si="13"/>
      </c>
    </row>
    <row r="21" spans="3:28" ht="12.75">
      <c r="C21" s="10" t="s">
        <v>127</v>
      </c>
      <c r="D21" s="11" t="s">
        <v>120</v>
      </c>
      <c r="E21" s="11"/>
      <c r="F21" s="13">
        <f ca="1" t="shared" si="5"/>
        <v>380.47202</v>
      </c>
      <c r="G21" s="13">
        <f ca="1" t="shared" si="5"/>
        <v>-10.137949</v>
      </c>
      <c r="H21" s="13">
        <f ca="1" t="shared" si="5"/>
        <v>-510.45071</v>
      </c>
      <c r="I21" s="13">
        <f t="shared" si="6"/>
        <v>38.30557399999998</v>
      </c>
      <c r="J21" s="13">
        <f t="shared" si="7"/>
        <v>-0.5686820000000008</v>
      </c>
      <c r="K21" s="13">
        <f t="shared" si="8"/>
        <v>4.777175</v>
      </c>
      <c r="L21" s="12">
        <f t="shared" si="1"/>
        <v>38.6064994485025</v>
      </c>
      <c r="M21" s="12">
        <f t="shared" si="2"/>
        <v>0.9922053163896943</v>
      </c>
      <c r="N21" s="12">
        <f t="shared" si="3"/>
        <v>-0.0147302140345195</v>
      </c>
      <c r="O21" s="12">
        <f t="shared" si="4"/>
        <v>0.12374017505452184</v>
      </c>
      <c r="P21" s="12">
        <f t="shared" si="9"/>
        <v>-0.9930502605969074</v>
      </c>
      <c r="Q21" s="12">
        <f t="shared" si="10"/>
        <v>-3.0266912257742584E-09</v>
      </c>
      <c r="R21" s="12">
        <f t="shared" si="11"/>
        <v>0.8761509724083488</v>
      </c>
      <c r="S21" s="12">
        <f t="shared" si="12"/>
        <v>1.3243071194113851</v>
      </c>
      <c r="T21" s="12">
        <f>IF(OR(Flag="Ignore",Flag="Hole",Flag="Det"),"",dXray/drayMod*VertexCalc!NormDirCorr)</f>
        <v>0.7498640202419877</v>
      </c>
      <c r="U21" s="12">
        <f>IF(OR(Flag="Ignore",Flag="Hole",Flag="Det"),"",dYray/drayMod*VertexCalc!NormDirCorr)</f>
        <v>2.285490413371433E-09</v>
      </c>
      <c r="V21" s="12">
        <f>IF(OR(Flag="Ignore",Flag="Hole",Flag="Det"),"",dZray/drayMod*VertexCalc!NormDirCorr)</f>
        <v>-0.6615919823777522</v>
      </c>
      <c r="W21" s="54">
        <f>IF(OR(Flag="Ignore",Flag="Hole",Flag="Det"),"",ACOS((Xnorm*VertexCalc!Xnorm*SIGN(VertexCalc!NormDir)+Ynorm*VertexCalc!Ynorm*SIGN(VertexCalc!NormDir))/(SQRT(Xnorm^2+Ynorm^2)*SQRT(VertexCalc!Xnorm^2+VertexCalc!Ynorm^2)))*180/PI()*SIGN(Xnorm*Ynorm))</f>
        <v>0</v>
      </c>
      <c r="X21" s="70">
        <f>IF(OR(Flag="Ignore",Flag="Hole",Flag="Det"),"",(1-(Xnorm*GutCalc!Xnorm+Ynorm*GutCalc!Ynorm)/(SQRT(Xnorm^2+Ynorm^2)*SQRT(GutCalc!Xnorm^2+GutCalc!Ynorm^2))))</f>
        <v>2</v>
      </c>
      <c r="Y21" s="54">
        <f>IF(OR(Flag="Ignore",Flag="Hole",Flag="Det"),"",VertexCalc!Xsag*COS(Theta*PI()/180)-VertexCalc!Ysag*SIN(Theta*PI()/180))</f>
        <v>0</v>
      </c>
      <c r="Z21" s="54">
        <f>IF(OR(Flag="Ignore",Flag="Hole",Flag="Det"),"",VertexCalc!Xsag*SIN(Theta*PI()/180)+VertexCalc!Ysag*COS(Theta*PI()/180))</f>
        <v>1</v>
      </c>
      <c r="AA21" s="54">
        <f>IF(OR(Flag="Ignore",Flag="Hole",Flag="Det"),"",VertexCalc!Zsag)</f>
        <v>0</v>
      </c>
      <c r="AB21" s="55">
        <f t="shared" si="13"/>
        <v>89.99999986905105</v>
      </c>
    </row>
    <row r="22" spans="3:28" ht="13.5" thickBot="1">
      <c r="C22" s="15"/>
      <c r="D22" s="16" t="s">
        <v>121</v>
      </c>
      <c r="E22" s="16" t="s">
        <v>164</v>
      </c>
      <c r="F22" s="18">
        <f ca="1" t="shared" si="5"/>
        <v>380.43658300000004</v>
      </c>
      <c r="G22" s="18">
        <f ca="1" t="shared" si="5"/>
        <v>-10.755735</v>
      </c>
      <c r="H22" s="18">
        <f ca="1" t="shared" si="5"/>
        <v>-468.515228</v>
      </c>
      <c r="I22" s="18">
        <f t="shared" si="6"/>
        <v>-0.035436999999944874</v>
      </c>
      <c r="J22" s="18">
        <f t="shared" si="7"/>
        <v>-0.6177859999999988</v>
      </c>
      <c r="K22" s="18">
        <f t="shared" si="8"/>
        <v>41.935482000000036</v>
      </c>
      <c r="L22" s="17">
        <f t="shared" si="1"/>
        <v>41.94004728055385</v>
      </c>
      <c r="M22" s="17">
        <f t="shared" si="2"/>
        <v>-0.0008449442072130373</v>
      </c>
      <c r="N22" s="17">
        <f t="shared" si="3"/>
        <v>-0.014730217061210726</v>
      </c>
      <c r="O22" s="17">
        <f t="shared" si="4"/>
        <v>0.9998911474628707</v>
      </c>
      <c r="P22" s="17">
        <f t="shared" si="9"/>
      </c>
      <c r="Q22" s="17">
        <f t="shared" si="10"/>
      </c>
      <c r="R22" s="17">
        <f t="shared" si="11"/>
      </c>
      <c r="S22" s="17">
        <f t="shared" si="12"/>
      </c>
      <c r="T22" s="17">
        <f>IF(OR(Flag="Ignore",Flag="Hole",Flag="Det"),"",dXray/drayMod*VertexCalc!NormDirCorr)</f>
      </c>
      <c r="U22" s="17">
        <f>IF(OR(Flag="Ignore",Flag="Hole",Flag="Det"),"",dYray/drayMod*VertexCalc!NormDirCorr)</f>
      </c>
      <c r="V22" s="17">
        <f>IF(OR(Flag="Ignore",Flag="Hole",Flag="Det"),"",dZray/drayMod*VertexCalc!NormDirCorr)</f>
      </c>
      <c r="W22" s="57">
        <f>IF(OR(Flag="Ignore",Flag="Hole",Flag="Det"),"",ACOS((Xnorm*VertexCalc!Xnorm*SIGN(VertexCalc!NormDir)+Ynorm*VertexCalc!Ynorm*SIGN(VertexCalc!NormDir))/(SQRT(Xnorm^2+Ynorm^2)*SQRT(VertexCalc!Xnorm^2+VertexCalc!Ynorm^2)))*180/PI()*SIGN(Xnorm*Ynorm))</f>
      </c>
      <c r="X22" s="71"/>
      <c r="Y22" s="57">
        <f>IF(OR(Flag="Ignore",Flag="Hole",Flag="Det"),"",VertexCalc!Xsag*COS(Theta*PI()/180)-VertexCalc!Ysag*SIN(Theta*PI()/180))</f>
      </c>
      <c r="Z22" s="57">
        <f>IF(OR(Flag="Ignore",Flag="Hole",Flag="Det"),"",VertexCalc!Xsag*SIN(Theta*PI()/180)+VertexCalc!Ysag*COS(Theta*PI()/180))</f>
      </c>
      <c r="AA22" s="57">
        <f>IF(OR(Flag="Ignore",Flag="Hole",Flag="Det"),"",VertexCalc!Zsag)</f>
      </c>
      <c r="AB22" s="58">
        <f t="shared" si="13"/>
      </c>
    </row>
    <row r="23" spans="1:26" ht="12.75">
      <c r="A23" s="26" t="s">
        <v>140</v>
      </c>
      <c r="I23" s="9"/>
      <c r="J23" s="9"/>
      <c r="K23" s="9"/>
      <c r="X23" s="40"/>
      <c r="Y23" s="9"/>
      <c r="Z23" s="9"/>
    </row>
    <row r="24" spans="1:26" ht="12.75">
      <c r="A24" s="1" t="s">
        <v>17</v>
      </c>
      <c r="B24" s="1" t="str">
        <f>"-Zsyno"</f>
        <v>-Zsyno</v>
      </c>
      <c r="C24" s="1" t="s">
        <v>130</v>
      </c>
      <c r="I24" s="9"/>
      <c r="J24" s="9"/>
      <c r="K24" s="9"/>
      <c r="X24" s="40"/>
      <c r="Y24" s="9"/>
      <c r="Z24" s="9"/>
    </row>
    <row r="25" spans="1:3" ht="12.75">
      <c r="A25" s="1" t="s">
        <v>81</v>
      </c>
      <c r="B25" s="1" t="s">
        <v>136</v>
      </c>
      <c r="C25" s="1" t="s">
        <v>131</v>
      </c>
    </row>
    <row r="26" spans="1:3" ht="12.75">
      <c r="A26" s="1" t="s">
        <v>82</v>
      </c>
      <c r="B26" s="1" t="s">
        <v>137</v>
      </c>
      <c r="C26" s="1" t="s">
        <v>132</v>
      </c>
    </row>
  </sheetData>
  <printOptions/>
  <pageMargins left="0.33" right="0.25"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DOHLEN Kjetil</dc:creator>
  <cp:keywords/>
  <dc:description/>
  <cp:lastModifiedBy>Kjetil DOHLEN</cp:lastModifiedBy>
  <cp:lastPrinted>2001-03-23T17:41:23Z</cp:lastPrinted>
  <dcterms:created xsi:type="dcterms:W3CDTF">2001-01-11T13:17:14Z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