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Mass (FOB)" sheetId="1" r:id="rId1"/>
    <sheet name="Detail (FOB)" sheetId="2" r:id="rId2"/>
    <sheet name="Mass (SVM)" sheetId="3" r:id="rId3"/>
    <sheet name="Thermal Load (FOB)" sheetId="4" r:id="rId4"/>
    <sheet name="Dissipation SVM" sheetId="5" r:id="rId5"/>
    <sheet name="Data Transmission" sheetId="6" r:id="rId6"/>
    <sheet name="Noise Sources" sheetId="7" r:id="rId7"/>
  </sheets>
  <definedNames/>
  <calcPr fullCalcOnLoad="1"/>
</workbook>
</file>

<file path=xl/comments1.xml><?xml version="1.0" encoding="utf-8"?>
<comments xmlns="http://schemas.openxmlformats.org/spreadsheetml/2006/main">
  <authors>
    <author>test2</author>
    <author>Colin Cunningham</author>
  </authors>
  <commentList>
    <comment ref="A42" authorId="0">
      <text>
        <r>
          <rPr>
            <b/>
            <sz val="8"/>
            <rFont val="Tahoma"/>
            <family val="0"/>
          </rPr>
          <t>CRC: Not in detailed estimates:</t>
        </r>
        <r>
          <rPr>
            <sz val="8"/>
            <rFont val="Tahoma"/>
            <family val="0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0"/>
          </rPr>
          <t>CRC: not in detailed estimates</t>
        </r>
      </text>
    </comment>
    <comment ref="A44" authorId="0">
      <text>
        <r>
          <rPr>
            <b/>
            <sz val="8"/>
            <rFont val="Tahoma"/>
            <family val="2"/>
          </rPr>
          <t>CRC: not in detailed estimates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CRC: in case of design change to telescope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CRC:
Reduce to 20% after FEA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0"/>
          </rPr>
          <t>CRC:</t>
        </r>
        <r>
          <rPr>
            <sz val="8"/>
            <rFont val="Tahoma"/>
            <family val="0"/>
          </rPr>
          <t xml:space="preserve">
JPL hold contingency</t>
        </r>
      </text>
    </comment>
    <comment ref="G16" authorId="0">
      <text>
        <r>
          <rPr>
            <sz val="8"/>
            <rFont val="Tahoma"/>
            <family val="0"/>
          </rPr>
          <t>CRC:
JPL hold contingency</t>
        </r>
      </text>
    </comment>
    <comment ref="D44" authorId="1">
      <text>
        <r>
          <rPr>
            <b/>
            <sz val="8"/>
            <rFont val="Tahoma"/>
            <family val="0"/>
          </rPr>
          <t>Colin Cunningham:</t>
        </r>
        <r>
          <rPr>
            <sz val="8"/>
            <rFont val="Tahoma"/>
            <family val="0"/>
          </rPr>
          <t xml:space="preserve">
Does this exist?</t>
        </r>
      </text>
    </comment>
    <comment ref="D49" authorId="1">
      <text>
        <r>
          <rPr>
            <b/>
            <sz val="8"/>
            <rFont val="Tahoma"/>
            <family val="0"/>
          </rPr>
          <t>Colin Cunningham:</t>
        </r>
        <r>
          <rPr>
            <sz val="8"/>
            <rFont val="Tahoma"/>
            <family val="0"/>
          </rPr>
          <t xml:space="preserve">
Need updated structure estimates</t>
        </r>
      </text>
    </comment>
  </commentList>
</comments>
</file>

<file path=xl/comments2.xml><?xml version="1.0" encoding="utf-8"?>
<comments xmlns="http://schemas.openxmlformats.org/spreadsheetml/2006/main">
  <authors>
    <author>test2</author>
    <author>Colin Cunningham</author>
  </authors>
  <commentList>
    <comment ref="A35" authorId="0">
      <text>
        <r>
          <rPr>
            <b/>
            <sz val="8"/>
            <rFont val="Tahoma"/>
            <family val="0"/>
          </rPr>
          <t xml:space="preserve">CRC:
Inserted
</t>
        </r>
        <r>
          <rPr>
            <sz val="8"/>
            <rFont val="Tahoma"/>
            <family val="0"/>
          </rPr>
          <t xml:space="preserve">
</t>
        </r>
      </text>
    </comment>
    <comment ref="A77" authorId="0">
      <text>
        <r>
          <rPr>
            <b/>
            <sz val="8"/>
            <rFont val="Tahoma"/>
            <family val="0"/>
          </rPr>
          <t>CRC:
Added</t>
        </r>
        <r>
          <rPr>
            <sz val="8"/>
            <rFont val="Tahoma"/>
            <family val="0"/>
          </rPr>
          <t xml:space="preserve">
</t>
        </r>
      </text>
    </comment>
    <comment ref="B17" authorId="1">
      <text>
        <r>
          <rPr>
            <b/>
            <sz val="8"/>
            <rFont val="Tahoma"/>
            <family val="0"/>
          </rPr>
          <t>Colin Cunningham:</t>
        </r>
        <r>
          <rPr>
            <sz val="8"/>
            <rFont val="Tahoma"/>
            <family val="0"/>
          </rPr>
          <t xml:space="preserve">
Email from Pete Hargrave
5/2/01</t>
        </r>
      </text>
    </comment>
    <comment ref="B19" authorId="1">
      <text>
        <r>
          <rPr>
            <b/>
            <sz val="8"/>
            <rFont val="Tahoma"/>
            <family val="0"/>
          </rPr>
          <t>Colin Cunningham:</t>
        </r>
        <r>
          <rPr>
            <sz val="8"/>
            <rFont val="Tahoma"/>
            <family val="0"/>
          </rPr>
          <t xml:space="preserve">
Email PH 5/2/01
</t>
        </r>
      </text>
    </comment>
    <comment ref="B20" authorId="1">
      <text>
        <r>
          <rPr>
            <b/>
            <sz val="8"/>
            <rFont val="Tahoma"/>
            <family val="0"/>
          </rPr>
          <t>Colin Cunningham:</t>
        </r>
        <r>
          <rPr>
            <sz val="8"/>
            <rFont val="Tahoma"/>
            <family val="0"/>
          </rPr>
          <t xml:space="preserve">
EMAIl PH 5/2/01</t>
        </r>
      </text>
    </comment>
    <comment ref="B21" authorId="1">
      <text>
        <r>
          <rPr>
            <b/>
            <sz val="8"/>
            <rFont val="Tahoma"/>
            <family val="0"/>
          </rPr>
          <t>Colin Cunningham:</t>
        </r>
        <r>
          <rPr>
            <sz val="8"/>
            <rFont val="Tahoma"/>
            <family val="0"/>
          </rPr>
          <t xml:space="preserve">
Email PH
</t>
        </r>
      </text>
    </comment>
    <comment ref="B22" authorId="1">
      <text>
        <r>
          <rPr>
            <b/>
            <sz val="8"/>
            <rFont val="Tahoma"/>
            <family val="0"/>
          </rPr>
          <t>Colin Cunningham:</t>
        </r>
        <r>
          <rPr>
            <sz val="8"/>
            <rFont val="Tahoma"/>
            <family val="0"/>
          </rPr>
          <t xml:space="preserve">
Email PH</t>
        </r>
      </text>
    </comment>
    <comment ref="A19" authorId="1">
      <text>
        <r>
          <rPr>
            <b/>
            <sz val="8"/>
            <rFont val="Tahoma"/>
            <family val="0"/>
          </rPr>
          <t>Colin Cunningham:</t>
        </r>
        <r>
          <rPr>
            <sz val="8"/>
            <rFont val="Tahoma"/>
            <family val="0"/>
          </rPr>
          <t xml:space="preserve">
Was CFIL-2
Email PH 5/2/01</t>
        </r>
      </text>
    </comment>
    <comment ref="A68" authorId="1">
      <text>
        <r>
          <rPr>
            <b/>
            <sz val="8"/>
            <rFont val="Tahoma"/>
            <family val="0"/>
          </rPr>
          <t>Colin Cunningham:</t>
        </r>
        <r>
          <rPr>
            <sz val="8"/>
            <rFont val="Tahoma"/>
            <family val="0"/>
          </rPr>
          <t xml:space="preserve">
New filter at Pupil on SOB
Email PH 5/2/01</t>
        </r>
      </text>
    </comment>
    <comment ref="A69" authorId="1">
      <text>
        <r>
          <rPr>
            <b/>
            <sz val="8"/>
            <rFont val="Tahoma"/>
            <family val="0"/>
          </rPr>
          <t>Colin Cunningham:</t>
        </r>
        <r>
          <rPr>
            <sz val="8"/>
            <rFont val="Tahoma"/>
            <family val="0"/>
          </rPr>
          <t xml:space="preserve">
was SBDI-1</t>
        </r>
      </text>
    </comment>
    <comment ref="A70" authorId="1">
      <text>
        <r>
          <rPr>
            <b/>
            <sz val="8"/>
            <rFont val="Tahoma"/>
            <family val="0"/>
          </rPr>
          <t>Colin Cunningham:</t>
        </r>
        <r>
          <rPr>
            <sz val="8"/>
            <rFont val="Tahoma"/>
            <family val="0"/>
          </rPr>
          <t xml:space="preserve">
was SBDI-2</t>
        </r>
      </text>
    </comment>
    <comment ref="B69" authorId="1">
      <text>
        <r>
          <rPr>
            <b/>
            <sz val="8"/>
            <rFont val="Tahoma"/>
            <family val="0"/>
          </rPr>
          <t>Colin Cunningham:</t>
        </r>
        <r>
          <rPr>
            <sz val="8"/>
            <rFont val="Tahoma"/>
            <family val="0"/>
          </rPr>
          <t xml:space="preserve">
Email PH 5/2/01</t>
        </r>
      </text>
    </comment>
    <comment ref="B70" authorId="1">
      <text>
        <r>
          <rPr>
            <b/>
            <sz val="8"/>
            <rFont val="Tahoma"/>
            <family val="0"/>
          </rPr>
          <t>Colin Cunningham:</t>
        </r>
        <r>
          <rPr>
            <sz val="8"/>
            <rFont val="Tahoma"/>
            <family val="0"/>
          </rPr>
          <t xml:space="preserve">
Email PH 5/2/01</t>
        </r>
      </text>
    </comment>
    <comment ref="B71" authorId="1">
      <text>
        <r>
          <rPr>
            <b/>
            <sz val="8"/>
            <rFont val="Tahoma"/>
            <family val="0"/>
          </rPr>
          <t>Colin Cunningham:</t>
        </r>
        <r>
          <rPr>
            <sz val="8"/>
            <rFont val="Tahoma"/>
            <family val="0"/>
          </rPr>
          <t xml:space="preserve">
Email PH 5/2/01</t>
        </r>
      </text>
    </comment>
    <comment ref="B72" authorId="1">
      <text>
        <r>
          <rPr>
            <b/>
            <sz val="8"/>
            <rFont val="Tahoma"/>
            <family val="0"/>
          </rPr>
          <t>Colin Cunningham:
Email PH 5/2/01</t>
        </r>
      </text>
    </comment>
    <comment ref="B7" authorId="0">
      <text>
        <r>
          <rPr>
            <b/>
            <sz val="8"/>
            <rFont val="Tahoma"/>
            <family val="0"/>
          </rPr>
          <t>test2:</t>
        </r>
        <r>
          <rPr>
            <sz val="8"/>
            <rFont val="Tahoma"/>
            <family val="0"/>
          </rPr>
          <t xml:space="preserve">
Ref Mirror Spec
LAM.PJT.SPI.SPT.200007 Ind 2</t>
        </r>
      </text>
    </comment>
    <comment ref="B8" authorId="0">
      <text>
        <r>
          <rPr>
            <b/>
            <sz val="8"/>
            <rFont val="Tahoma"/>
            <family val="0"/>
          </rPr>
          <t>test2:</t>
        </r>
        <r>
          <rPr>
            <sz val="8"/>
            <rFont val="Tahoma"/>
            <family val="0"/>
          </rPr>
          <t xml:space="preserve">
Included in BSM</t>
        </r>
      </text>
    </comment>
    <comment ref="B52" authorId="0">
      <text>
        <r>
          <rPr>
            <b/>
            <sz val="8"/>
            <rFont val="Tahoma"/>
            <family val="0"/>
          </rPr>
          <t>test2:</t>
        </r>
        <r>
          <rPr>
            <sz val="8"/>
            <rFont val="Tahoma"/>
            <family val="0"/>
          </rPr>
          <t xml:space="preserve">
Subject to change</t>
        </r>
      </text>
    </comment>
    <comment ref="A65" authorId="0">
      <text>
        <r>
          <rPr>
            <b/>
            <sz val="8"/>
            <rFont val="Tahoma"/>
            <family val="0"/>
          </rPr>
          <t>test2:</t>
        </r>
        <r>
          <rPr>
            <sz val="8"/>
            <rFont val="Tahoma"/>
            <family val="0"/>
          </rPr>
          <t xml:space="preserve">
Not in Original Design</t>
        </r>
      </text>
    </comment>
    <comment ref="A66" authorId="0">
      <text>
        <r>
          <rPr>
            <b/>
            <sz val="8"/>
            <rFont val="Tahoma"/>
            <family val="0"/>
          </rPr>
          <t>test2:</t>
        </r>
        <r>
          <rPr>
            <sz val="8"/>
            <rFont val="Tahoma"/>
            <family val="0"/>
          </rPr>
          <t xml:space="preserve">
Not in Original design</t>
        </r>
      </text>
    </comment>
    <comment ref="B45" authorId="0">
      <text>
        <r>
          <rPr>
            <b/>
            <sz val="8"/>
            <rFont val="Tahoma"/>
            <family val="0"/>
          </rPr>
          <t>CRC 15/3/01:</t>
        </r>
        <r>
          <rPr>
            <sz val="8"/>
            <rFont val="Tahoma"/>
            <family val="0"/>
          </rPr>
          <t xml:space="preserve">
Updated estimates 1.3</t>
        </r>
      </text>
    </comment>
    <comment ref="B97" authorId="0">
      <text>
        <r>
          <rPr>
            <b/>
            <sz val="8"/>
            <rFont val="Tahoma"/>
            <family val="0"/>
          </rPr>
          <t>CRC:
My estimate</t>
        </r>
        <r>
          <rPr>
            <sz val="8"/>
            <rFont val="Tahoma"/>
            <family val="0"/>
          </rPr>
          <t xml:space="preserve">
</t>
        </r>
      </text>
    </comment>
    <comment ref="B76" authorId="0">
      <text>
        <r>
          <rPr>
            <b/>
            <sz val="8"/>
            <rFont val="Tahoma"/>
            <family val="0"/>
          </rPr>
          <t>CRC 15/3/01:
None</t>
        </r>
        <r>
          <rPr>
            <sz val="8"/>
            <rFont val="Tahoma"/>
            <family val="0"/>
          </rPr>
          <t xml:space="preserve">
</t>
        </r>
      </text>
    </comment>
    <comment ref="B107" authorId="0">
      <text>
        <r>
          <rPr>
            <b/>
            <sz val="8"/>
            <rFont val="Tahoma"/>
            <family val="0"/>
          </rPr>
          <t>CRC: Guess</t>
        </r>
        <r>
          <rPr>
            <sz val="8"/>
            <rFont val="Tahoma"/>
            <family val="0"/>
          </rPr>
          <t xml:space="preserve">
</t>
        </r>
      </text>
    </comment>
    <comment ref="B108" authorId="0">
      <text>
        <r>
          <rPr>
            <sz val="8"/>
            <rFont val="Tahoma"/>
            <family val="0"/>
          </rPr>
          <t xml:space="preserve">CRC: Guess
</t>
        </r>
      </text>
    </comment>
    <comment ref="B78" authorId="0">
      <text>
        <r>
          <rPr>
            <b/>
            <sz val="8"/>
            <rFont val="Tahoma"/>
            <family val="0"/>
          </rPr>
          <t>CRC: Guess: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Colin Cunningham</author>
  </authors>
  <commentList>
    <comment ref="E4" authorId="0">
      <text>
        <r>
          <rPr>
            <b/>
            <sz val="8"/>
            <rFont val="Tahoma"/>
            <family val="0"/>
          </rPr>
          <t>Colin Cunningham:</t>
        </r>
        <r>
          <rPr>
            <sz val="8"/>
            <rFont val="Tahoma"/>
            <family val="0"/>
          </rPr>
          <t xml:space="preserve">
Reduce to 7000?</t>
        </r>
      </text>
    </comment>
    <comment ref="G4" authorId="0">
      <text>
        <r>
          <rPr>
            <b/>
            <sz val="8"/>
            <rFont val="Tahoma"/>
            <family val="0"/>
          </rPr>
          <t>Colin Cunningham:</t>
        </r>
        <r>
          <rPr>
            <sz val="8"/>
            <rFont val="Tahoma"/>
            <family val="0"/>
          </rPr>
          <t xml:space="preserve">
Reduce to 10%?</t>
        </r>
      </text>
    </comment>
  </commentList>
</comments>
</file>

<file path=xl/comments4.xml><?xml version="1.0" encoding="utf-8"?>
<comments xmlns="http://schemas.openxmlformats.org/spreadsheetml/2006/main">
  <authors>
    <author>test2</author>
    <author>sam heys</author>
  </authors>
  <commentList>
    <comment ref="E24" authorId="0">
      <text>
        <r>
          <rPr>
            <b/>
            <sz val="8"/>
            <rFont val="Tahoma"/>
            <family val="0"/>
          </rPr>
          <t>CRC: add BSM in fixed position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CRC:</t>
        </r>
        <r>
          <rPr>
            <sz val="8"/>
            <rFont val="Tahoma"/>
            <family val="0"/>
          </rPr>
          <t xml:space="preserve">
BSM in fixed position</t>
        </r>
      </text>
    </comment>
    <comment ref="D40" authorId="1">
      <text>
        <r>
          <rPr>
            <sz val="8"/>
            <rFont val="Tahoma"/>
            <family val="0"/>
          </rPr>
          <t>130 Joules in 5 hours from start of cooler recycling.</t>
        </r>
      </text>
    </comment>
    <comment ref="D48" authorId="1">
      <text>
        <r>
          <rPr>
            <b/>
            <sz val="8"/>
            <rFont val="Tahoma"/>
            <family val="0"/>
          </rPr>
          <t>Heat switch power</t>
        </r>
        <r>
          <rPr>
            <sz val="8"/>
            <rFont val="Tahoma"/>
            <family val="0"/>
          </rPr>
          <t xml:space="preserve">
</t>
        </r>
      </text>
    </comment>
    <comment ref="D49" authorId="1">
      <text>
        <r>
          <rPr>
            <b/>
            <sz val="8"/>
            <rFont val="Tahoma"/>
            <family val="0"/>
          </rPr>
          <t>Heat switch power</t>
        </r>
        <r>
          <rPr>
            <sz val="8"/>
            <rFont val="Tahoma"/>
            <family val="0"/>
          </rPr>
          <t xml:space="preserve">
</t>
        </r>
      </text>
    </comment>
    <comment ref="D50" authorId="1">
      <text>
        <r>
          <rPr>
            <b/>
            <sz val="8"/>
            <rFont val="Tahoma"/>
            <family val="0"/>
          </rPr>
          <t>Pump Heater = 200mW for 30mins, then 25mW for 30mins.
Heat Switch = 0.2mW constant.
Total energy in 48 hours= 440J.
Average load over 48 hours = 2.54mW</t>
        </r>
        <r>
          <rPr>
            <sz val="8"/>
            <rFont val="Tahoma"/>
            <family val="0"/>
          </rPr>
          <t xml:space="preserve">
</t>
        </r>
      </text>
    </comment>
    <comment ref="E50" authorId="0">
      <text>
        <r>
          <rPr>
            <b/>
            <sz val="8"/>
            <rFont val="Tahoma"/>
            <family val="0"/>
          </rPr>
          <t>test2:</t>
        </r>
        <r>
          <rPr>
            <sz val="8"/>
            <rFont val="Tahoma"/>
            <family val="0"/>
          </rPr>
          <t xml:space="preserve">
860 Joules total per cycle
</t>
        </r>
      </text>
    </comment>
    <comment ref="E51" authorId="1">
      <text>
        <r>
          <rPr>
            <b/>
            <sz val="8"/>
            <rFont val="Tahoma"/>
            <family val="0"/>
          </rPr>
          <t>Harness and kevlar parasitics - included in 5mW budget.</t>
        </r>
        <r>
          <rPr>
            <sz val="8"/>
            <rFont val="Tahoma"/>
            <family val="0"/>
          </rPr>
          <t xml:space="preserve">
</t>
        </r>
      </text>
    </comment>
    <comment ref="D78" authorId="1">
      <text>
        <r>
          <rPr>
            <b/>
            <sz val="8"/>
            <rFont val="Tahoma"/>
            <family val="0"/>
          </rPr>
          <t>value for nominal operations (not including cooler recycling loads)</t>
        </r>
        <r>
          <rPr>
            <sz val="8"/>
            <rFont val="Tahoma"/>
            <family val="0"/>
          </rPr>
          <t xml:space="preserve">
</t>
        </r>
      </text>
    </comment>
    <comment ref="D79" authorId="1">
      <text>
        <r>
          <rPr>
            <b/>
            <sz val="8"/>
            <rFont val="Tahoma"/>
            <family val="0"/>
          </rPr>
          <t>value for nominal operations (not including cooler recycling loads)</t>
        </r>
        <r>
          <rPr>
            <sz val="8"/>
            <rFont val="Tahoma"/>
            <family val="0"/>
          </rPr>
          <t xml:space="preserve">
</t>
        </r>
      </text>
    </comment>
    <comment ref="D80" authorId="1">
      <text>
        <r>
          <rPr>
            <sz val="8"/>
            <rFont val="Tahoma"/>
            <family val="0"/>
          </rPr>
          <t xml:space="preserve">273 Joules total down FIRST L0 straps in 5 hours from start of recycling. See strap energy profile during this time.
Note: this is less than 860 Joules in 48 hours specified for cooler since:
-Cooler power in TMM based on pump heater power info from Lionel (200mW for 30mins, then 25mW for 30mins = 405J).
-Much of this heat is conducted to 4K stage (through heat switch supports, harness and kevlar) when pump is at ~40K. 
</t>
        </r>
      </text>
    </comment>
    <comment ref="E85" authorId="0">
      <text>
        <r>
          <rPr>
            <b/>
            <sz val="8"/>
            <rFont val="Tahoma"/>
            <family val="0"/>
          </rPr>
          <t>CRC:</t>
        </r>
        <r>
          <rPr>
            <sz val="8"/>
            <rFont val="Tahoma"/>
            <family val="0"/>
          </rPr>
          <t xml:space="preserve">
Assuming 4K level 1</t>
        </r>
      </text>
    </comment>
  </commentList>
</comments>
</file>

<file path=xl/sharedStrings.xml><?xml version="1.0" encoding="utf-8"?>
<sst xmlns="http://schemas.openxmlformats.org/spreadsheetml/2006/main" count="497" uniqueCount="243">
  <si>
    <t>Photometer Hardware:</t>
  </si>
  <si>
    <t>Mirrors</t>
  </si>
  <si>
    <t>Est. Mass</t>
  </si>
  <si>
    <t>Temp</t>
  </si>
  <si>
    <t>Filters</t>
  </si>
  <si>
    <t>Detectors</t>
  </si>
  <si>
    <t>3 arrays</t>
  </si>
  <si>
    <t>Thermal Straps</t>
  </si>
  <si>
    <t>2-K cooler</t>
  </si>
  <si>
    <t>Cooler</t>
  </si>
  <si>
    <t>Baffles</t>
  </si>
  <si>
    <t>Harness</t>
  </si>
  <si>
    <t>2 arrays</t>
  </si>
  <si>
    <t>Mechanism</t>
  </si>
  <si>
    <t>Structure</t>
  </si>
  <si>
    <t>Motor</t>
  </si>
  <si>
    <t>Total Spect.</t>
  </si>
  <si>
    <t>Total Phot.</t>
  </si>
  <si>
    <t>Spect 4K</t>
  </si>
  <si>
    <t>Phot 4K</t>
  </si>
  <si>
    <t>Phot 2K</t>
  </si>
  <si>
    <t>Spect 2K</t>
  </si>
  <si>
    <t>Total with cont.</t>
  </si>
  <si>
    <t>With cont.</t>
  </si>
  <si>
    <t>With cont</t>
  </si>
  <si>
    <t>Structure Alloc.</t>
  </si>
  <si>
    <t>Total HW 4K</t>
  </si>
  <si>
    <t>Total HW 2K</t>
  </si>
  <si>
    <t>Total HW + Cover</t>
  </si>
  <si>
    <t>Total HW +cover</t>
  </si>
  <si>
    <t>Calibration source</t>
  </si>
  <si>
    <t>Source and mount</t>
  </si>
  <si>
    <t>Shutter</t>
  </si>
  <si>
    <t>Shutter mech and mount</t>
  </si>
  <si>
    <t>4-K Mass</t>
  </si>
  <si>
    <t>2-K Mass</t>
  </si>
  <si>
    <t>Mass estimate of new photometer spectrometer layout using mirror sizes+20% and aspect ratio of 6:1 for small mirrors and 12:1 for big ones.</t>
  </si>
  <si>
    <t>Array Harness 800</t>
  </si>
  <si>
    <t>CFIL-1</t>
  </si>
  <si>
    <t>PFIL-3</t>
  </si>
  <si>
    <t>PDIC-1</t>
  </si>
  <si>
    <t>PDIC-2</t>
  </si>
  <si>
    <t>SFIL-3S</t>
  </si>
  <si>
    <t>SFIL-3L</t>
  </si>
  <si>
    <t>Rf Filters</t>
  </si>
  <si>
    <t>JFET Box</t>
  </si>
  <si>
    <t>What we told ESA now including JFET Box</t>
  </si>
  <si>
    <t>Total cold FPU no contingency</t>
  </si>
  <si>
    <t>Total cold FPU with contingency</t>
  </si>
  <si>
    <t>BSM Mech and bracket</t>
  </si>
  <si>
    <t>Likely Structure+fasteners</t>
  </si>
  <si>
    <t>Cold FPU Likely total</t>
  </si>
  <si>
    <t>Mass estimate</t>
  </si>
  <si>
    <t>Bruce Swinyard &amp; Colin Cunningham</t>
  </si>
  <si>
    <t>Items</t>
  </si>
  <si>
    <t>Difference</t>
  </si>
  <si>
    <t>Cooler Straps</t>
  </si>
  <si>
    <t>BSM</t>
  </si>
  <si>
    <t>TOTAL</t>
  </si>
  <si>
    <t>Spectrometer hardware:</t>
  </si>
  <si>
    <t>Calibration Source</t>
  </si>
  <si>
    <t>Total Hardware</t>
  </si>
  <si>
    <t>Photometer Calibrator</t>
  </si>
  <si>
    <t>Total</t>
  </si>
  <si>
    <t>Phot Structure</t>
  </si>
  <si>
    <t>Cover</t>
  </si>
  <si>
    <t>Detector Box</t>
  </si>
  <si>
    <t>Mounts, Clamps</t>
  </si>
  <si>
    <t>Spec. Cover</t>
  </si>
  <si>
    <t>Spec. detector box</t>
  </si>
  <si>
    <t>Mounts, clamps</t>
  </si>
  <si>
    <t>Common Structure</t>
  </si>
  <si>
    <t>Optical Bench</t>
  </si>
  <si>
    <t>Mounting</t>
  </si>
  <si>
    <t>RF seal</t>
  </si>
  <si>
    <t xml:space="preserve">Total Common </t>
  </si>
  <si>
    <t>Mounts,clamps</t>
  </si>
  <si>
    <t>Detector box</t>
  </si>
  <si>
    <t>JFET I/F structure</t>
  </si>
  <si>
    <t>Cooler I/F</t>
  </si>
  <si>
    <t>Allocation</t>
  </si>
  <si>
    <t>Inc Contingency</t>
  </si>
  <si>
    <t>Contingency %</t>
  </si>
  <si>
    <t>4-11</t>
  </si>
  <si>
    <t>Strap Baffles</t>
  </si>
  <si>
    <t>Custodian:</t>
  </si>
  <si>
    <t>Colin Cunningham</t>
  </si>
  <si>
    <t>Request to ESA (8/6/00)</t>
  </si>
  <si>
    <t>Offer by ESA (8/6/00)</t>
  </si>
  <si>
    <t>All in grammes</t>
  </si>
  <si>
    <t>MSSL</t>
  </si>
  <si>
    <t>BSM (&amp; support)</t>
  </si>
  <si>
    <t>LAM</t>
  </si>
  <si>
    <t>QMW</t>
  </si>
  <si>
    <t>CEA</t>
  </si>
  <si>
    <t>JPL</t>
  </si>
  <si>
    <t>ATC</t>
  </si>
  <si>
    <t>USK</t>
  </si>
  <si>
    <t>Temp. K</t>
  </si>
  <si>
    <t>Work-package</t>
  </si>
  <si>
    <t>Respons-ible</t>
  </si>
  <si>
    <t>Mass Estimate</t>
  </si>
  <si>
    <t>Mass Budget FOB</t>
  </si>
  <si>
    <t>Mass Budget SVM</t>
  </si>
  <si>
    <t>Digital Processing Unit</t>
  </si>
  <si>
    <t>DPU</t>
  </si>
  <si>
    <t>IFSI</t>
  </si>
  <si>
    <t>Detector Read-out &amp; Control Unit</t>
  </si>
  <si>
    <t>DRCU</t>
  </si>
  <si>
    <t>Warm Interconnect Harness</t>
  </si>
  <si>
    <t>WIH</t>
  </si>
  <si>
    <t>TOTAL FPU</t>
  </si>
  <si>
    <t>TOTAL FTB</t>
  </si>
  <si>
    <t>Thermal Loads on FOB</t>
  </si>
  <si>
    <t>Stage</t>
  </si>
  <si>
    <t>Item</t>
  </si>
  <si>
    <t>Standby</t>
  </si>
  <si>
    <t>OFF</t>
  </si>
  <si>
    <t>PHOT</t>
  </si>
  <si>
    <t>SPEC</t>
  </si>
  <si>
    <t>Level 2</t>
  </si>
  <si>
    <t>Level 1</t>
  </si>
  <si>
    <t>Wires</t>
  </si>
  <si>
    <t>Radiation</t>
  </si>
  <si>
    <t>Mechanisms &amp; calibrators</t>
  </si>
  <si>
    <t>Level 0</t>
  </si>
  <si>
    <t>Mode</t>
  </si>
  <si>
    <t>Estimate</t>
  </si>
  <si>
    <t>Loads in mW</t>
  </si>
  <si>
    <t>Contingency</t>
  </si>
  <si>
    <t>Cooler Switch supports</t>
  </si>
  <si>
    <t>Needs completion: estimates and contingency</t>
  </si>
  <si>
    <t>Dissipation on SVM</t>
  </si>
  <si>
    <t>FSDRC</t>
  </si>
  <si>
    <t>Detector Read-out and Control Unit</t>
  </si>
  <si>
    <t>FSDPU</t>
  </si>
  <si>
    <t>Unit</t>
  </si>
  <si>
    <t>FSWIR</t>
  </si>
  <si>
    <t>Dissipation in W</t>
  </si>
  <si>
    <t>V2.0</t>
  </si>
  <si>
    <t>SMECp</t>
  </si>
  <si>
    <t>All</t>
  </si>
  <si>
    <t>Data Transmission</t>
  </si>
  <si>
    <t>Function</t>
  </si>
  <si>
    <t>All in kbps</t>
  </si>
  <si>
    <t>DCU Science</t>
  </si>
  <si>
    <t>Phot</t>
  </si>
  <si>
    <t>MCU Science</t>
  </si>
  <si>
    <t>SCU Science</t>
  </si>
  <si>
    <t>DPU Science</t>
  </si>
  <si>
    <t>Spec</t>
  </si>
  <si>
    <t xml:space="preserve">Total </t>
  </si>
  <si>
    <t>Housekeeping</t>
  </si>
  <si>
    <t>Added at interface review 29/11/00</t>
  </si>
  <si>
    <t>Increased at interface review 28/11/00 to allow 6 litre</t>
  </si>
  <si>
    <t>Increased at Interface review to allow 2 boxes 28/11/00</t>
  </si>
  <si>
    <t>All subsystems include fasteners &amp; their harness in mass estimates, except detector boxes</t>
  </si>
  <si>
    <t>Detector Harness</t>
  </si>
  <si>
    <t>Non- bolometer RF Filters &amp; Box</t>
  </si>
  <si>
    <t>Update</t>
  </si>
  <si>
    <t>Calibrator</t>
  </si>
  <si>
    <t>Mech</t>
  </si>
  <si>
    <t>?</t>
  </si>
  <si>
    <t>20%?</t>
  </si>
  <si>
    <t>Estimate from Renato on 22nd Feb 01</t>
  </si>
  <si>
    <t>PFIL-2</t>
  </si>
  <si>
    <t>SFIL-2</t>
  </si>
  <si>
    <t>SBS-1</t>
  </si>
  <si>
    <t>SBS-2</t>
  </si>
  <si>
    <t>V3.0</t>
  </si>
  <si>
    <t>SM9B</t>
  </si>
  <si>
    <t>SM10B</t>
  </si>
  <si>
    <t>SM12A</t>
  </si>
  <si>
    <t>SM12B</t>
  </si>
  <si>
    <t>Includes Structure estimates: v1.3</t>
  </si>
  <si>
    <t>RF seal (or mesh?)</t>
  </si>
  <si>
    <t>4-K Deleted Item</t>
  </si>
  <si>
    <t>Thermal Straps (busbar)</t>
  </si>
  <si>
    <t>2-K structure Detector Boxes</t>
  </si>
  <si>
    <t>Thermistors, conns, wires</t>
  </si>
  <si>
    <t>2-K Baffles - none</t>
  </si>
  <si>
    <t>Baffles (common)</t>
  </si>
  <si>
    <t>CM3</t>
  </si>
  <si>
    <t>CM4</t>
  </si>
  <si>
    <t>CM5</t>
  </si>
  <si>
    <t>PM6</t>
  </si>
  <si>
    <t>PM7</t>
  </si>
  <si>
    <t>PM8</t>
  </si>
  <si>
    <t>PM9</t>
  </si>
  <si>
    <t>PM10</t>
  </si>
  <si>
    <t>PM11</t>
  </si>
  <si>
    <t>SM6</t>
  </si>
  <si>
    <t>SM7</t>
  </si>
  <si>
    <t>SM8A</t>
  </si>
  <si>
    <t>SM8B</t>
  </si>
  <si>
    <t>SM9A</t>
  </si>
  <si>
    <t xml:space="preserve">SM10A </t>
  </si>
  <si>
    <t xml:space="preserve">SCCA </t>
  </si>
  <si>
    <t>SCCB</t>
  </si>
  <si>
    <t>SM11A</t>
  </si>
  <si>
    <t>SM11B</t>
  </si>
  <si>
    <t>JFET Modules Phot</t>
  </si>
  <si>
    <t>JFET Modules Spec</t>
  </si>
  <si>
    <t>JFET Phot Structure</t>
  </si>
  <si>
    <t>JFET Spec Structure</t>
  </si>
  <si>
    <t>The rest of the common harness 500</t>
  </si>
  <si>
    <t>Array Harness 150 wires</t>
  </si>
  <si>
    <t>%</t>
  </si>
  <si>
    <t>300 mK</t>
  </si>
  <si>
    <t>Cooler Parasitics</t>
  </si>
  <si>
    <t>Busbar Supports</t>
  </si>
  <si>
    <t>Temperature Control Headroom</t>
  </si>
  <si>
    <t>Strap Feed Throughs</t>
  </si>
  <si>
    <t>ESA Budget (average for all inst over mission)</t>
  </si>
  <si>
    <t>Budget for syatems noise</t>
  </si>
  <si>
    <t>Source</t>
  </si>
  <si>
    <t>Refered to signal at detector</t>
  </si>
  <si>
    <t>Photon noise</t>
  </si>
  <si>
    <t>Bolometer</t>
  </si>
  <si>
    <t>Temperature fluctuations</t>
  </si>
  <si>
    <t>JFET</t>
  </si>
  <si>
    <t>RF</t>
  </si>
  <si>
    <t>Microphonics</t>
  </si>
  <si>
    <t>Split into sources?</t>
  </si>
  <si>
    <t>Slplit into phonon, Johson etc</t>
  </si>
  <si>
    <t>Load Resistors</t>
  </si>
  <si>
    <t>Bias supply</t>
  </si>
  <si>
    <t>Preamp</t>
  </si>
  <si>
    <t>LIA</t>
  </si>
  <si>
    <t>A/D quantisation</t>
  </si>
  <si>
    <t>uW</t>
  </si>
  <si>
    <t>21-03-01</t>
  </si>
  <si>
    <t>current estimates + comments included by Sam</t>
  </si>
  <si>
    <t>RECYCLE</t>
  </si>
  <si>
    <t xml:space="preserve"> -</t>
  </si>
  <si>
    <t xml:space="preserve"> - </t>
  </si>
  <si>
    <t>FIRST L1 Cryostat Strap Load</t>
  </si>
  <si>
    <t xml:space="preserve">Dissipation - cooler </t>
  </si>
  <si>
    <t>FIRST L0 Cryostat Strap Load</t>
  </si>
  <si>
    <t>Detector Modules-kevlar</t>
  </si>
  <si>
    <t>Detector Modules-harness</t>
  </si>
  <si>
    <t>From Sam Heys</t>
  </si>
  <si>
    <t>TBD</t>
  </si>
</sst>
</file>

<file path=xl/styles.xml><?xml version="1.0" encoding="utf-8"?>
<styleSheet xmlns="http://schemas.openxmlformats.org/spreadsheetml/2006/main">
  <numFmts count="2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</numFmts>
  <fonts count="1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14" fontId="1" fillId="2" borderId="0" xfId="0" applyNumberFormat="1" applyFont="1" applyFill="1" applyAlignment="1">
      <alignment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/>
    </xf>
    <xf numFmtId="1" fontId="7" fillId="0" borderId="2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6" fontId="7" fillId="0" borderId="2" xfId="0" applyNumberFormat="1" applyFont="1" applyBorder="1" applyAlignment="1" quotePrefix="1">
      <alignment horizontal="right"/>
    </xf>
    <xf numFmtId="0" fontId="7" fillId="0" borderId="3" xfId="0" applyFont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1" fontId="6" fillId="3" borderId="7" xfId="0" applyNumberFormat="1" applyFont="1" applyFill="1" applyBorder="1" applyAlignment="1">
      <alignment/>
    </xf>
    <xf numFmtId="0" fontId="7" fillId="3" borderId="8" xfId="0" applyFont="1" applyFill="1" applyBorder="1" applyAlignment="1">
      <alignment/>
    </xf>
    <xf numFmtId="0" fontId="7" fillId="3" borderId="9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7" fillId="3" borderId="11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1" fontId="7" fillId="3" borderId="8" xfId="0" applyNumberFormat="1" applyFont="1" applyFill="1" applyBorder="1" applyAlignment="1">
      <alignment/>
    </xf>
    <xf numFmtId="0" fontId="7" fillId="3" borderId="13" xfId="0" applyFont="1" applyFill="1" applyBorder="1" applyAlignment="1">
      <alignment/>
    </xf>
    <xf numFmtId="0" fontId="7" fillId="3" borderId="14" xfId="0" applyFont="1" applyFill="1" applyBorder="1" applyAlignment="1">
      <alignment/>
    </xf>
    <xf numFmtId="0" fontId="7" fillId="3" borderId="15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1" fontId="7" fillId="3" borderId="2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2" xfId="0" applyFont="1" applyBorder="1" applyAlignment="1">
      <alignment/>
    </xf>
    <xf numFmtId="1" fontId="6" fillId="3" borderId="2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6" fillId="3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8" fillId="3" borderId="2" xfId="0" applyFont="1" applyFill="1" applyBorder="1" applyAlignment="1">
      <alignment/>
    </xf>
    <xf numFmtId="0" fontId="8" fillId="0" borderId="2" xfId="0" applyFont="1" applyBorder="1" applyAlignment="1">
      <alignment/>
    </xf>
    <xf numFmtId="1" fontId="8" fillId="0" borderId="2" xfId="0" applyNumberFormat="1" applyFont="1" applyBorder="1" applyAlignment="1">
      <alignment/>
    </xf>
    <xf numFmtId="0" fontId="7" fillId="3" borderId="17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8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" xfId="0" applyBorder="1" applyAlignment="1">
      <alignment/>
    </xf>
    <xf numFmtId="0" fontId="0" fillId="0" borderId="30" xfId="0" applyBorder="1" applyAlignment="1">
      <alignment/>
    </xf>
    <xf numFmtId="0" fontId="2" fillId="0" borderId="0" xfId="0" applyFont="1" applyAlignment="1">
      <alignment/>
    </xf>
    <xf numFmtId="0" fontId="2" fillId="3" borderId="0" xfId="0" applyFont="1" applyFill="1" applyAlignment="1">
      <alignment/>
    </xf>
    <xf numFmtId="0" fontId="2" fillId="0" borderId="0" xfId="0" applyFont="1" applyFill="1" applyAlignment="1">
      <alignment/>
    </xf>
    <xf numFmtId="9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30" xfId="0" applyFont="1" applyBorder="1" applyAlignment="1">
      <alignment/>
    </xf>
    <xf numFmtId="0" fontId="7" fillId="0" borderId="8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29" xfId="0" applyFont="1" applyBorder="1" applyAlignment="1">
      <alignment/>
    </xf>
    <xf numFmtId="0" fontId="6" fillId="0" borderId="3" xfId="0" applyFont="1" applyBorder="1" applyAlignment="1">
      <alignment/>
    </xf>
    <xf numFmtId="0" fontId="10" fillId="0" borderId="0" xfId="0" applyFont="1" applyAlignment="1">
      <alignment/>
    </xf>
    <xf numFmtId="0" fontId="7" fillId="0" borderId="25" xfId="0" applyFont="1" applyBorder="1" applyAlignment="1">
      <alignment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11" fillId="0" borderId="0" xfId="0" applyFont="1" applyAlignment="1">
      <alignment/>
    </xf>
    <xf numFmtId="0" fontId="7" fillId="0" borderId="13" xfId="0" applyFont="1" applyBorder="1" applyAlignment="1">
      <alignment/>
    </xf>
    <xf numFmtId="0" fontId="6" fillId="0" borderId="3" xfId="0" applyFont="1" applyBorder="1" applyAlignment="1">
      <alignment horizontal="right"/>
    </xf>
    <xf numFmtId="2" fontId="6" fillId="0" borderId="3" xfId="0" applyNumberFormat="1" applyFont="1" applyBorder="1" applyAlignment="1">
      <alignment/>
    </xf>
    <xf numFmtId="2" fontId="7" fillId="0" borderId="8" xfId="0" applyNumberFormat="1" applyFont="1" applyBorder="1" applyAlignment="1">
      <alignment/>
    </xf>
    <xf numFmtId="2" fontId="7" fillId="0" borderId="2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15" fontId="6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'Mass (FOB)'!$A$4:$A$22</c:f>
              <c:strCache>
                <c:ptCount val="1"/>
                <c:pt idx="0">
                  <c:v>Mirrors Mirrors Filters Filters Detectors Thermal Straps Thermal Straps Cooler Cooler Straps Baffles Baffles Calibration Source Detector Harness BSM (&amp; support) Shutter Non- bolometer RF Filters &amp; Box Cover Detector Box Mounts,clamps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</c:dPt>
          <c:val>
            <c:numRef>
              <c:f>'Mass (FOB)'!$D$4:$D$22</c:f>
              <c:numCache>
                <c:ptCount val="19"/>
                <c:pt idx="0">
                  <c:v>1019</c:v>
                </c:pt>
                <c:pt idx="1">
                  <c:v>348</c:v>
                </c:pt>
                <c:pt idx="2">
                  <c:v>8</c:v>
                </c:pt>
                <c:pt idx="3">
                  <c:v>539</c:v>
                </c:pt>
                <c:pt idx="4">
                  <c:v>1680</c:v>
                </c:pt>
                <c:pt idx="5">
                  <c:v>0</c:v>
                </c:pt>
                <c:pt idx="6">
                  <c:v>282</c:v>
                </c:pt>
                <c:pt idx="7">
                  <c:v>1400</c:v>
                </c:pt>
                <c:pt idx="8">
                  <c:v>235</c:v>
                </c:pt>
                <c:pt idx="9">
                  <c:v>2420</c:v>
                </c:pt>
                <c:pt idx="10">
                  <c:v>0</c:v>
                </c:pt>
                <c:pt idx="11">
                  <c:v>30</c:v>
                </c:pt>
                <c:pt idx="12">
                  <c:v>1275</c:v>
                </c:pt>
                <c:pt idx="13">
                  <c:v>1100</c:v>
                </c:pt>
                <c:pt idx="14">
                  <c:v>200</c:v>
                </c:pt>
                <c:pt idx="15">
                  <c:v>1720</c:v>
                </c:pt>
                <c:pt idx="16">
                  <c:v>7640</c:v>
                </c:pt>
                <c:pt idx="17">
                  <c:v>1840</c:v>
                </c:pt>
                <c:pt idx="18">
                  <c:v>1310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1</xdr:row>
      <xdr:rowOff>152400</xdr:rowOff>
    </xdr:from>
    <xdr:to>
      <xdr:col>17</xdr:col>
      <xdr:colOff>409575</xdr:colOff>
      <xdr:row>25</xdr:row>
      <xdr:rowOff>76200</xdr:rowOff>
    </xdr:to>
    <xdr:graphicFrame>
      <xdr:nvGraphicFramePr>
        <xdr:cNvPr id="1" name="Chart 6"/>
        <xdr:cNvGraphicFramePr/>
      </xdr:nvGraphicFramePr>
      <xdr:xfrm>
        <a:off x="5876925" y="314325"/>
        <a:ext cx="58959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132" zoomScaleNormal="132" workbookViewId="0" topLeftCell="A25">
      <selection activeCell="G60" sqref="G60"/>
    </sheetView>
  </sheetViews>
  <sheetFormatPr defaultColWidth="9.140625" defaultRowHeight="12.75"/>
  <cols>
    <col min="1" max="1" width="19.57421875" style="0" customWidth="1"/>
    <col min="2" max="2" width="10.00390625" style="0" customWidth="1"/>
    <col min="3" max="3" width="7.8515625" style="0" customWidth="1"/>
    <col min="4" max="5" width="8.28125" style="0" customWidth="1"/>
    <col min="6" max="6" width="9.00390625" style="0" customWidth="1"/>
    <col min="7" max="7" width="12.140625" style="0" customWidth="1"/>
    <col min="8" max="8" width="9.421875" style="0" customWidth="1"/>
    <col min="9" max="9" width="10.7109375" style="0" customWidth="1"/>
    <col min="10" max="10" width="11.140625" style="0" customWidth="1"/>
  </cols>
  <sheetData>
    <row r="1" spans="1:8" ht="12.75">
      <c r="A1" s="16" t="s">
        <v>102</v>
      </c>
      <c r="B1" s="17" t="s">
        <v>169</v>
      </c>
      <c r="C1" s="99">
        <v>36965</v>
      </c>
      <c r="D1" s="98"/>
      <c r="E1" s="17" t="s">
        <v>85</v>
      </c>
      <c r="F1" s="17" t="s">
        <v>86</v>
      </c>
      <c r="G1" s="17"/>
      <c r="H1" s="17"/>
    </row>
    <row r="2" spans="1:8" ht="12.75">
      <c r="A2" s="17" t="s">
        <v>156</v>
      </c>
      <c r="B2" s="17"/>
      <c r="C2" s="17"/>
      <c r="D2" s="17"/>
      <c r="E2" s="17"/>
      <c r="F2" s="17"/>
      <c r="G2" s="17"/>
      <c r="H2" s="17"/>
    </row>
    <row r="3" spans="1:8" s="15" customFormat="1" ht="25.5" customHeight="1">
      <c r="A3" s="18" t="s">
        <v>54</v>
      </c>
      <c r="B3" s="18" t="s">
        <v>100</v>
      </c>
      <c r="C3" s="18" t="s">
        <v>98</v>
      </c>
      <c r="D3" s="18" t="s">
        <v>101</v>
      </c>
      <c r="E3" s="18" t="s">
        <v>80</v>
      </c>
      <c r="F3" s="18" t="s">
        <v>55</v>
      </c>
      <c r="G3" s="18" t="s">
        <v>82</v>
      </c>
      <c r="H3" s="18" t="s">
        <v>81</v>
      </c>
    </row>
    <row r="4" spans="1:8" ht="12.75">
      <c r="A4" s="19" t="s">
        <v>1</v>
      </c>
      <c r="B4" s="19" t="s">
        <v>92</v>
      </c>
      <c r="C4" s="19">
        <v>4</v>
      </c>
      <c r="D4" s="41">
        <f>SUM('Detail (FOB)'!B7:B12)</f>
        <v>1019</v>
      </c>
      <c r="E4" s="40">
        <v>1020</v>
      </c>
      <c r="F4" s="20">
        <f>+E4-D4</f>
        <v>1</v>
      </c>
      <c r="G4" s="20">
        <v>10</v>
      </c>
      <c r="H4" s="19">
        <f>+E4*(1+G4/100)</f>
        <v>1122</v>
      </c>
    </row>
    <row r="5" spans="1:8" ht="12.75">
      <c r="A5" s="19" t="s">
        <v>1</v>
      </c>
      <c r="B5" s="19" t="s">
        <v>92</v>
      </c>
      <c r="C5" s="19">
        <v>2</v>
      </c>
      <c r="D5" s="41">
        <f>SUM('Detail (FOB)'!B13:B15)</f>
        <v>348</v>
      </c>
      <c r="E5" s="41">
        <v>350</v>
      </c>
      <c r="F5" s="20">
        <f aca="true" t="shared" si="0" ref="F5:F49">+E5-D5</f>
        <v>2</v>
      </c>
      <c r="G5" s="20">
        <v>10</v>
      </c>
      <c r="H5" s="19">
        <f>+E5*(1+G5/100)</f>
        <v>385.00000000000006</v>
      </c>
    </row>
    <row r="6" spans="1:8" ht="12.75">
      <c r="A6" s="19" t="s">
        <v>4</v>
      </c>
      <c r="B6" s="19" t="s">
        <v>93</v>
      </c>
      <c r="C6" s="19">
        <v>4</v>
      </c>
      <c r="D6" s="40">
        <f>SUM('Detail (FOB)'!B17:B19)</f>
        <v>8</v>
      </c>
      <c r="E6" s="40">
        <v>10</v>
      </c>
      <c r="F6" s="20">
        <f t="shared" si="0"/>
        <v>2</v>
      </c>
      <c r="G6" s="20">
        <v>10</v>
      </c>
      <c r="H6" s="19">
        <f>+E6*(1+G6/100)</f>
        <v>11</v>
      </c>
    </row>
    <row r="7" spans="1:8" ht="12.75">
      <c r="A7" s="19" t="s">
        <v>4</v>
      </c>
      <c r="B7" s="19" t="s">
        <v>93</v>
      </c>
      <c r="C7" s="19">
        <v>2</v>
      </c>
      <c r="D7" s="40">
        <f>SUM('Detail (FOB)'!B20:B22)</f>
        <v>539</v>
      </c>
      <c r="E7" s="40">
        <v>540</v>
      </c>
      <c r="F7" s="20">
        <f t="shared" si="0"/>
        <v>1</v>
      </c>
      <c r="G7" s="20">
        <v>20</v>
      </c>
      <c r="H7" s="19">
        <f>+E7*(1+G7/100)</f>
        <v>648</v>
      </c>
    </row>
    <row r="8" spans="1:8" ht="12.75">
      <c r="A8" s="19" t="s">
        <v>5</v>
      </c>
      <c r="B8" s="19" t="s">
        <v>95</v>
      </c>
      <c r="C8" s="19">
        <v>2</v>
      </c>
      <c r="D8" s="59">
        <f>SUM('Detail (FOB)'!B24)</f>
        <v>1680</v>
      </c>
      <c r="E8" s="40">
        <v>1800</v>
      </c>
      <c r="F8" s="20">
        <f t="shared" si="0"/>
        <v>120</v>
      </c>
      <c r="G8" s="41">
        <v>0</v>
      </c>
      <c r="H8" s="19">
        <f>+E8*(1+G8/100)</f>
        <v>1800</v>
      </c>
    </row>
    <row r="9" spans="1:8" ht="12.75">
      <c r="A9" s="19" t="s">
        <v>7</v>
      </c>
      <c r="B9" s="19" t="s">
        <v>90</v>
      </c>
      <c r="C9" s="19">
        <v>4</v>
      </c>
      <c r="D9" s="19">
        <f>SUM('Detail (FOB)'!B26)</f>
        <v>0</v>
      </c>
      <c r="E9" s="19">
        <v>0</v>
      </c>
      <c r="F9" s="20">
        <f t="shared" si="0"/>
        <v>0</v>
      </c>
      <c r="G9" s="20">
        <v>0</v>
      </c>
      <c r="H9" s="19">
        <f aca="true" t="shared" si="1" ref="H9:H22">+E9*(1+G9/100)</f>
        <v>0</v>
      </c>
    </row>
    <row r="10" spans="1:8" ht="12.75">
      <c r="A10" s="19" t="s">
        <v>7</v>
      </c>
      <c r="B10" s="19" t="s">
        <v>90</v>
      </c>
      <c r="C10" s="19">
        <v>2</v>
      </c>
      <c r="D10" s="19">
        <f>SUM('Detail (FOB)'!B27:B28)</f>
        <v>282</v>
      </c>
      <c r="E10" s="19">
        <v>285</v>
      </c>
      <c r="F10" s="20">
        <f t="shared" si="0"/>
        <v>3</v>
      </c>
      <c r="G10" s="20">
        <v>20</v>
      </c>
      <c r="H10" s="19">
        <f t="shared" si="1"/>
        <v>342</v>
      </c>
    </row>
    <row r="11" spans="1:8" ht="12.75">
      <c r="A11" s="19" t="s">
        <v>9</v>
      </c>
      <c r="B11" s="19" t="s">
        <v>94</v>
      </c>
      <c r="C11" s="19">
        <v>4</v>
      </c>
      <c r="D11" s="59">
        <f>+'Detail (FOB)'!B30</f>
        <v>1400</v>
      </c>
      <c r="E11" s="59">
        <v>1400</v>
      </c>
      <c r="F11" s="20">
        <f t="shared" si="0"/>
        <v>0</v>
      </c>
      <c r="G11" s="20">
        <v>10</v>
      </c>
      <c r="H11" s="19">
        <f t="shared" si="1"/>
        <v>1540.0000000000002</v>
      </c>
    </row>
    <row r="12" spans="1:8" ht="12.75">
      <c r="A12" s="19" t="s">
        <v>56</v>
      </c>
      <c r="B12" s="19" t="s">
        <v>90</v>
      </c>
      <c r="C12" s="19">
        <v>2</v>
      </c>
      <c r="D12" s="19">
        <f>SUM('Detail (FOB)'!B31)</f>
        <v>235</v>
      </c>
      <c r="E12" s="19">
        <v>235</v>
      </c>
      <c r="F12" s="20">
        <f t="shared" si="0"/>
        <v>0</v>
      </c>
      <c r="G12" s="20">
        <v>20</v>
      </c>
      <c r="H12" s="19">
        <f t="shared" si="1"/>
        <v>282</v>
      </c>
    </row>
    <row r="13" spans="1:8" ht="12.75">
      <c r="A13" s="19" t="s">
        <v>10</v>
      </c>
      <c r="B13" s="19" t="s">
        <v>90</v>
      </c>
      <c r="C13" s="19">
        <v>4</v>
      </c>
      <c r="D13" s="19">
        <f>SUM('Detail (FOB)'!B33)</f>
        <v>2420</v>
      </c>
      <c r="E13" s="19">
        <v>2420</v>
      </c>
      <c r="F13" s="20">
        <f t="shared" si="0"/>
        <v>0</v>
      </c>
      <c r="G13" s="20">
        <v>20</v>
      </c>
      <c r="H13" s="19">
        <f t="shared" si="1"/>
        <v>2904</v>
      </c>
    </row>
    <row r="14" spans="1:8" ht="12.75">
      <c r="A14" s="19" t="s">
        <v>10</v>
      </c>
      <c r="B14" s="19" t="s">
        <v>90</v>
      </c>
      <c r="C14" s="19">
        <v>2</v>
      </c>
      <c r="D14" s="19">
        <f>SUM('Detail (FOB)'!B34)</f>
        <v>0</v>
      </c>
      <c r="E14" s="19">
        <v>0</v>
      </c>
      <c r="F14" s="20">
        <f t="shared" si="0"/>
        <v>0</v>
      </c>
      <c r="G14" s="20">
        <v>0</v>
      </c>
      <c r="H14" s="19">
        <f t="shared" si="1"/>
        <v>0</v>
      </c>
    </row>
    <row r="15" spans="1:8" ht="12.75">
      <c r="A15" s="19" t="s">
        <v>60</v>
      </c>
      <c r="B15" s="60" t="s">
        <v>93</v>
      </c>
      <c r="C15" s="19">
        <v>4</v>
      </c>
      <c r="D15" s="40">
        <f>SUM('Detail (FOB)'!B35)</f>
        <v>30</v>
      </c>
      <c r="E15" s="40">
        <v>30</v>
      </c>
      <c r="F15" s="20">
        <f t="shared" si="0"/>
        <v>0</v>
      </c>
      <c r="G15" s="20">
        <v>20</v>
      </c>
      <c r="H15" s="19">
        <f t="shared" si="1"/>
        <v>36</v>
      </c>
    </row>
    <row r="16" spans="1:8" ht="12.75">
      <c r="A16" s="19" t="s">
        <v>157</v>
      </c>
      <c r="B16" s="19" t="s">
        <v>95</v>
      </c>
      <c r="C16" s="19">
        <v>4</v>
      </c>
      <c r="D16" s="19">
        <f>SUM('Detail (FOB)'!B37:B38)</f>
        <v>1275</v>
      </c>
      <c r="E16" s="19">
        <v>1300</v>
      </c>
      <c r="F16" s="20">
        <f t="shared" si="0"/>
        <v>25</v>
      </c>
      <c r="G16" s="20">
        <v>0</v>
      </c>
      <c r="H16" s="19">
        <f t="shared" si="1"/>
        <v>1300</v>
      </c>
    </row>
    <row r="17" spans="1:8" ht="12.75">
      <c r="A17" s="19" t="s">
        <v>91</v>
      </c>
      <c r="B17" s="19" t="s">
        <v>96</v>
      </c>
      <c r="C17" s="19">
        <v>4</v>
      </c>
      <c r="D17" s="19">
        <f>'Detail (FOB)'!B40</f>
        <v>1100</v>
      </c>
      <c r="E17" s="19">
        <v>1100</v>
      </c>
      <c r="F17" s="20">
        <f t="shared" si="0"/>
        <v>0</v>
      </c>
      <c r="G17" s="20">
        <v>20</v>
      </c>
      <c r="H17" s="19">
        <f t="shared" si="1"/>
        <v>1320</v>
      </c>
    </row>
    <row r="18" spans="1:8" ht="12.75">
      <c r="A18" s="19" t="s">
        <v>32</v>
      </c>
      <c r="B18" s="19" t="s">
        <v>97</v>
      </c>
      <c r="C18" s="19">
        <v>4</v>
      </c>
      <c r="D18" s="40">
        <f>SUM('Detail (FOB)'!B42)</f>
        <v>200</v>
      </c>
      <c r="E18" s="40">
        <v>200</v>
      </c>
      <c r="F18" s="20">
        <f t="shared" si="0"/>
        <v>0</v>
      </c>
      <c r="G18" s="20">
        <v>20</v>
      </c>
      <c r="H18" s="19">
        <f t="shared" si="1"/>
        <v>240</v>
      </c>
    </row>
    <row r="19" spans="1:8" ht="12.75">
      <c r="A19" s="19" t="s">
        <v>158</v>
      </c>
      <c r="B19" s="19" t="s">
        <v>95</v>
      </c>
      <c r="C19" s="19">
        <v>4</v>
      </c>
      <c r="D19" s="19">
        <f>+'Detail (FOB)'!B43</f>
        <v>1720</v>
      </c>
      <c r="E19" s="19">
        <v>1720</v>
      </c>
      <c r="F19" s="20">
        <f t="shared" si="0"/>
        <v>0</v>
      </c>
      <c r="G19" s="20">
        <v>0</v>
      </c>
      <c r="H19" s="19">
        <f t="shared" si="1"/>
        <v>1720</v>
      </c>
    </row>
    <row r="20" spans="1:8" ht="12.75">
      <c r="A20" s="19" t="s">
        <v>65</v>
      </c>
      <c r="B20" s="19" t="s">
        <v>90</v>
      </c>
      <c r="C20" s="19">
        <v>4</v>
      </c>
      <c r="D20" s="19">
        <f>+'Detail (FOB)'!B45</f>
        <v>7640</v>
      </c>
      <c r="E20" s="19">
        <v>7650</v>
      </c>
      <c r="F20" s="20">
        <f t="shared" si="0"/>
        <v>10</v>
      </c>
      <c r="G20" s="20">
        <v>10</v>
      </c>
      <c r="H20" s="19">
        <f t="shared" si="1"/>
        <v>8415</v>
      </c>
    </row>
    <row r="21" spans="1:8" ht="12.75">
      <c r="A21" s="19" t="s">
        <v>66</v>
      </c>
      <c r="B21" s="19" t="s">
        <v>90</v>
      </c>
      <c r="C21" s="19">
        <v>2</v>
      </c>
      <c r="D21" s="19">
        <f>+'Detail (FOB)'!B46</f>
        <v>1840</v>
      </c>
      <c r="E21" s="19">
        <v>1850</v>
      </c>
      <c r="F21" s="20">
        <f t="shared" si="0"/>
        <v>10</v>
      </c>
      <c r="G21" s="20">
        <v>10</v>
      </c>
      <c r="H21" s="19">
        <f t="shared" si="1"/>
        <v>2035.0000000000002</v>
      </c>
    </row>
    <row r="22" spans="1:8" ht="12.75">
      <c r="A22" s="19" t="s">
        <v>76</v>
      </c>
      <c r="B22" s="19" t="s">
        <v>90</v>
      </c>
      <c r="C22" s="19"/>
      <c r="D22" s="19">
        <f>+'Detail (FOB)'!B47</f>
        <v>1310</v>
      </c>
      <c r="E22" s="19">
        <v>1310</v>
      </c>
      <c r="F22" s="20">
        <f t="shared" si="0"/>
        <v>0</v>
      </c>
      <c r="G22" s="20">
        <v>10</v>
      </c>
      <c r="H22" s="19">
        <f t="shared" si="1"/>
        <v>1441.0000000000002</v>
      </c>
    </row>
    <row r="23" spans="1:8" ht="12.75">
      <c r="A23" s="19" t="s">
        <v>58</v>
      </c>
      <c r="B23" s="19"/>
      <c r="C23" s="19"/>
      <c r="D23" s="21">
        <f>SUM(D4:D22)</f>
        <v>23046</v>
      </c>
      <c r="E23" s="21">
        <f>SUM(E4:E22)</f>
        <v>23220</v>
      </c>
      <c r="F23" s="20">
        <f t="shared" si="0"/>
        <v>174</v>
      </c>
      <c r="G23" s="20"/>
      <c r="H23" s="21">
        <f>SUM(H4:H22)</f>
        <v>25541</v>
      </c>
    </row>
    <row r="24" spans="1:8" ht="12.75">
      <c r="A24" s="17"/>
      <c r="B24" s="17"/>
      <c r="C24" s="17"/>
      <c r="D24" s="22"/>
      <c r="E24" s="17"/>
      <c r="F24" s="17"/>
      <c r="G24" s="17"/>
      <c r="H24" s="17"/>
    </row>
    <row r="25" spans="1:8" ht="12.75">
      <c r="A25" s="19" t="s">
        <v>1</v>
      </c>
      <c r="B25" s="19" t="s">
        <v>92</v>
      </c>
      <c r="C25" s="19">
        <v>4</v>
      </c>
      <c r="D25" s="20">
        <f>SUM('Detail (FOB)'!B52:B66)</f>
        <v>1312</v>
      </c>
      <c r="E25" s="19">
        <v>1320</v>
      </c>
      <c r="F25" s="20">
        <f t="shared" si="0"/>
        <v>8</v>
      </c>
      <c r="G25" s="20">
        <v>10</v>
      </c>
      <c r="H25" s="19">
        <f aca="true" t="shared" si="2" ref="H25:H36">+E25*(1+G25/100)</f>
        <v>1452.0000000000002</v>
      </c>
    </row>
    <row r="26" spans="1:8" ht="12.75">
      <c r="A26" s="19" t="s">
        <v>4</v>
      </c>
      <c r="B26" s="19" t="s">
        <v>93</v>
      </c>
      <c r="C26" s="19">
        <v>4</v>
      </c>
      <c r="D26" s="40">
        <v>65</v>
      </c>
      <c r="E26" s="40">
        <v>65</v>
      </c>
      <c r="F26" s="20">
        <f t="shared" si="0"/>
        <v>0</v>
      </c>
      <c r="G26" s="20">
        <v>10</v>
      </c>
      <c r="H26" s="19">
        <f t="shared" si="2"/>
        <v>71.5</v>
      </c>
    </row>
    <row r="27" spans="1:8" ht="12.75">
      <c r="A27" s="19" t="s">
        <v>4</v>
      </c>
      <c r="B27" s="19" t="s">
        <v>93</v>
      </c>
      <c r="C27" s="19">
        <v>2</v>
      </c>
      <c r="D27" s="40">
        <v>2</v>
      </c>
      <c r="E27" s="40">
        <v>2</v>
      </c>
      <c r="F27" s="20">
        <f>+E27-D27</f>
        <v>0</v>
      </c>
      <c r="G27" s="20">
        <v>10</v>
      </c>
      <c r="H27" s="19">
        <f>+E27*(1+G27/100)</f>
        <v>2.2</v>
      </c>
    </row>
    <row r="28" spans="1:8" ht="12" customHeight="1">
      <c r="A28" s="19" t="s">
        <v>5</v>
      </c>
      <c r="B28" s="19" t="s">
        <v>95</v>
      </c>
      <c r="C28" s="19">
        <v>2</v>
      </c>
      <c r="D28" s="61">
        <f>SUM('Detail (FOB)'!B74)</f>
        <v>897</v>
      </c>
      <c r="E28" s="19">
        <v>1200</v>
      </c>
      <c r="F28" s="20">
        <f t="shared" si="0"/>
        <v>303</v>
      </c>
      <c r="G28" s="20">
        <v>0</v>
      </c>
      <c r="H28" s="19">
        <f t="shared" si="2"/>
        <v>1200</v>
      </c>
    </row>
    <row r="29" spans="1:8" ht="12" customHeight="1">
      <c r="A29" s="19" t="s">
        <v>10</v>
      </c>
      <c r="B29" s="19" t="s">
        <v>90</v>
      </c>
      <c r="C29" s="19">
        <v>4</v>
      </c>
      <c r="D29" s="20">
        <f>SUM('Detail (FOB)'!B76)</f>
        <v>0</v>
      </c>
      <c r="E29" s="19">
        <v>0</v>
      </c>
      <c r="F29" s="20">
        <f t="shared" si="0"/>
        <v>0</v>
      </c>
      <c r="G29" s="20">
        <v>0</v>
      </c>
      <c r="H29" s="19">
        <f t="shared" si="2"/>
        <v>0</v>
      </c>
    </row>
    <row r="30" spans="1:8" ht="12" customHeight="1">
      <c r="A30" s="19" t="s">
        <v>11</v>
      </c>
      <c r="B30" s="19" t="s">
        <v>95</v>
      </c>
      <c r="C30" s="19">
        <v>4</v>
      </c>
      <c r="D30" s="20">
        <f>SUM('Detail (FOB)'!B78:B79)</f>
        <v>200</v>
      </c>
      <c r="E30" s="19">
        <v>200</v>
      </c>
      <c r="F30" s="20">
        <f t="shared" si="0"/>
        <v>0</v>
      </c>
      <c r="G30" s="20">
        <v>0</v>
      </c>
      <c r="H30" s="19">
        <f t="shared" si="2"/>
        <v>200</v>
      </c>
    </row>
    <row r="31" spans="1:8" ht="12.75">
      <c r="A31" s="19" t="s">
        <v>13</v>
      </c>
      <c r="B31" s="19" t="s">
        <v>92</v>
      </c>
      <c r="C31" s="19">
        <v>4</v>
      </c>
      <c r="D31" s="19">
        <f>SUM('Detail (FOB)'!B82:B83)</f>
        <v>1100</v>
      </c>
      <c r="E31" s="19">
        <v>1100</v>
      </c>
      <c r="F31" s="20">
        <f t="shared" si="0"/>
        <v>0</v>
      </c>
      <c r="G31" s="20">
        <v>20</v>
      </c>
      <c r="H31" s="19">
        <f t="shared" si="2"/>
        <v>1320</v>
      </c>
    </row>
    <row r="32" spans="1:8" ht="12.75">
      <c r="A32" s="60" t="s">
        <v>140</v>
      </c>
      <c r="B32" s="60" t="s">
        <v>92</v>
      </c>
      <c r="C32" s="60">
        <v>4</v>
      </c>
      <c r="D32" s="59">
        <f>+'Detail (FOB)'!B84</f>
        <v>200</v>
      </c>
      <c r="E32" s="59">
        <v>200</v>
      </c>
      <c r="F32" s="61">
        <f>+E32-D32</f>
        <v>0</v>
      </c>
      <c r="G32" s="61">
        <v>20</v>
      </c>
      <c r="H32" s="60">
        <f>+E32*(1+G32/100)</f>
        <v>240</v>
      </c>
    </row>
    <row r="33" spans="1:8" ht="12.75">
      <c r="A33" s="19" t="s">
        <v>65</v>
      </c>
      <c r="B33" s="19" t="s">
        <v>90</v>
      </c>
      <c r="C33" s="19">
        <v>4</v>
      </c>
      <c r="D33" s="19">
        <f>+'Detail (FOB)'!B88</f>
        <v>6880</v>
      </c>
      <c r="E33" s="19">
        <v>6880</v>
      </c>
      <c r="F33" s="20">
        <f t="shared" si="0"/>
        <v>0</v>
      </c>
      <c r="G33" s="20">
        <v>10</v>
      </c>
      <c r="H33" s="19">
        <f t="shared" si="2"/>
        <v>7568.000000000001</v>
      </c>
    </row>
    <row r="34" spans="1:8" ht="12.75">
      <c r="A34" s="19" t="s">
        <v>77</v>
      </c>
      <c r="B34" s="19" t="s">
        <v>90</v>
      </c>
      <c r="C34" s="19">
        <v>2</v>
      </c>
      <c r="D34" s="19">
        <f>+'Detail (FOB)'!B89</f>
        <v>1350</v>
      </c>
      <c r="E34" s="19">
        <v>1350</v>
      </c>
      <c r="F34" s="20">
        <f t="shared" si="0"/>
        <v>0</v>
      </c>
      <c r="G34" s="20">
        <v>10</v>
      </c>
      <c r="H34" s="19">
        <f t="shared" si="2"/>
        <v>1485.0000000000002</v>
      </c>
    </row>
    <row r="35" spans="1:8" ht="12.75">
      <c r="A35" s="19" t="s">
        <v>76</v>
      </c>
      <c r="B35" s="19" t="s">
        <v>90</v>
      </c>
      <c r="C35" s="19"/>
      <c r="D35" s="19">
        <f>+'Detail (FOB)'!B90</f>
        <v>860</v>
      </c>
      <c r="E35" s="19">
        <v>860</v>
      </c>
      <c r="F35" s="20">
        <f t="shared" si="0"/>
        <v>0</v>
      </c>
      <c r="G35" s="20">
        <v>10</v>
      </c>
      <c r="H35" s="19">
        <f t="shared" si="2"/>
        <v>946.0000000000001</v>
      </c>
    </row>
    <row r="36" spans="1:8" ht="12.75">
      <c r="A36" s="19" t="s">
        <v>60</v>
      </c>
      <c r="B36" s="60" t="s">
        <v>93</v>
      </c>
      <c r="C36" s="19">
        <v>4</v>
      </c>
      <c r="D36" s="40">
        <f>SUM('Detail (FOB)'!B86)</f>
        <v>200</v>
      </c>
      <c r="E36" s="40">
        <v>200</v>
      </c>
      <c r="F36" s="20">
        <f t="shared" si="0"/>
        <v>0</v>
      </c>
      <c r="G36" s="20">
        <v>20</v>
      </c>
      <c r="H36" s="19">
        <f t="shared" si="2"/>
        <v>240</v>
      </c>
    </row>
    <row r="37" spans="1:8" ht="12.75">
      <c r="A37" s="19" t="s">
        <v>58</v>
      </c>
      <c r="B37" s="19"/>
      <c r="C37" s="19"/>
      <c r="D37" s="21">
        <f>SUM(D25:D36)</f>
        <v>13066</v>
      </c>
      <c r="E37" s="21">
        <f>SUM(E25:E36)</f>
        <v>13377</v>
      </c>
      <c r="F37" s="20">
        <f t="shared" si="0"/>
        <v>311</v>
      </c>
      <c r="G37" s="20"/>
      <c r="H37" s="21">
        <f>SUM(H25:H36)</f>
        <v>14724.7</v>
      </c>
    </row>
    <row r="38" spans="1:8" ht="12.75">
      <c r="A38" s="17"/>
      <c r="B38" s="17"/>
      <c r="C38" s="17"/>
      <c r="D38" s="17"/>
      <c r="E38" s="17"/>
      <c r="F38" s="17"/>
      <c r="G38" s="17"/>
      <c r="H38" s="17"/>
    </row>
    <row r="39" spans="1:8" ht="12.75">
      <c r="A39" s="19" t="s">
        <v>72</v>
      </c>
      <c r="B39" s="19" t="s">
        <v>90</v>
      </c>
      <c r="C39" s="19">
        <v>4</v>
      </c>
      <c r="D39" s="20">
        <f>+'Detail (FOB)'!B94</f>
        <v>8000</v>
      </c>
      <c r="E39" s="19">
        <v>8000</v>
      </c>
      <c r="F39" s="20">
        <f t="shared" si="0"/>
        <v>0</v>
      </c>
      <c r="G39" s="20">
        <v>10</v>
      </c>
      <c r="H39" s="19">
        <f aca="true" t="shared" si="3" ref="H39:H49">+E39*(1+G39/100)</f>
        <v>8800</v>
      </c>
    </row>
    <row r="40" spans="1:8" ht="12.75">
      <c r="A40" s="19" t="s">
        <v>73</v>
      </c>
      <c r="B40" s="19" t="s">
        <v>90</v>
      </c>
      <c r="C40" s="19">
        <v>4</v>
      </c>
      <c r="D40" s="20">
        <f>+'Detail (FOB)'!B95</f>
        <v>540</v>
      </c>
      <c r="E40" s="19">
        <v>540</v>
      </c>
      <c r="F40" s="20">
        <f t="shared" si="0"/>
        <v>0</v>
      </c>
      <c r="G40" s="20">
        <v>10</v>
      </c>
      <c r="H40" s="19">
        <f t="shared" si="3"/>
        <v>594</v>
      </c>
    </row>
    <row r="41" spans="1:8" ht="12.75">
      <c r="A41" s="19" t="s">
        <v>74</v>
      </c>
      <c r="B41" s="19" t="s">
        <v>90</v>
      </c>
      <c r="C41" s="19">
        <v>4</v>
      </c>
      <c r="D41" s="20">
        <v>0</v>
      </c>
      <c r="E41" s="19">
        <v>0</v>
      </c>
      <c r="F41" s="20">
        <f t="shared" si="0"/>
        <v>0</v>
      </c>
      <c r="G41" s="20">
        <v>0</v>
      </c>
      <c r="H41" s="19">
        <f t="shared" si="3"/>
        <v>0</v>
      </c>
    </row>
    <row r="42" spans="1:8" ht="12.75">
      <c r="A42" s="19" t="s">
        <v>79</v>
      </c>
      <c r="B42" s="19" t="s">
        <v>90</v>
      </c>
      <c r="C42" s="19">
        <v>4</v>
      </c>
      <c r="D42" s="20">
        <v>100</v>
      </c>
      <c r="E42" s="19">
        <v>100</v>
      </c>
      <c r="F42" s="20">
        <f t="shared" si="0"/>
        <v>0</v>
      </c>
      <c r="G42" s="20">
        <v>20</v>
      </c>
      <c r="H42" s="19">
        <f t="shared" si="3"/>
        <v>120</v>
      </c>
    </row>
    <row r="43" spans="1:8" ht="12.75">
      <c r="A43" s="19" t="s">
        <v>84</v>
      </c>
      <c r="B43" s="19" t="s">
        <v>90</v>
      </c>
      <c r="C43" s="19">
        <v>4</v>
      </c>
      <c r="D43" s="20">
        <v>500</v>
      </c>
      <c r="E43" s="19">
        <v>500</v>
      </c>
      <c r="F43" s="20">
        <f>+E43-D43</f>
        <v>0</v>
      </c>
      <c r="G43" s="20">
        <v>20</v>
      </c>
      <c r="H43" s="19">
        <f t="shared" si="3"/>
        <v>600</v>
      </c>
    </row>
    <row r="44" spans="1:8" ht="12.75">
      <c r="A44" s="19" t="s">
        <v>78</v>
      </c>
      <c r="B44" s="19" t="s">
        <v>90</v>
      </c>
      <c r="C44" s="23" t="s">
        <v>83</v>
      </c>
      <c r="D44" s="19">
        <v>0</v>
      </c>
      <c r="E44" s="19">
        <v>0</v>
      </c>
      <c r="F44" s="20">
        <f>+E44-D44</f>
        <v>0</v>
      </c>
      <c r="G44" s="20">
        <v>0</v>
      </c>
      <c r="H44" s="19">
        <f>+E44*(1+G44/100)</f>
        <v>0</v>
      </c>
    </row>
    <row r="45" spans="1:8" ht="13.5" thickBot="1">
      <c r="A45" s="19" t="s">
        <v>58</v>
      </c>
      <c r="B45" s="19"/>
      <c r="C45" s="19"/>
      <c r="D45" s="21">
        <f>SUM(D39:D44)</f>
        <v>9140</v>
      </c>
      <c r="E45" s="21">
        <f>SUM(E39:E44)</f>
        <v>9140</v>
      </c>
      <c r="F45" s="21">
        <f>SUM(F39:F44)</f>
        <v>0</v>
      </c>
      <c r="G45" s="20"/>
      <c r="H45" s="21">
        <f>SUM(H39:H44)</f>
        <v>10114</v>
      </c>
    </row>
    <row r="46" spans="1:8" ht="13.5" thickBot="1">
      <c r="A46" s="56" t="s">
        <v>111</v>
      </c>
      <c r="B46" s="57"/>
      <c r="C46" s="58"/>
      <c r="D46" s="28">
        <f>+D23+D37+D45</f>
        <v>45252</v>
      </c>
      <c r="E46" s="28">
        <f>+E23+E37+E45</f>
        <v>45737</v>
      </c>
      <c r="F46" s="28">
        <f>+F23+F37+F45</f>
        <v>485</v>
      </c>
      <c r="G46" s="28"/>
      <c r="H46" s="28">
        <f>+H23+H37+H45</f>
        <v>50379.7</v>
      </c>
    </row>
    <row r="47" spans="1:8" ht="12.75">
      <c r="A47" s="29" t="s">
        <v>87</v>
      </c>
      <c r="B47" s="31"/>
      <c r="C47" s="32"/>
      <c r="D47" s="33"/>
      <c r="E47" s="34">
        <v>45000</v>
      </c>
      <c r="F47" s="29"/>
      <c r="G47" s="35">
        <v>20</v>
      </c>
      <c r="H47" s="34">
        <f>+E47*(1+G47/100)</f>
        <v>54000</v>
      </c>
    </row>
    <row r="48" spans="1:8" ht="12.75">
      <c r="A48" s="36" t="s">
        <v>88</v>
      </c>
      <c r="B48" s="37"/>
      <c r="C48" s="37"/>
      <c r="D48" s="38"/>
      <c r="E48" s="39">
        <v>42000</v>
      </c>
      <c r="F48" s="40"/>
      <c r="G48" s="41">
        <v>20</v>
      </c>
      <c r="H48" s="39">
        <f>+E48*(1+G48/100)</f>
        <v>50400</v>
      </c>
    </row>
    <row r="49" spans="1:8" ht="12.75">
      <c r="A49" s="19" t="s">
        <v>45</v>
      </c>
      <c r="B49" s="19" t="s">
        <v>95</v>
      </c>
      <c r="C49" s="19">
        <v>11</v>
      </c>
      <c r="D49" s="19">
        <f>SUM('Detail (FOB)'!B105:B108)</f>
        <v>6990</v>
      </c>
      <c r="E49" s="19">
        <v>7000</v>
      </c>
      <c r="F49" s="20">
        <f t="shared" si="0"/>
        <v>10</v>
      </c>
      <c r="G49" s="20">
        <v>10</v>
      </c>
      <c r="H49" s="19">
        <f t="shared" si="3"/>
        <v>7700.000000000001</v>
      </c>
    </row>
    <row r="50" ht="13.5" thickBot="1"/>
    <row r="51" spans="1:10" ht="13.5" thickBot="1">
      <c r="A51" s="25" t="s">
        <v>112</v>
      </c>
      <c r="B51" s="26"/>
      <c r="C51" s="26"/>
      <c r="D51" s="26"/>
      <c r="E51" s="27"/>
      <c r="F51" s="28">
        <f>+SUM(F49:F50)</f>
        <v>10</v>
      </c>
      <c r="G51" s="28">
        <f>+SUM(G49:G50)</f>
        <v>10</v>
      </c>
      <c r="H51" s="28">
        <f>+SUM(H49:H50)</f>
        <v>7700.000000000001</v>
      </c>
      <c r="I51" s="28"/>
      <c r="J51" s="28">
        <f>+SUM(J49:J50)</f>
        <v>0</v>
      </c>
    </row>
    <row r="52" spans="1:10" ht="12.75">
      <c r="A52" s="29" t="s">
        <v>87</v>
      </c>
      <c r="B52" s="30"/>
      <c r="C52" s="31"/>
      <c r="D52" s="31"/>
      <c r="E52" s="32"/>
      <c r="F52" s="33"/>
      <c r="G52" s="34">
        <v>6500</v>
      </c>
      <c r="H52" s="29"/>
      <c r="I52" s="35">
        <v>20</v>
      </c>
      <c r="J52" s="34">
        <f>+G52*(1+I52/100)</f>
        <v>7800</v>
      </c>
    </row>
    <row r="53" spans="1:10" ht="12.75">
      <c r="A53" s="36" t="s">
        <v>88</v>
      </c>
      <c r="B53" s="37"/>
      <c r="C53" s="37"/>
      <c r="D53" s="37"/>
      <c r="E53" s="37"/>
      <c r="F53" s="38"/>
      <c r="G53" s="39">
        <v>6000</v>
      </c>
      <c r="H53" s="40"/>
      <c r="I53" s="41">
        <v>20</v>
      </c>
      <c r="J53" s="39">
        <f>+G53*(1+I53/100)</f>
        <v>7200</v>
      </c>
    </row>
    <row r="54" spans="1:10" ht="12.75">
      <c r="A54" s="42"/>
      <c r="B54" s="43"/>
      <c r="C54" s="43"/>
      <c r="D54" s="43"/>
      <c r="E54" s="43"/>
      <c r="F54" s="43"/>
      <c r="G54" s="17"/>
      <c r="H54" s="17"/>
      <c r="I54" s="17"/>
      <c r="J54" s="17"/>
    </row>
    <row r="55" spans="1:10" ht="39" customHeight="1">
      <c r="A55" s="97"/>
      <c r="B55" s="98"/>
      <c r="C55" s="98"/>
      <c r="D55" s="98"/>
      <c r="E55" s="98"/>
      <c r="F55" s="98"/>
      <c r="G55" s="98"/>
      <c r="H55" s="98"/>
      <c r="I55" s="98"/>
      <c r="J55" s="98"/>
    </row>
    <row r="56" spans="1:6" ht="12.75">
      <c r="A56" s="13"/>
      <c r="E56" s="14"/>
      <c r="F56" s="14"/>
    </row>
    <row r="57" spans="1:6" ht="12.75">
      <c r="A57" s="13"/>
      <c r="B57" s="14"/>
      <c r="C57" s="14"/>
      <c r="D57" s="14"/>
      <c r="E57" s="14"/>
      <c r="F57" s="14"/>
    </row>
    <row r="58" spans="1:6" ht="12.75">
      <c r="A58" s="13"/>
      <c r="B58" s="14"/>
      <c r="C58" s="14"/>
      <c r="D58" s="14"/>
      <c r="E58" s="14"/>
      <c r="F58" s="14"/>
    </row>
    <row r="59" spans="1:6" ht="12.75">
      <c r="A59" s="13"/>
      <c r="E59" s="14"/>
      <c r="F59" s="14"/>
    </row>
    <row r="60" spans="1:6" ht="12.75">
      <c r="A60" s="14"/>
      <c r="B60" s="14"/>
      <c r="C60" s="14"/>
      <c r="D60" s="14"/>
      <c r="E60" s="14"/>
      <c r="F60" s="14"/>
    </row>
    <row r="61" spans="1:6" ht="12.75">
      <c r="A61" s="14"/>
      <c r="B61" s="14"/>
      <c r="C61" s="14"/>
      <c r="D61" s="14"/>
      <c r="E61" s="14"/>
      <c r="F61" s="14"/>
    </row>
    <row r="62" spans="1:6" ht="12.75">
      <c r="A62" s="14"/>
      <c r="B62" s="14"/>
      <c r="C62" s="14"/>
      <c r="D62" s="14"/>
      <c r="E62" s="14"/>
      <c r="F62" s="14"/>
    </row>
  </sheetData>
  <mergeCells count="2">
    <mergeCell ref="A55:J55"/>
    <mergeCell ref="C1:D1"/>
  </mergeCells>
  <printOptions/>
  <pageMargins left="0.75" right="0.75" top="1" bottom="1" header="0.5" footer="0.5"/>
  <pageSetup horizontalDpi="360" verticalDpi="36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0"/>
  <sheetViews>
    <sheetView workbookViewId="0" topLeftCell="A100">
      <selection activeCell="B67" sqref="B67"/>
    </sheetView>
  </sheetViews>
  <sheetFormatPr defaultColWidth="9.140625" defaultRowHeight="12.75" outlineLevelRow="2"/>
  <cols>
    <col min="1" max="1" width="22.140625" style="0" customWidth="1"/>
    <col min="4" max="4" width="15.140625" style="0" customWidth="1"/>
    <col min="5" max="5" width="17.28125" style="0" customWidth="1"/>
    <col min="7" max="7" width="16.57421875" style="0" customWidth="1"/>
    <col min="11" max="11" width="21.28125" style="0" customWidth="1"/>
  </cols>
  <sheetData>
    <row r="1" spans="1:6" ht="12.75">
      <c r="A1" s="9" t="s">
        <v>52</v>
      </c>
      <c r="B1" s="9" t="s">
        <v>169</v>
      </c>
      <c r="C1" s="9" t="s">
        <v>53</v>
      </c>
      <c r="D1" s="9"/>
      <c r="E1" s="9"/>
      <c r="F1" s="10">
        <v>36965</v>
      </c>
    </row>
    <row r="2" spans="1:6" ht="12.75">
      <c r="A2" s="9" t="s">
        <v>174</v>
      </c>
      <c r="B2" s="9"/>
      <c r="C2" s="9"/>
      <c r="D2" s="9"/>
      <c r="E2" s="9"/>
      <c r="F2" s="10"/>
    </row>
    <row r="3" spans="1:8" ht="24.75" customHeight="1">
      <c r="A3" s="100" t="s">
        <v>36</v>
      </c>
      <c r="B3" s="101"/>
      <c r="C3" s="101"/>
      <c r="D3" s="101"/>
      <c r="E3" s="101"/>
      <c r="F3" s="101"/>
      <c r="G3" s="101"/>
      <c r="H3" s="101"/>
    </row>
    <row r="4" ht="12.75">
      <c r="A4" s="1" t="s">
        <v>0</v>
      </c>
    </row>
    <row r="6" spans="1:3" ht="12.75">
      <c r="A6" s="1" t="s">
        <v>1</v>
      </c>
      <c r="B6" s="1" t="s">
        <v>2</v>
      </c>
      <c r="C6" s="1" t="s">
        <v>3</v>
      </c>
    </row>
    <row r="7" spans="1:12" ht="12.75">
      <c r="A7" t="s">
        <v>182</v>
      </c>
      <c r="B7" s="6">
        <v>276</v>
      </c>
      <c r="C7">
        <v>4</v>
      </c>
      <c r="I7" s="2"/>
      <c r="L7" s="2"/>
    </row>
    <row r="8" spans="1:12" ht="12.75" outlineLevel="2">
      <c r="A8" t="s">
        <v>183</v>
      </c>
      <c r="B8" s="6">
        <v>0</v>
      </c>
      <c r="C8">
        <v>4</v>
      </c>
      <c r="I8" s="2"/>
      <c r="L8" s="2"/>
    </row>
    <row r="9" spans="1:12" ht="12.75" outlineLevel="2">
      <c r="A9" t="s">
        <v>184</v>
      </c>
      <c r="B9" s="6">
        <v>360</v>
      </c>
      <c r="C9">
        <v>4</v>
      </c>
      <c r="I9" s="2"/>
      <c r="L9" s="2"/>
    </row>
    <row r="10" spans="1:9" ht="12.75" outlineLevel="2">
      <c r="A10" t="s">
        <v>185</v>
      </c>
      <c r="B10" s="6">
        <v>27</v>
      </c>
      <c r="C10">
        <v>4</v>
      </c>
      <c r="I10" s="2"/>
    </row>
    <row r="11" spans="1:9" ht="12.75" outlineLevel="2">
      <c r="A11" t="s">
        <v>186</v>
      </c>
      <c r="B11" s="6">
        <v>300</v>
      </c>
      <c r="C11">
        <v>4</v>
      </c>
      <c r="I11" s="2"/>
    </row>
    <row r="12" spans="1:9" ht="12.75" outlineLevel="2">
      <c r="A12" t="s">
        <v>187</v>
      </c>
      <c r="B12" s="6">
        <v>56</v>
      </c>
      <c r="C12">
        <v>4</v>
      </c>
      <c r="I12" s="2"/>
    </row>
    <row r="13" spans="1:9" ht="12.75" outlineLevel="2">
      <c r="A13" t="s">
        <v>188</v>
      </c>
      <c r="B13" s="6">
        <v>223</v>
      </c>
      <c r="C13">
        <v>2</v>
      </c>
      <c r="I13" s="2"/>
    </row>
    <row r="14" spans="1:9" ht="12.75" outlineLevel="2">
      <c r="A14" t="s">
        <v>189</v>
      </c>
      <c r="B14" s="6">
        <v>65</v>
      </c>
      <c r="C14">
        <v>2</v>
      </c>
      <c r="I14" s="2"/>
    </row>
    <row r="15" spans="1:9" ht="12.75" outlineLevel="2">
      <c r="A15" t="s">
        <v>190</v>
      </c>
      <c r="B15" s="6">
        <v>60</v>
      </c>
      <c r="C15">
        <v>2</v>
      </c>
      <c r="D15" s="2">
        <f>SUM(B7:B15)</f>
        <v>1367</v>
      </c>
      <c r="I15" s="2"/>
    </row>
    <row r="16" spans="1:9" ht="12.75" outlineLevel="2">
      <c r="A16" s="1" t="s">
        <v>4</v>
      </c>
      <c r="I16" s="2"/>
    </row>
    <row r="17" spans="1:3" ht="12.75" outlineLevel="2">
      <c r="A17" t="s">
        <v>38</v>
      </c>
      <c r="B17" s="75">
        <v>5</v>
      </c>
      <c r="C17">
        <v>4</v>
      </c>
    </row>
    <row r="18" spans="2:13" ht="12.75" outlineLevel="1">
      <c r="B18" s="75"/>
      <c r="M18" s="4"/>
    </row>
    <row r="19" spans="1:12" ht="12.75" outlineLevel="2">
      <c r="A19" t="s">
        <v>165</v>
      </c>
      <c r="B19" s="75">
        <v>3</v>
      </c>
      <c r="C19">
        <v>4</v>
      </c>
      <c r="L19" s="2"/>
    </row>
    <row r="20" spans="1:12" ht="12.75" outlineLevel="2">
      <c r="A20" t="s">
        <v>39</v>
      </c>
      <c r="B20" s="75">
        <v>2</v>
      </c>
      <c r="C20">
        <v>2</v>
      </c>
      <c r="L20" s="2"/>
    </row>
    <row r="21" spans="1:12" ht="12.75" outlineLevel="2">
      <c r="A21" t="s">
        <v>40</v>
      </c>
      <c r="B21" s="75">
        <v>287</v>
      </c>
      <c r="C21">
        <v>2</v>
      </c>
      <c r="L21" s="2"/>
    </row>
    <row r="22" spans="1:12" ht="12.75" outlineLevel="2">
      <c r="A22" t="s">
        <v>41</v>
      </c>
      <c r="B22" s="75">
        <v>250</v>
      </c>
      <c r="C22">
        <v>2</v>
      </c>
      <c r="L22" s="2"/>
    </row>
    <row r="23" spans="1:12" ht="12.75" outlineLevel="2">
      <c r="A23" s="1" t="s">
        <v>5</v>
      </c>
      <c r="L23" s="2"/>
    </row>
    <row r="24" spans="1:12" ht="12.75" outlineLevel="2">
      <c r="A24" t="s">
        <v>6</v>
      </c>
      <c r="B24" s="77">
        <v>1680</v>
      </c>
      <c r="C24">
        <v>2</v>
      </c>
      <c r="L24" s="2"/>
    </row>
    <row r="25" ht="12.75" outlineLevel="2">
      <c r="A25" s="1" t="s">
        <v>7</v>
      </c>
    </row>
    <row r="26" spans="1:3" ht="12.75" outlineLevel="2">
      <c r="A26" t="s">
        <v>176</v>
      </c>
      <c r="B26" s="75">
        <v>0</v>
      </c>
      <c r="C26">
        <v>4</v>
      </c>
    </row>
    <row r="27" spans="1:3" ht="12.75" outlineLevel="2">
      <c r="A27" t="s">
        <v>178</v>
      </c>
      <c r="B27" s="75">
        <v>172</v>
      </c>
      <c r="C27">
        <v>2</v>
      </c>
    </row>
    <row r="28" spans="1:3" ht="12.75" outlineLevel="2">
      <c r="A28" t="s">
        <v>8</v>
      </c>
      <c r="B28" s="75">
        <v>110</v>
      </c>
      <c r="C28">
        <v>2</v>
      </c>
    </row>
    <row r="29" ht="12.75" outlineLevel="2">
      <c r="A29" s="1" t="s">
        <v>9</v>
      </c>
    </row>
    <row r="30" spans="1:4" ht="12.75" outlineLevel="2">
      <c r="A30" t="s">
        <v>9</v>
      </c>
      <c r="B30" s="75">
        <v>1400</v>
      </c>
      <c r="C30">
        <v>4</v>
      </c>
      <c r="D30" t="s">
        <v>154</v>
      </c>
    </row>
    <row r="31" spans="1:3" ht="12.75" outlineLevel="2">
      <c r="A31" t="s">
        <v>177</v>
      </c>
      <c r="B31" s="75">
        <v>235</v>
      </c>
      <c r="C31">
        <v>2</v>
      </c>
    </row>
    <row r="32" ht="12.75" outlineLevel="2">
      <c r="A32" s="1" t="s">
        <v>181</v>
      </c>
    </row>
    <row r="33" spans="1:3" ht="12.75" outlineLevel="2">
      <c r="A33" t="s">
        <v>10</v>
      </c>
      <c r="B33" s="75">
        <v>2420</v>
      </c>
      <c r="C33">
        <v>4</v>
      </c>
    </row>
    <row r="34" ht="12.75" outlineLevel="2">
      <c r="K34" s="1"/>
    </row>
    <row r="35" spans="1:11" ht="12.75" outlineLevel="2">
      <c r="A35" s="1" t="s">
        <v>62</v>
      </c>
      <c r="B35">
        <v>30</v>
      </c>
      <c r="C35">
        <v>4</v>
      </c>
      <c r="K35" s="1"/>
    </row>
    <row r="36" spans="1:13" ht="12.75" outlineLevel="1">
      <c r="A36" s="1" t="s">
        <v>11</v>
      </c>
      <c r="K36" s="1"/>
      <c r="M36" s="5"/>
    </row>
    <row r="37" spans="1:11" ht="12.75" outlineLevel="1">
      <c r="A37" t="s">
        <v>37</v>
      </c>
      <c r="B37">
        <f>15*25+70*5+50</f>
        <v>775</v>
      </c>
      <c r="C37">
        <v>4</v>
      </c>
      <c r="K37" s="1"/>
    </row>
    <row r="38" spans="1:11" ht="12.75" outlineLevel="1">
      <c r="A38" t="s">
        <v>205</v>
      </c>
      <c r="B38">
        <v>500</v>
      </c>
      <c r="C38">
        <v>4</v>
      </c>
      <c r="K38" s="1"/>
    </row>
    <row r="39" spans="1:11" ht="12.75" outlineLevel="1">
      <c r="A39" s="1" t="s">
        <v>57</v>
      </c>
      <c r="K39" s="1"/>
    </row>
    <row r="40" spans="1:11" ht="12.75" outlineLevel="1">
      <c r="A40" t="s">
        <v>49</v>
      </c>
      <c r="B40">
        <f>600+500</f>
        <v>1100</v>
      </c>
      <c r="C40">
        <v>4</v>
      </c>
      <c r="K40" s="1"/>
    </row>
    <row r="41" spans="1:11" ht="12.75" outlineLevel="1">
      <c r="A41" s="1" t="s">
        <v>32</v>
      </c>
      <c r="K41" s="1"/>
    </row>
    <row r="42" spans="1:11" ht="12.75" outlineLevel="1">
      <c r="A42" t="s">
        <v>33</v>
      </c>
      <c r="B42">
        <v>200</v>
      </c>
      <c r="C42">
        <v>4</v>
      </c>
      <c r="K42" s="1"/>
    </row>
    <row r="43" spans="1:11" ht="12.75" outlineLevel="1">
      <c r="A43" s="1" t="s">
        <v>44</v>
      </c>
      <c r="B43" s="75">
        <v>1720</v>
      </c>
      <c r="C43">
        <v>4</v>
      </c>
      <c r="K43" s="1"/>
    </row>
    <row r="44" spans="1:11" ht="12.75" outlineLevel="1">
      <c r="A44" s="1" t="s">
        <v>64</v>
      </c>
      <c r="K44" s="1"/>
    </row>
    <row r="45" spans="1:11" ht="12.75" outlineLevel="1">
      <c r="A45" s="12" t="s">
        <v>65</v>
      </c>
      <c r="B45" s="75">
        <v>7640</v>
      </c>
      <c r="C45">
        <v>4</v>
      </c>
      <c r="K45" s="1"/>
    </row>
    <row r="46" spans="1:11" ht="12.75" outlineLevel="1">
      <c r="A46" s="12" t="s">
        <v>66</v>
      </c>
      <c r="B46" s="75">
        <v>1840</v>
      </c>
      <c r="C46">
        <v>2</v>
      </c>
      <c r="K46" s="1"/>
    </row>
    <row r="47" spans="1:11" ht="12.75" outlineLevel="1">
      <c r="A47" s="12" t="s">
        <v>67</v>
      </c>
      <c r="B47" s="75">
        <v>1310</v>
      </c>
      <c r="K47" s="1"/>
    </row>
    <row r="48" spans="1:2" ht="12.75">
      <c r="A48" s="1" t="s">
        <v>17</v>
      </c>
      <c r="B48" s="2">
        <f>SUM(B4:B47)</f>
        <v>23046</v>
      </c>
    </row>
    <row r="49" ht="12.75">
      <c r="B49">
        <f>SUBTOTAL(9,B7:B47)</f>
        <v>23046</v>
      </c>
    </row>
    <row r="50" ht="12.75">
      <c r="A50" s="1" t="s">
        <v>59</v>
      </c>
    </row>
    <row r="51" spans="1:3" ht="12.75">
      <c r="A51" s="1" t="s">
        <v>1</v>
      </c>
      <c r="B51" s="1" t="s">
        <v>2</v>
      </c>
      <c r="C51" s="1" t="s">
        <v>3</v>
      </c>
    </row>
    <row r="52" spans="1:9" ht="12.75" outlineLevel="2">
      <c r="A52" t="s">
        <v>191</v>
      </c>
      <c r="B52" s="2">
        <f>G52*D$4</f>
        <v>0</v>
      </c>
      <c r="C52">
        <v>4</v>
      </c>
      <c r="I52" s="2"/>
    </row>
    <row r="53" spans="1:9" ht="12.75" outlineLevel="2">
      <c r="A53" t="s">
        <v>192</v>
      </c>
      <c r="B53" s="6">
        <v>44</v>
      </c>
      <c r="C53">
        <v>4</v>
      </c>
      <c r="I53" s="2"/>
    </row>
    <row r="54" spans="1:9" ht="12.75" outlineLevel="2">
      <c r="A54" t="s">
        <v>193</v>
      </c>
      <c r="B54" s="6">
        <v>112</v>
      </c>
      <c r="C54">
        <v>4</v>
      </c>
      <c r="I54" s="2"/>
    </row>
    <row r="55" spans="1:9" ht="12.75" outlineLevel="2">
      <c r="A55" t="s">
        <v>194</v>
      </c>
      <c r="B55" s="6">
        <v>112</v>
      </c>
      <c r="C55">
        <v>4</v>
      </c>
      <c r="I55" s="2"/>
    </row>
    <row r="56" spans="2:13" ht="12.75" outlineLevel="1">
      <c r="B56" s="6"/>
      <c r="I56" s="2"/>
      <c r="M56" s="4"/>
    </row>
    <row r="57" spans="1:9" ht="12.75" outlineLevel="2">
      <c r="A57" t="s">
        <v>195</v>
      </c>
      <c r="B57" s="6">
        <v>74</v>
      </c>
      <c r="C57">
        <v>4</v>
      </c>
      <c r="I57" s="2"/>
    </row>
    <row r="58" spans="1:9" ht="12.75" outlineLevel="2">
      <c r="A58" t="s">
        <v>170</v>
      </c>
      <c r="B58" s="6">
        <v>74</v>
      </c>
      <c r="I58" s="2"/>
    </row>
    <row r="59" spans="1:9" ht="12.75" outlineLevel="2">
      <c r="A59" t="s">
        <v>196</v>
      </c>
      <c r="B59" s="6">
        <v>112</v>
      </c>
      <c r="C59">
        <v>4</v>
      </c>
      <c r="I59" s="2"/>
    </row>
    <row r="60" spans="1:9" ht="12.75" outlineLevel="2">
      <c r="A60" t="s">
        <v>171</v>
      </c>
      <c r="B60" s="6">
        <v>112</v>
      </c>
      <c r="I60" s="2"/>
    </row>
    <row r="61" spans="1:9" ht="12.75" outlineLevel="2">
      <c r="A61" t="s">
        <v>197</v>
      </c>
      <c r="B61" s="6">
        <v>44</v>
      </c>
      <c r="C61">
        <v>4</v>
      </c>
      <c r="I61" s="2"/>
    </row>
    <row r="62" spans="1:9" ht="12.75" outlineLevel="2">
      <c r="A62" t="s">
        <v>198</v>
      </c>
      <c r="B62" s="6">
        <f>70+70</f>
        <v>140</v>
      </c>
      <c r="C62">
        <v>4</v>
      </c>
      <c r="I62" s="2"/>
    </row>
    <row r="63" spans="1:9" ht="12.75" outlineLevel="2">
      <c r="A63" t="s">
        <v>199</v>
      </c>
      <c r="B63" s="6">
        <v>194</v>
      </c>
      <c r="C63">
        <v>4</v>
      </c>
      <c r="I63" s="2"/>
    </row>
    <row r="64" spans="1:9" ht="12.75" outlineLevel="2">
      <c r="A64" t="s">
        <v>200</v>
      </c>
      <c r="B64" s="6">
        <v>194</v>
      </c>
      <c r="C64">
        <v>4</v>
      </c>
      <c r="I64" s="2"/>
    </row>
    <row r="65" spans="1:9" ht="12.75" outlineLevel="2">
      <c r="A65" t="s">
        <v>172</v>
      </c>
      <c r="B65" s="6">
        <v>50</v>
      </c>
      <c r="C65">
        <v>2</v>
      </c>
      <c r="I65" s="2"/>
    </row>
    <row r="66" spans="1:9" ht="12.75" outlineLevel="2">
      <c r="A66" t="s">
        <v>173</v>
      </c>
      <c r="B66" s="6">
        <v>50</v>
      </c>
      <c r="C66">
        <v>2</v>
      </c>
      <c r="I66" s="2"/>
    </row>
    <row r="67" spans="1:9" ht="12.75" outlineLevel="2">
      <c r="A67" s="1" t="s">
        <v>4</v>
      </c>
      <c r="I67" s="2"/>
    </row>
    <row r="68" spans="1:9" ht="12.75" outlineLevel="2">
      <c r="A68" s="12" t="s">
        <v>166</v>
      </c>
      <c r="B68" s="75">
        <v>1</v>
      </c>
      <c r="C68">
        <v>4</v>
      </c>
      <c r="I68" s="2"/>
    </row>
    <row r="69" spans="1:3" ht="12.75" outlineLevel="2">
      <c r="A69" t="s">
        <v>167</v>
      </c>
      <c r="B69" s="75">
        <v>32</v>
      </c>
      <c r="C69">
        <v>4</v>
      </c>
    </row>
    <row r="70" spans="1:3" ht="12.75" outlineLevel="2">
      <c r="A70" t="s">
        <v>168</v>
      </c>
      <c r="B70" s="75">
        <v>32</v>
      </c>
      <c r="C70">
        <v>4</v>
      </c>
    </row>
    <row r="71" spans="1:3" ht="12.75" outlineLevel="2">
      <c r="A71" t="s">
        <v>42</v>
      </c>
      <c r="B71" s="75">
        <v>1</v>
      </c>
      <c r="C71">
        <v>2</v>
      </c>
    </row>
    <row r="72" spans="1:3" ht="12.75" outlineLevel="2">
      <c r="A72" t="s">
        <v>43</v>
      </c>
      <c r="B72" s="75">
        <v>1</v>
      </c>
      <c r="C72">
        <v>2</v>
      </c>
    </row>
    <row r="73" ht="12.75" outlineLevel="2">
      <c r="A73" s="1" t="s">
        <v>5</v>
      </c>
    </row>
    <row r="74" spans="1:5" ht="12.75" outlineLevel="2">
      <c r="A74" t="s">
        <v>12</v>
      </c>
      <c r="B74" s="75">
        <v>897</v>
      </c>
      <c r="C74">
        <v>2</v>
      </c>
      <c r="E74">
        <f>1680+897</f>
        <v>2577</v>
      </c>
    </row>
    <row r="75" ht="12.75" outlineLevel="2">
      <c r="A75" s="1" t="s">
        <v>10</v>
      </c>
    </row>
    <row r="76" spans="1:3" ht="12.75" outlineLevel="2">
      <c r="A76" t="s">
        <v>180</v>
      </c>
      <c r="B76">
        <v>0</v>
      </c>
      <c r="C76">
        <v>2</v>
      </c>
    </row>
    <row r="77" ht="12.75" outlineLevel="2">
      <c r="A77" s="1" t="s">
        <v>11</v>
      </c>
    </row>
    <row r="78" spans="1:3" ht="12.75" outlineLevel="2">
      <c r="A78" t="s">
        <v>206</v>
      </c>
      <c r="B78" s="75">
        <v>200</v>
      </c>
      <c r="C78">
        <v>4</v>
      </c>
    </row>
    <row r="79" ht="12.75" outlineLevel="2">
      <c r="C79">
        <v>4</v>
      </c>
    </row>
    <row r="80" ht="12.75" outlineLevel="1">
      <c r="M80" s="5"/>
    </row>
    <row r="81" spans="1:13" ht="12.75" outlineLevel="1">
      <c r="A81" s="1" t="s">
        <v>13</v>
      </c>
      <c r="M81" s="5"/>
    </row>
    <row r="82" spans="1:3" ht="12.75" outlineLevel="1">
      <c r="A82" t="s">
        <v>14</v>
      </c>
      <c r="B82">
        <v>600</v>
      </c>
      <c r="C82">
        <v>4</v>
      </c>
    </row>
    <row r="83" spans="1:3" ht="12.75" outlineLevel="1">
      <c r="A83" t="s">
        <v>15</v>
      </c>
      <c r="B83">
        <v>500</v>
      </c>
      <c r="C83">
        <v>4</v>
      </c>
    </row>
    <row r="84" spans="1:4" ht="12.75" outlineLevel="1">
      <c r="A84" t="s">
        <v>140</v>
      </c>
      <c r="B84" s="76">
        <v>200</v>
      </c>
      <c r="C84">
        <v>4</v>
      </c>
      <c r="D84" t="s">
        <v>153</v>
      </c>
    </row>
    <row r="85" ht="12.75" outlineLevel="1">
      <c r="A85" s="1" t="s">
        <v>30</v>
      </c>
    </row>
    <row r="86" spans="1:3" ht="12.75" outlineLevel="1">
      <c r="A86" t="s">
        <v>31</v>
      </c>
      <c r="B86">
        <v>200</v>
      </c>
      <c r="C86">
        <v>4</v>
      </c>
    </row>
    <row r="87" ht="12.75" outlineLevel="1">
      <c r="A87" s="1" t="s">
        <v>14</v>
      </c>
    </row>
    <row r="88" spans="1:3" ht="12.75" outlineLevel="1">
      <c r="A88" t="s">
        <v>68</v>
      </c>
      <c r="B88" s="75">
        <v>6880</v>
      </c>
      <c r="C88">
        <v>4</v>
      </c>
    </row>
    <row r="89" spans="1:3" ht="12.75" outlineLevel="1">
      <c r="A89" t="s">
        <v>69</v>
      </c>
      <c r="B89" s="75">
        <v>1350</v>
      </c>
      <c r="C89">
        <v>2</v>
      </c>
    </row>
    <row r="90" spans="1:2" ht="12.75" outlineLevel="1">
      <c r="A90" t="s">
        <v>70</v>
      </c>
      <c r="B90" s="75">
        <v>860</v>
      </c>
    </row>
    <row r="91" spans="1:2" ht="12.75">
      <c r="A91" s="1" t="s">
        <v>16</v>
      </c>
      <c r="B91" s="2">
        <f>SUM(B52:B90)</f>
        <v>13066</v>
      </c>
    </row>
    <row r="92" ht="12.75">
      <c r="B92">
        <f>SUBTOTAL(9,B52:B90)</f>
        <v>13066</v>
      </c>
    </row>
    <row r="93" ht="12.75">
      <c r="A93" s="1" t="s">
        <v>71</v>
      </c>
    </row>
    <row r="94" spans="1:3" ht="12.75">
      <c r="A94" s="12" t="s">
        <v>72</v>
      </c>
      <c r="B94" s="75">
        <v>8000</v>
      </c>
      <c r="C94">
        <v>4</v>
      </c>
    </row>
    <row r="95" spans="1:3" ht="12.75">
      <c r="A95" s="12" t="s">
        <v>73</v>
      </c>
      <c r="B95" s="6">
        <v>540</v>
      </c>
      <c r="C95" s="12">
        <v>4</v>
      </c>
    </row>
    <row r="96" spans="1:3" ht="12.75">
      <c r="A96" t="s">
        <v>175</v>
      </c>
      <c r="B96">
        <v>250</v>
      </c>
      <c r="C96">
        <v>4</v>
      </c>
    </row>
    <row r="97" spans="1:2" ht="12.75">
      <c r="A97" t="s">
        <v>179</v>
      </c>
      <c r="B97" s="75">
        <v>50</v>
      </c>
    </row>
    <row r="98" spans="1:7" ht="12.75">
      <c r="A98" s="1" t="s">
        <v>75</v>
      </c>
      <c r="B98">
        <f>SUM(B94:B97)</f>
        <v>8840</v>
      </c>
      <c r="F98" s="1"/>
      <c r="G98" s="1"/>
    </row>
    <row r="99" spans="2:12" ht="12.75">
      <c r="B99">
        <f>SUBTOTAL(9,B94:B97)</f>
        <v>8840</v>
      </c>
      <c r="G99" s="2"/>
      <c r="L99" s="11"/>
    </row>
    <row r="100" ht="12.75">
      <c r="G100" s="2"/>
    </row>
    <row r="101" ht="12.75">
      <c r="I101" s="2"/>
    </row>
    <row r="102" spans="1:8" ht="12.75">
      <c r="A102" s="1" t="s">
        <v>61</v>
      </c>
      <c r="B102" s="8">
        <f>+B49+B92+B99</f>
        <v>44952</v>
      </c>
      <c r="F102" s="1" t="s">
        <v>34</v>
      </c>
      <c r="H102" s="1" t="s">
        <v>35</v>
      </c>
    </row>
    <row r="103" spans="1:8" ht="12.75">
      <c r="A103" s="1" t="s">
        <v>23</v>
      </c>
      <c r="B103" s="2">
        <f>B102*1.2</f>
        <v>53942.4</v>
      </c>
      <c r="E103" s="1" t="s">
        <v>19</v>
      </c>
      <c r="F103">
        <v>6140.254743651905</v>
      </c>
      <c r="G103" s="1" t="s">
        <v>20</v>
      </c>
      <c r="H103">
        <v>3460.5088</v>
      </c>
    </row>
    <row r="104" spans="5:8" ht="12.75">
      <c r="E104" s="1" t="s">
        <v>18</v>
      </c>
      <c r="F104">
        <v>2478.3343181554756</v>
      </c>
      <c r="G104" s="1" t="s">
        <v>21</v>
      </c>
      <c r="H104">
        <v>1300</v>
      </c>
    </row>
    <row r="105" spans="1:8" ht="12.75">
      <c r="A105" s="1" t="s">
        <v>201</v>
      </c>
      <c r="B105" s="75">
        <f>12*305+2*305</f>
        <v>4270</v>
      </c>
      <c r="E105" s="1" t="s">
        <v>26</v>
      </c>
      <c r="F105">
        <f>F103+F104</f>
        <v>8618.58906180738</v>
      </c>
      <c r="G105" s="1" t="s">
        <v>27</v>
      </c>
      <c r="H105">
        <f>H103+H104</f>
        <v>4760.5088</v>
      </c>
    </row>
    <row r="106" spans="1:7" ht="12.75">
      <c r="A106" s="1" t="s">
        <v>202</v>
      </c>
      <c r="B106" s="75">
        <f>3*305+305</f>
        <v>1220</v>
      </c>
      <c r="E106" s="1"/>
      <c r="G106" s="1"/>
    </row>
    <row r="107" spans="1:7" ht="12.75">
      <c r="A107" s="1" t="s">
        <v>203</v>
      </c>
      <c r="B107" s="75">
        <v>1000</v>
      </c>
      <c r="E107" s="1"/>
      <c r="G107" s="1"/>
    </row>
    <row r="108" spans="1:8" ht="12.75">
      <c r="A108" s="1" t="s">
        <v>204</v>
      </c>
      <c r="B108" s="75">
        <v>500</v>
      </c>
      <c r="E108" s="1" t="s">
        <v>28</v>
      </c>
      <c r="F108" s="2">
        <f>F105+G100</f>
        <v>8618.58906180738</v>
      </c>
      <c r="G108" s="1" t="s">
        <v>29</v>
      </c>
      <c r="H108" s="2">
        <f>H105+G99</f>
        <v>4760.5088</v>
      </c>
    </row>
    <row r="109" spans="2:8" ht="12.75">
      <c r="B109">
        <f>SUM(B105:B108)</f>
        <v>6990</v>
      </c>
      <c r="E109" s="1" t="s">
        <v>22</v>
      </c>
      <c r="F109" s="2">
        <f>F108*1.2</f>
        <v>10342.306874168857</v>
      </c>
      <c r="G109" s="1"/>
      <c r="H109">
        <f>H108*1.2</f>
        <v>5712.610559999999</v>
      </c>
    </row>
    <row r="110" spans="1:2" ht="12.75">
      <c r="A110" s="1" t="s">
        <v>24</v>
      </c>
      <c r="B110">
        <f>B109*1.2</f>
        <v>8388</v>
      </c>
    </row>
    <row r="113" spans="1:2" ht="25.5">
      <c r="A113" s="3" t="s">
        <v>46</v>
      </c>
      <c r="B113">
        <f>34000+B109</f>
        <v>40990</v>
      </c>
    </row>
    <row r="114" spans="1:2" ht="12.75">
      <c r="A114" s="1" t="s">
        <v>24</v>
      </c>
      <c r="B114">
        <f>B113*1.2</f>
        <v>49188</v>
      </c>
    </row>
    <row r="116" spans="1:5" ht="25.5">
      <c r="A116" s="1" t="s">
        <v>25</v>
      </c>
      <c r="B116" s="6">
        <f>B113-(B102+B105)</f>
        <v>-8232</v>
      </c>
      <c r="D116" s="3" t="s">
        <v>47</v>
      </c>
      <c r="E116" s="2">
        <f>B116+B102</f>
        <v>36720</v>
      </c>
    </row>
    <row r="117" spans="1:5" ht="38.25">
      <c r="A117" s="1" t="s">
        <v>24</v>
      </c>
      <c r="B117" s="6">
        <f>B114-(B103+B108)</f>
        <v>-5254.4000000000015</v>
      </c>
      <c r="D117" s="3" t="s">
        <v>48</v>
      </c>
      <c r="E117">
        <f>E116*1.2</f>
        <v>44064</v>
      </c>
    </row>
    <row r="120" spans="1:5" ht="25.5">
      <c r="A120" s="3" t="s">
        <v>50</v>
      </c>
      <c r="B120">
        <v>25000</v>
      </c>
      <c r="D120" s="3" t="s">
        <v>51</v>
      </c>
      <c r="E120" s="7">
        <f>B120+B102</f>
        <v>69952</v>
      </c>
    </row>
  </sheetData>
  <mergeCells count="1">
    <mergeCell ref="A3:H3"/>
  </mergeCells>
  <printOptions/>
  <pageMargins left="0.75" right="0.75" top="1" bottom="1" header="0.5" footer="0.5"/>
  <pageSetup horizontalDpi="360" verticalDpi="360" orientation="portrait" paperSize="9" scale="77" r:id="rId3"/>
  <rowBreaks count="1" manualBreakCount="1">
    <brk id="9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B11" sqref="B11"/>
    </sheetView>
  </sheetViews>
  <sheetFormatPr defaultColWidth="9.140625" defaultRowHeight="12.75"/>
  <cols>
    <col min="1" max="1" width="24.57421875" style="0" customWidth="1"/>
    <col min="2" max="2" width="10.28125" style="0" customWidth="1"/>
    <col min="7" max="7" width="11.421875" style="0" customWidth="1"/>
    <col min="8" max="8" width="12.140625" style="0" customWidth="1"/>
    <col min="9" max="9" width="11.8515625" style="0" customWidth="1"/>
    <col min="10" max="10" width="11.00390625" style="0" customWidth="1"/>
  </cols>
  <sheetData>
    <row r="1" spans="1:10" ht="12.75">
      <c r="A1" s="16" t="s">
        <v>103</v>
      </c>
      <c r="B1" s="16" t="s">
        <v>169</v>
      </c>
      <c r="C1" s="16" t="s">
        <v>89</v>
      </c>
      <c r="D1" s="17"/>
      <c r="E1" s="99"/>
      <c r="F1" s="98"/>
      <c r="G1" s="17" t="s">
        <v>85</v>
      </c>
      <c r="H1" s="17" t="s">
        <v>86</v>
      </c>
      <c r="I1" s="17"/>
      <c r="J1" s="17"/>
    </row>
    <row r="2" spans="1:10" ht="12.7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8" ht="22.5">
      <c r="A3" s="18" t="s">
        <v>54</v>
      </c>
      <c r="B3" s="18" t="s">
        <v>99</v>
      </c>
      <c r="C3" s="18" t="s">
        <v>100</v>
      </c>
      <c r="D3" s="18" t="s">
        <v>101</v>
      </c>
      <c r="E3" s="18" t="s">
        <v>80</v>
      </c>
      <c r="F3" s="18" t="s">
        <v>55</v>
      </c>
      <c r="G3" s="18" t="s">
        <v>82</v>
      </c>
      <c r="H3" s="18" t="s">
        <v>81</v>
      </c>
    </row>
    <row r="4" spans="1:9" ht="12.75">
      <c r="A4" s="19" t="s">
        <v>104</v>
      </c>
      <c r="B4" s="19" t="s">
        <v>105</v>
      </c>
      <c r="C4" s="19" t="s">
        <v>106</v>
      </c>
      <c r="D4" s="41">
        <v>6621</v>
      </c>
      <c r="E4" s="40">
        <v>10000</v>
      </c>
      <c r="F4" s="20">
        <f>+E4-D4</f>
        <v>3379</v>
      </c>
      <c r="G4" s="20">
        <v>20</v>
      </c>
      <c r="H4" s="19">
        <f>+E4*(1+G4/100)</f>
        <v>12000</v>
      </c>
      <c r="I4" t="s">
        <v>164</v>
      </c>
    </row>
    <row r="5" spans="1:9" ht="12.75">
      <c r="A5" s="19" t="s">
        <v>107</v>
      </c>
      <c r="B5" s="19" t="s">
        <v>108</v>
      </c>
      <c r="C5" s="19" t="s">
        <v>94</v>
      </c>
      <c r="D5" s="41">
        <v>23000</v>
      </c>
      <c r="E5" s="20">
        <v>18000</v>
      </c>
      <c r="F5" s="20">
        <f>+E5-D5</f>
        <v>-5000</v>
      </c>
      <c r="G5" s="20">
        <v>20</v>
      </c>
      <c r="H5" s="19">
        <f>+E5*(1+G5/100)</f>
        <v>21600</v>
      </c>
      <c r="I5" t="s">
        <v>155</v>
      </c>
    </row>
    <row r="6" spans="1:8" ht="12.75">
      <c r="A6" s="19" t="s">
        <v>109</v>
      </c>
      <c r="B6" s="19" t="s">
        <v>110</v>
      </c>
      <c r="C6" s="19" t="s">
        <v>94</v>
      </c>
      <c r="D6" s="19">
        <v>2000</v>
      </c>
      <c r="E6" s="19">
        <v>2000</v>
      </c>
      <c r="F6" s="20">
        <f>+E6-D6</f>
        <v>0</v>
      </c>
      <c r="G6" s="20">
        <v>20</v>
      </c>
      <c r="H6" s="19">
        <f>+E6*(1+G6/100)</f>
        <v>2400</v>
      </c>
    </row>
    <row r="7" spans="1:8" ht="12.75">
      <c r="A7" s="36" t="s">
        <v>58</v>
      </c>
      <c r="B7" s="37"/>
      <c r="C7" s="38"/>
      <c r="D7" s="45">
        <f>SUM(D4:D6)</f>
        <v>31621</v>
      </c>
      <c r="E7" s="45">
        <f>SUM(E4:E6)</f>
        <v>30000</v>
      </c>
      <c r="F7" s="41"/>
      <c r="G7" s="41"/>
      <c r="H7" s="45">
        <f>SUM(H4:H6)</f>
        <v>36000</v>
      </c>
    </row>
    <row r="8" spans="1:8" ht="12.75">
      <c r="A8" s="36" t="s">
        <v>87</v>
      </c>
      <c r="B8" s="31"/>
      <c r="C8" s="31"/>
      <c r="D8" s="31"/>
      <c r="E8" s="34">
        <v>30000</v>
      </c>
      <c r="F8" s="33"/>
      <c r="G8" s="35"/>
      <c r="H8" s="29"/>
    </row>
    <row r="9" spans="1:8" ht="12.75">
      <c r="A9" s="36" t="s">
        <v>88</v>
      </c>
      <c r="B9" s="37"/>
      <c r="C9" s="37"/>
      <c r="D9" s="37"/>
      <c r="E9" s="39">
        <v>30000</v>
      </c>
      <c r="F9" s="38"/>
      <c r="G9" s="41"/>
      <c r="H9" s="40"/>
    </row>
  </sheetData>
  <mergeCells count="1">
    <mergeCell ref="E1:F1"/>
  </mergeCells>
  <printOptions/>
  <pageMargins left="0.75" right="0.75" top="1" bottom="1" header="0.5" footer="0.5"/>
  <pageSetup horizontalDpi="360" verticalDpi="36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3"/>
  <sheetViews>
    <sheetView workbookViewId="0" topLeftCell="A3">
      <selection activeCell="D38" sqref="D38"/>
    </sheetView>
  </sheetViews>
  <sheetFormatPr defaultColWidth="9.140625" defaultRowHeight="12.75"/>
  <cols>
    <col min="2" max="2" width="25.8515625" style="0" customWidth="1"/>
  </cols>
  <sheetData>
    <row r="1" spans="1:7" ht="12.75">
      <c r="A1" s="16" t="s">
        <v>113</v>
      </c>
      <c r="B1" s="17"/>
      <c r="C1" s="17"/>
      <c r="D1" s="17"/>
      <c r="E1" s="17"/>
      <c r="F1" s="17" t="s">
        <v>169</v>
      </c>
      <c r="G1" s="79" t="s">
        <v>241</v>
      </c>
    </row>
    <row r="2" spans="1:7" ht="12.75">
      <c r="A2" s="17"/>
      <c r="B2" s="17"/>
      <c r="C2" s="17"/>
      <c r="D2" s="17"/>
      <c r="E2" s="17"/>
      <c r="F2" s="17" t="s">
        <v>231</v>
      </c>
      <c r="G2" s="79" t="s">
        <v>232</v>
      </c>
    </row>
    <row r="3" spans="1:7" ht="12.75">
      <c r="A3" s="17"/>
      <c r="B3" s="17"/>
      <c r="C3" s="17"/>
      <c r="D3" s="17" t="s">
        <v>128</v>
      </c>
      <c r="E3" s="17"/>
      <c r="F3" s="17"/>
      <c r="G3" s="17"/>
    </row>
    <row r="4" spans="1:7" ht="12.75">
      <c r="A4" s="19" t="s">
        <v>114</v>
      </c>
      <c r="B4" s="19" t="s">
        <v>115</v>
      </c>
      <c r="C4" s="19" t="s">
        <v>126</v>
      </c>
      <c r="D4" s="19" t="s">
        <v>127</v>
      </c>
      <c r="E4" s="19" t="s">
        <v>80</v>
      </c>
      <c r="F4" s="19" t="s">
        <v>129</v>
      </c>
      <c r="G4" s="19" t="s">
        <v>81</v>
      </c>
    </row>
    <row r="5" spans="1:7" ht="13.5" thickBot="1">
      <c r="A5" s="24"/>
      <c r="B5" s="24"/>
      <c r="C5" s="24"/>
      <c r="D5" s="24" t="s">
        <v>159</v>
      </c>
      <c r="E5" s="24"/>
      <c r="F5" s="24" t="s">
        <v>207</v>
      </c>
      <c r="G5" s="24"/>
    </row>
    <row r="6" spans="1:7" ht="12.75">
      <c r="A6" s="46" t="s">
        <v>120</v>
      </c>
      <c r="B6" s="47" t="s">
        <v>45</v>
      </c>
      <c r="C6" s="47" t="s">
        <v>116</v>
      </c>
      <c r="D6" s="47">
        <v>49.5</v>
      </c>
      <c r="E6" s="48">
        <v>33</v>
      </c>
      <c r="F6" s="47">
        <v>50</v>
      </c>
      <c r="G6" s="49">
        <f aca="true" t="shared" si="0" ref="G6:G14">+E6+F6*E6/100</f>
        <v>49.5</v>
      </c>
    </row>
    <row r="7" spans="1:7" ht="12.75">
      <c r="A7" s="50"/>
      <c r="B7" s="19"/>
      <c r="C7" s="19" t="s">
        <v>117</v>
      </c>
      <c r="D7" s="19">
        <v>0</v>
      </c>
      <c r="E7" s="44">
        <v>0</v>
      </c>
      <c r="F7" s="19">
        <v>0</v>
      </c>
      <c r="G7" s="51">
        <f t="shared" si="0"/>
        <v>0</v>
      </c>
    </row>
    <row r="8" spans="1:7" ht="12.75">
      <c r="A8" s="50"/>
      <c r="B8" s="19"/>
      <c r="C8" s="19" t="s">
        <v>118</v>
      </c>
      <c r="D8" s="19">
        <v>49.5</v>
      </c>
      <c r="E8" s="44">
        <v>33</v>
      </c>
      <c r="F8" s="19">
        <v>50</v>
      </c>
      <c r="G8" s="51">
        <f t="shared" si="0"/>
        <v>49.5</v>
      </c>
    </row>
    <row r="9" spans="1:7" ht="12.75">
      <c r="A9" s="83"/>
      <c r="B9" s="24"/>
      <c r="C9" s="24" t="s">
        <v>119</v>
      </c>
      <c r="D9" s="24">
        <v>14.1</v>
      </c>
      <c r="E9" s="84">
        <v>9.4</v>
      </c>
      <c r="F9" s="24">
        <v>50</v>
      </c>
      <c r="G9" s="80">
        <f t="shared" si="0"/>
        <v>14.100000000000001</v>
      </c>
    </row>
    <row r="10" spans="1:7" ht="13.5" thickBot="1">
      <c r="A10" s="52"/>
      <c r="B10" s="53"/>
      <c r="C10" s="19" t="s">
        <v>233</v>
      </c>
      <c r="D10" s="53">
        <v>49.5</v>
      </c>
      <c r="E10" s="54">
        <v>33</v>
      </c>
      <c r="F10" s="53">
        <v>50</v>
      </c>
      <c r="G10" s="55">
        <f t="shared" si="0"/>
        <v>49.5</v>
      </c>
    </row>
    <row r="11" spans="1:7" ht="12.75">
      <c r="A11" s="46" t="s">
        <v>121</v>
      </c>
      <c r="B11" s="47" t="s">
        <v>122</v>
      </c>
      <c r="C11" s="47" t="s">
        <v>116</v>
      </c>
      <c r="D11" s="47">
        <v>1.339</v>
      </c>
      <c r="E11" s="47">
        <v>1.1</v>
      </c>
      <c r="F11" s="47">
        <v>20</v>
      </c>
      <c r="G11" s="49">
        <f t="shared" si="0"/>
        <v>1.32</v>
      </c>
    </row>
    <row r="12" spans="1:7" ht="12.75">
      <c r="A12" s="50"/>
      <c r="B12" s="19"/>
      <c r="C12" s="19" t="s">
        <v>117</v>
      </c>
      <c r="D12" s="19">
        <v>0.649</v>
      </c>
      <c r="E12" s="19">
        <v>1.1</v>
      </c>
      <c r="F12" s="19">
        <v>20</v>
      </c>
      <c r="G12" s="51">
        <f t="shared" si="0"/>
        <v>1.32</v>
      </c>
    </row>
    <row r="13" spans="1:7" ht="12.75">
      <c r="A13" s="50"/>
      <c r="B13" s="19"/>
      <c r="C13" s="19" t="s">
        <v>118</v>
      </c>
      <c r="D13" s="19">
        <v>1.31</v>
      </c>
      <c r="E13" s="19">
        <v>1.1</v>
      </c>
      <c r="F13" s="19">
        <v>20</v>
      </c>
      <c r="G13" s="51">
        <f t="shared" si="0"/>
        <v>1.32</v>
      </c>
    </row>
    <row r="14" spans="1:7" ht="12.75">
      <c r="A14" s="50"/>
      <c r="B14" s="19"/>
      <c r="C14" s="19" t="s">
        <v>119</v>
      </c>
      <c r="D14" s="19">
        <v>0.767</v>
      </c>
      <c r="E14" s="19">
        <v>1.1</v>
      </c>
      <c r="F14" s="19">
        <v>20</v>
      </c>
      <c r="G14" s="51">
        <f t="shared" si="0"/>
        <v>1.32</v>
      </c>
    </row>
    <row r="15" spans="1:7" ht="12.75">
      <c r="A15" s="50"/>
      <c r="B15" s="19"/>
      <c r="C15" s="19" t="s">
        <v>233</v>
      </c>
      <c r="D15" s="19" t="s">
        <v>234</v>
      </c>
      <c r="E15" s="19"/>
      <c r="F15" s="19"/>
      <c r="G15" s="51"/>
    </row>
    <row r="16" spans="1:7" ht="12.75">
      <c r="A16" s="50"/>
      <c r="B16" s="19" t="s">
        <v>123</v>
      </c>
      <c r="C16" s="19" t="s">
        <v>116</v>
      </c>
      <c r="D16" s="19">
        <v>0.088</v>
      </c>
      <c r="E16" s="19">
        <v>0.1</v>
      </c>
      <c r="F16" s="19">
        <v>0</v>
      </c>
      <c r="G16" s="51">
        <f>+E16+F16*E16/100</f>
        <v>0.1</v>
      </c>
    </row>
    <row r="17" spans="1:7" ht="12.75">
      <c r="A17" s="50"/>
      <c r="B17" s="19"/>
      <c r="C17" s="19" t="s">
        <v>117</v>
      </c>
      <c r="D17" s="19">
        <v>0.027</v>
      </c>
      <c r="E17" s="19">
        <v>0.1</v>
      </c>
      <c r="F17" s="19">
        <v>0</v>
      </c>
      <c r="G17" s="51">
        <f>+E17+F17*E17/100</f>
        <v>0.1</v>
      </c>
    </row>
    <row r="18" spans="1:7" ht="12.75">
      <c r="A18" s="50"/>
      <c r="B18" s="19"/>
      <c r="C18" s="19" t="s">
        <v>118</v>
      </c>
      <c r="D18" s="19">
        <v>0.088</v>
      </c>
      <c r="E18" s="19">
        <v>0.1</v>
      </c>
      <c r="F18" s="19">
        <v>0</v>
      </c>
      <c r="G18" s="51">
        <f>+E18+F18*E18/100</f>
        <v>0.1</v>
      </c>
    </row>
    <row r="19" spans="1:7" ht="12.75">
      <c r="A19" s="50"/>
      <c r="B19" s="19"/>
      <c r="C19" s="19" t="s">
        <v>119</v>
      </c>
      <c r="D19" s="19">
        <v>0.04</v>
      </c>
      <c r="E19" s="19">
        <v>0.1</v>
      </c>
      <c r="F19" s="19">
        <v>0</v>
      </c>
      <c r="G19" s="51">
        <f>+E19+F19*E19/100</f>
        <v>0.1</v>
      </c>
    </row>
    <row r="20" spans="1:7" ht="12.75">
      <c r="A20" s="50"/>
      <c r="B20" s="19"/>
      <c r="C20" s="19" t="s">
        <v>233</v>
      </c>
      <c r="D20" s="19" t="s">
        <v>234</v>
      </c>
      <c r="E20" s="19"/>
      <c r="F20" s="19"/>
      <c r="G20" s="51"/>
    </row>
    <row r="21" spans="1:7" ht="12.75">
      <c r="A21" s="50"/>
      <c r="B21" s="19" t="s">
        <v>124</v>
      </c>
      <c r="C21" s="19" t="s">
        <v>116</v>
      </c>
      <c r="D21" s="19">
        <v>0</v>
      </c>
      <c r="E21" s="19">
        <v>0</v>
      </c>
      <c r="F21" s="19">
        <v>0</v>
      </c>
      <c r="G21" s="51">
        <f>+E21+F21*E21/100</f>
        <v>0</v>
      </c>
    </row>
    <row r="22" spans="1:7" ht="12.75">
      <c r="A22" s="50"/>
      <c r="B22" s="19"/>
      <c r="C22" s="19" t="s">
        <v>117</v>
      </c>
      <c r="D22" s="19">
        <v>0</v>
      </c>
      <c r="E22" s="19">
        <v>0</v>
      </c>
      <c r="F22" s="19">
        <v>0</v>
      </c>
      <c r="G22" s="51">
        <f>+E22+F22*E22/100</f>
        <v>0</v>
      </c>
    </row>
    <row r="23" spans="1:11" ht="12.75">
      <c r="A23" s="50"/>
      <c r="B23" s="19"/>
      <c r="C23" s="19" t="s">
        <v>118</v>
      </c>
      <c r="D23" s="19">
        <v>4.1</v>
      </c>
      <c r="E23" s="19">
        <v>4.1</v>
      </c>
      <c r="F23" s="19">
        <v>0</v>
      </c>
      <c r="G23" s="51">
        <f>+E23+F23*E23/100</f>
        <v>4.1</v>
      </c>
      <c r="H23" t="s">
        <v>160</v>
      </c>
      <c r="I23">
        <v>0.1</v>
      </c>
      <c r="J23" t="s">
        <v>161</v>
      </c>
      <c r="K23">
        <v>4</v>
      </c>
    </row>
    <row r="24" spans="1:13" ht="12.75">
      <c r="A24" s="50"/>
      <c r="B24" s="19"/>
      <c r="C24" s="19" t="s">
        <v>119</v>
      </c>
      <c r="D24" s="19">
        <v>8.4</v>
      </c>
      <c r="E24" s="19">
        <v>8.4</v>
      </c>
      <c r="F24" s="19">
        <v>0</v>
      </c>
      <c r="G24" s="51">
        <f>+E24+F24*E24/100</f>
        <v>8.4</v>
      </c>
      <c r="H24" t="s">
        <v>160</v>
      </c>
      <c r="I24">
        <v>5</v>
      </c>
      <c r="J24" t="s">
        <v>161</v>
      </c>
      <c r="K24">
        <v>2.4</v>
      </c>
      <c r="L24" t="s">
        <v>57</v>
      </c>
      <c r="M24">
        <v>1</v>
      </c>
    </row>
    <row r="25" spans="1:7" ht="12.75">
      <c r="A25" s="50"/>
      <c r="B25" s="19"/>
      <c r="C25" s="19" t="s">
        <v>233</v>
      </c>
      <c r="D25" s="19" t="s">
        <v>234</v>
      </c>
      <c r="E25" s="19"/>
      <c r="F25" s="19"/>
      <c r="G25" s="51"/>
    </row>
    <row r="26" spans="1:7" ht="12.75">
      <c r="A26" s="50"/>
      <c r="B26" s="19" t="s">
        <v>14</v>
      </c>
      <c r="C26" s="19" t="s">
        <v>116</v>
      </c>
      <c r="D26" s="19">
        <v>10.934</v>
      </c>
      <c r="E26" s="19">
        <v>6</v>
      </c>
      <c r="F26" s="19">
        <v>100</v>
      </c>
      <c r="G26" s="51">
        <f>+E26+F26*E26/100</f>
        <v>12</v>
      </c>
    </row>
    <row r="27" spans="1:7" ht="12.75">
      <c r="A27" s="50"/>
      <c r="B27" s="19"/>
      <c r="C27" s="19" t="s">
        <v>117</v>
      </c>
      <c r="D27" s="19">
        <v>5.289</v>
      </c>
      <c r="E27" s="19">
        <v>6</v>
      </c>
      <c r="F27" s="19">
        <v>100</v>
      </c>
      <c r="G27" s="51">
        <f>+E27+F27*E27/100</f>
        <v>12</v>
      </c>
    </row>
    <row r="28" spans="1:10" ht="12.75">
      <c r="A28" s="50"/>
      <c r="B28" s="19"/>
      <c r="C28" s="19" t="s">
        <v>118</v>
      </c>
      <c r="D28" s="19">
        <v>10.689</v>
      </c>
      <c r="E28" s="19">
        <v>6</v>
      </c>
      <c r="F28" s="19">
        <v>100</v>
      </c>
      <c r="G28" s="51">
        <f>+E28+F28*E28/100</f>
        <v>12</v>
      </c>
      <c r="J28" s="85"/>
    </row>
    <row r="29" spans="1:10" ht="12.75">
      <c r="A29" s="50"/>
      <c r="B29" s="19"/>
      <c r="C29" s="19" t="s">
        <v>119</v>
      </c>
      <c r="D29" s="19">
        <f>3.633+2.712</f>
        <v>6.345000000000001</v>
      </c>
      <c r="E29" s="19">
        <v>6</v>
      </c>
      <c r="F29" s="19">
        <v>100</v>
      </c>
      <c r="G29" s="86">
        <f>+E29+F29*E29/100</f>
        <v>12</v>
      </c>
      <c r="J29" s="85"/>
    </row>
    <row r="30" spans="1:10" ht="12.75">
      <c r="A30" s="50"/>
      <c r="B30" s="19"/>
      <c r="C30" s="19" t="s">
        <v>233</v>
      </c>
      <c r="D30" s="19" t="s">
        <v>234</v>
      </c>
      <c r="E30" s="19"/>
      <c r="F30" s="19"/>
      <c r="G30" s="86"/>
      <c r="J30" s="85"/>
    </row>
    <row r="31" spans="1:10" ht="12.75">
      <c r="A31" s="50"/>
      <c r="B31" s="19" t="s">
        <v>63</v>
      </c>
      <c r="C31" s="19" t="s">
        <v>116</v>
      </c>
      <c r="D31" s="19">
        <f>D11+D16+D21+D26</f>
        <v>12.360999999999999</v>
      </c>
      <c r="E31" s="44">
        <f>+E11+E16+E21+E26</f>
        <v>7.2</v>
      </c>
      <c r="F31" s="87" t="s">
        <v>235</v>
      </c>
      <c r="G31" s="82">
        <f>+G11+G16+G21+G26</f>
        <v>13.42</v>
      </c>
      <c r="J31" s="85"/>
    </row>
    <row r="32" spans="1:10" ht="12.75">
      <c r="A32" s="50"/>
      <c r="B32" s="19"/>
      <c r="C32" s="19" t="s">
        <v>117</v>
      </c>
      <c r="D32" s="19">
        <f>D12+D17+D22+D27</f>
        <v>5.965</v>
      </c>
      <c r="E32" s="44">
        <f>+E12+E17+E22+E27</f>
        <v>7.2</v>
      </c>
      <c r="F32" s="87" t="s">
        <v>235</v>
      </c>
      <c r="G32" s="82">
        <f>+G12+G17+G22+G27</f>
        <v>13.42</v>
      </c>
      <c r="J32" s="85"/>
    </row>
    <row r="33" spans="1:11" ht="12.75">
      <c r="A33" s="50"/>
      <c r="B33" s="19"/>
      <c r="C33" s="19" t="s">
        <v>118</v>
      </c>
      <c r="D33" s="19">
        <f>D13+D18+D23+D28</f>
        <v>16.186999999999998</v>
      </c>
      <c r="E33" s="44">
        <f>+E13+E18+E23+E28</f>
        <v>11.3</v>
      </c>
      <c r="F33" s="87" t="s">
        <v>235</v>
      </c>
      <c r="G33" s="82">
        <f>+G13+G18+G23+G28</f>
        <v>17.52</v>
      </c>
      <c r="J33" s="85"/>
      <c r="K33" s="85"/>
    </row>
    <row r="34" spans="1:11" ht="12.75">
      <c r="A34" s="83"/>
      <c r="B34" s="24"/>
      <c r="C34" s="24" t="s">
        <v>119</v>
      </c>
      <c r="D34" s="24">
        <f>D14+D19+D24+D29</f>
        <v>15.552000000000001</v>
      </c>
      <c r="E34" s="84">
        <f>+E14+E19+E24+E29</f>
        <v>15.600000000000001</v>
      </c>
      <c r="F34" s="88" t="s">
        <v>235</v>
      </c>
      <c r="G34" s="82">
        <f>+G14+G19+G24+G29</f>
        <v>21.82</v>
      </c>
      <c r="J34" s="85"/>
      <c r="K34" s="85"/>
    </row>
    <row r="35" spans="1:11" ht="12.75">
      <c r="A35" s="83"/>
      <c r="B35" s="24"/>
      <c r="C35" s="19" t="s">
        <v>233</v>
      </c>
      <c r="D35" s="24" t="s">
        <v>234</v>
      </c>
      <c r="E35" s="84"/>
      <c r="F35" s="88"/>
      <c r="G35" s="82"/>
      <c r="J35" s="85"/>
      <c r="K35" s="85"/>
    </row>
    <row r="36" spans="1:11" ht="12.75">
      <c r="A36" s="50"/>
      <c r="B36" s="44" t="s">
        <v>236</v>
      </c>
      <c r="C36" s="44" t="s">
        <v>116</v>
      </c>
      <c r="D36" s="44">
        <f>D31-D71+D46</f>
        <v>9.062999999999999</v>
      </c>
      <c r="E36" s="44"/>
      <c r="F36" s="89"/>
      <c r="G36" s="82"/>
      <c r="H36" s="1"/>
      <c r="I36" s="1"/>
      <c r="J36" s="85"/>
      <c r="K36" s="85"/>
    </row>
    <row r="37" spans="1:11" ht="12.75">
      <c r="A37" s="50"/>
      <c r="B37" s="44"/>
      <c r="C37" s="44" t="s">
        <v>117</v>
      </c>
      <c r="D37" s="44">
        <f>D32-D72+D47</f>
        <v>4.116</v>
      </c>
      <c r="E37" s="44"/>
      <c r="F37" s="89"/>
      <c r="G37" s="82"/>
      <c r="H37" s="1"/>
      <c r="I37" s="1"/>
      <c r="J37" s="85"/>
      <c r="K37" s="85"/>
    </row>
    <row r="38" spans="1:11" ht="12.75">
      <c r="A38" s="50"/>
      <c r="B38" s="44"/>
      <c r="C38" s="44" t="s">
        <v>118</v>
      </c>
      <c r="D38" s="44">
        <f>D33-D73+D48</f>
        <v>12.228999999999997</v>
      </c>
      <c r="E38" s="44"/>
      <c r="F38" s="89"/>
      <c r="G38" s="82"/>
      <c r="H38" s="1"/>
      <c r="I38" s="1"/>
      <c r="J38" s="85"/>
      <c r="K38" s="85"/>
    </row>
    <row r="39" spans="1:11" ht="12.75">
      <c r="A39" s="83"/>
      <c r="B39" s="84"/>
      <c r="C39" s="84" t="s">
        <v>119</v>
      </c>
      <c r="D39" s="84">
        <f>D34-D74+D49</f>
        <v>11.951</v>
      </c>
      <c r="E39" s="84"/>
      <c r="F39" s="89"/>
      <c r="G39" s="82"/>
      <c r="H39" s="1"/>
      <c r="I39" s="1"/>
      <c r="J39" s="85"/>
      <c r="K39" s="85"/>
    </row>
    <row r="40" spans="1:11" ht="13.5" thickBot="1">
      <c r="A40" s="52"/>
      <c r="B40" s="54"/>
      <c r="C40" s="54" t="s">
        <v>233</v>
      </c>
      <c r="D40" s="54">
        <v>7.222</v>
      </c>
      <c r="E40" s="54"/>
      <c r="F40" s="89"/>
      <c r="G40" s="82"/>
      <c r="H40" s="1">
        <v>25</v>
      </c>
      <c r="I40" s="1" t="s">
        <v>213</v>
      </c>
      <c r="J40" s="85"/>
      <c r="K40" s="85"/>
    </row>
    <row r="41" spans="1:7" ht="12.75">
      <c r="A41" s="46" t="s">
        <v>125</v>
      </c>
      <c r="B41" s="47" t="s">
        <v>122</v>
      </c>
      <c r="C41" s="47" t="s">
        <v>116</v>
      </c>
      <c r="D41" s="47">
        <v>0.452</v>
      </c>
      <c r="E41" s="47">
        <v>0.1</v>
      </c>
      <c r="F41" s="47">
        <v>100</v>
      </c>
      <c r="G41" s="49">
        <f>+E41+F41*E41/100</f>
        <v>0.2</v>
      </c>
    </row>
    <row r="42" spans="1:7" ht="12.75">
      <c r="A42" s="50"/>
      <c r="B42" s="19"/>
      <c r="C42" s="19" t="s">
        <v>117</v>
      </c>
      <c r="D42" s="81">
        <v>0.253</v>
      </c>
      <c r="E42" s="19">
        <v>0.1</v>
      </c>
      <c r="F42" s="19">
        <v>100</v>
      </c>
      <c r="G42" s="51">
        <f>+E42+F42*E42/100</f>
        <v>0.2</v>
      </c>
    </row>
    <row r="43" spans="1:7" ht="12.75">
      <c r="A43" s="50"/>
      <c r="B43" s="19"/>
      <c r="C43" s="19" t="s">
        <v>118</v>
      </c>
      <c r="D43" s="19">
        <v>0.538</v>
      </c>
      <c r="E43" s="19">
        <v>0.1</v>
      </c>
      <c r="F43" s="19">
        <v>100</v>
      </c>
      <c r="G43" s="51">
        <f>+E43+F43*E43/100</f>
        <v>0.2</v>
      </c>
    </row>
    <row r="44" spans="1:7" ht="12.75">
      <c r="A44" s="50"/>
      <c r="B44" s="19"/>
      <c r="C44" s="19" t="s">
        <v>119</v>
      </c>
      <c r="D44" s="19">
        <v>0.486</v>
      </c>
      <c r="E44" s="19">
        <v>0.1</v>
      </c>
      <c r="F44" s="19">
        <v>100</v>
      </c>
      <c r="G44" s="51">
        <f>+E44+F44*E44/100</f>
        <v>0.2</v>
      </c>
    </row>
    <row r="45" spans="1:7" ht="12.75">
      <c r="A45" s="50"/>
      <c r="B45" s="19"/>
      <c r="C45" s="19" t="s">
        <v>233</v>
      </c>
      <c r="D45" s="19" t="s">
        <v>234</v>
      </c>
      <c r="E45" s="19"/>
      <c r="F45" s="19"/>
      <c r="G45" s="51"/>
    </row>
    <row r="46" spans="1:7" ht="12.75">
      <c r="A46" s="50"/>
      <c r="B46" s="19" t="s">
        <v>237</v>
      </c>
      <c r="C46" s="19" t="s">
        <v>116</v>
      </c>
      <c r="D46" s="19">
        <v>0</v>
      </c>
      <c r="E46" s="19">
        <v>5</v>
      </c>
      <c r="F46" s="19">
        <v>0</v>
      </c>
      <c r="G46" s="51">
        <f>+E46+F46*E46/100</f>
        <v>5</v>
      </c>
    </row>
    <row r="47" spans="1:7" ht="12.75">
      <c r="A47" s="50"/>
      <c r="B47" s="19"/>
      <c r="C47" s="19" t="s">
        <v>117</v>
      </c>
      <c r="D47" s="19">
        <v>0</v>
      </c>
      <c r="E47" s="19">
        <v>5</v>
      </c>
      <c r="F47" s="19">
        <v>0</v>
      </c>
      <c r="G47" s="51">
        <f>+E47+F47*E47/100</f>
        <v>5</v>
      </c>
    </row>
    <row r="48" spans="1:7" ht="12.75">
      <c r="A48" s="50"/>
      <c r="B48" s="19"/>
      <c r="C48" s="19" t="s">
        <v>118</v>
      </c>
      <c r="D48" s="19">
        <v>0.2</v>
      </c>
      <c r="E48" s="19">
        <v>5</v>
      </c>
      <c r="F48" s="19">
        <v>0</v>
      </c>
      <c r="G48" s="51">
        <f>+E48+F48*E48/100</f>
        <v>5</v>
      </c>
    </row>
    <row r="49" spans="1:7" ht="12.75">
      <c r="A49" s="50"/>
      <c r="B49" s="19"/>
      <c r="C49" s="19" t="s">
        <v>119</v>
      </c>
      <c r="D49" s="19">
        <v>0.2</v>
      </c>
      <c r="E49" s="19">
        <v>5</v>
      </c>
      <c r="F49" s="19">
        <v>0</v>
      </c>
      <c r="G49" s="51">
        <f>+E49+F49*E49/100</f>
        <v>5</v>
      </c>
    </row>
    <row r="50" spans="1:8" ht="12.75">
      <c r="A50" s="50"/>
      <c r="B50" s="19"/>
      <c r="C50" s="19" t="s">
        <v>233</v>
      </c>
      <c r="D50" s="17">
        <v>2.54</v>
      </c>
      <c r="E50" s="19">
        <v>5</v>
      </c>
      <c r="F50" s="19">
        <v>0</v>
      </c>
      <c r="G50" s="51">
        <f>E50+E50*F50/100</f>
        <v>5</v>
      </c>
      <c r="H50" s="12"/>
    </row>
    <row r="51" spans="1:7" ht="12.75">
      <c r="A51" s="50"/>
      <c r="B51" s="19" t="s">
        <v>209</v>
      </c>
      <c r="C51" s="19" t="s">
        <v>116</v>
      </c>
      <c r="D51" s="19">
        <v>0.031</v>
      </c>
      <c r="E51" s="19">
        <v>0</v>
      </c>
      <c r="F51" s="19">
        <v>0</v>
      </c>
      <c r="G51" s="51">
        <f>+E51+F51*E51/100</f>
        <v>0</v>
      </c>
    </row>
    <row r="52" spans="1:7" ht="12.75">
      <c r="A52" s="50"/>
      <c r="B52" s="19"/>
      <c r="C52" s="19" t="s">
        <v>117</v>
      </c>
      <c r="D52" s="19">
        <v>0.016</v>
      </c>
      <c r="E52" s="19">
        <v>0</v>
      </c>
      <c r="F52" s="19">
        <v>0</v>
      </c>
      <c r="G52" s="51">
        <f>+E52+F52*E52/100</f>
        <v>0</v>
      </c>
    </row>
    <row r="53" spans="1:7" ht="12.75">
      <c r="A53" s="50"/>
      <c r="B53" s="17"/>
      <c r="C53" s="19" t="s">
        <v>118</v>
      </c>
      <c r="D53" s="19">
        <v>0.038</v>
      </c>
      <c r="E53" s="19">
        <v>0</v>
      </c>
      <c r="F53" s="19">
        <v>0</v>
      </c>
      <c r="G53" s="51">
        <f>+E53+F53*E53/100</f>
        <v>0</v>
      </c>
    </row>
    <row r="54" spans="1:7" ht="12.75">
      <c r="A54" s="50"/>
      <c r="B54" s="17"/>
      <c r="C54" s="19" t="s">
        <v>119</v>
      </c>
      <c r="D54" s="19">
        <v>0.034</v>
      </c>
      <c r="E54" s="19">
        <v>0</v>
      </c>
      <c r="F54" s="19">
        <v>0</v>
      </c>
      <c r="G54" s="51">
        <f>+E54+F54*E54/100</f>
        <v>0</v>
      </c>
    </row>
    <row r="55" spans="1:7" ht="12.75">
      <c r="A55" s="50"/>
      <c r="B55" s="17"/>
      <c r="C55" s="19" t="s">
        <v>233</v>
      </c>
      <c r="D55" s="19" t="s">
        <v>234</v>
      </c>
      <c r="E55" s="19">
        <v>0</v>
      </c>
      <c r="F55" s="19">
        <v>0</v>
      </c>
      <c r="G55" s="51">
        <v>0</v>
      </c>
    </row>
    <row r="56" spans="1:8" ht="12.75">
      <c r="A56" s="50"/>
      <c r="B56" s="19" t="s">
        <v>130</v>
      </c>
      <c r="C56" s="19" t="s">
        <v>116</v>
      </c>
      <c r="D56" s="19">
        <v>0.61</v>
      </c>
      <c r="E56" s="19">
        <v>1</v>
      </c>
      <c r="F56" s="19">
        <v>20</v>
      </c>
      <c r="G56" s="51">
        <f>+E56+F56*E56/100</f>
        <v>1.2</v>
      </c>
      <c r="H56" s="90"/>
    </row>
    <row r="57" spans="1:7" ht="12.75">
      <c r="A57" s="50"/>
      <c r="B57" s="19"/>
      <c r="C57" s="19" t="s">
        <v>117</v>
      </c>
      <c r="D57" s="19">
        <v>0.37</v>
      </c>
      <c r="E57" s="19">
        <v>1</v>
      </c>
      <c r="F57" s="19">
        <v>20</v>
      </c>
      <c r="G57" s="51">
        <f>+E57+F57*E57/100</f>
        <v>1.2</v>
      </c>
    </row>
    <row r="58" spans="1:7" ht="12.75">
      <c r="A58" s="50"/>
      <c r="B58" s="19"/>
      <c r="C58" s="19" t="s">
        <v>118</v>
      </c>
      <c r="D58" s="19">
        <v>0.714</v>
      </c>
      <c r="E58" s="19">
        <v>1</v>
      </c>
      <c r="F58" s="19">
        <v>20</v>
      </c>
      <c r="G58" s="51">
        <f>+E58+F58*E58/100</f>
        <v>1.2</v>
      </c>
    </row>
    <row r="59" spans="1:7" ht="12.75">
      <c r="A59" s="50"/>
      <c r="B59" s="19"/>
      <c r="C59" s="19" t="s">
        <v>119</v>
      </c>
      <c r="D59" s="19">
        <v>0.661</v>
      </c>
      <c r="E59" s="19">
        <v>1</v>
      </c>
      <c r="F59" s="19">
        <v>20</v>
      </c>
      <c r="G59" s="51">
        <f>+E59+F59*E59/100</f>
        <v>1.2</v>
      </c>
    </row>
    <row r="60" spans="1:7" ht="12.75">
      <c r="A60" s="50"/>
      <c r="B60" s="19"/>
      <c r="C60" s="19" t="s">
        <v>233</v>
      </c>
      <c r="D60" s="19" t="s">
        <v>234</v>
      </c>
      <c r="E60" s="19"/>
      <c r="F60" s="19"/>
      <c r="G60" s="51"/>
    </row>
    <row r="61" spans="1:7" ht="12.75">
      <c r="A61" s="50"/>
      <c r="B61" s="19" t="s">
        <v>212</v>
      </c>
      <c r="C61" s="19" t="s">
        <v>116</v>
      </c>
      <c r="D61" s="19">
        <v>1.237</v>
      </c>
      <c r="E61" s="19">
        <v>1.5</v>
      </c>
      <c r="F61" s="19">
        <v>0</v>
      </c>
      <c r="G61" s="51">
        <f>+E61+F61*E61/100</f>
        <v>1.5</v>
      </c>
    </row>
    <row r="62" spans="1:7" ht="12.75">
      <c r="A62" s="50"/>
      <c r="B62" s="19"/>
      <c r="C62" s="19" t="s">
        <v>117</v>
      </c>
      <c r="D62" s="19">
        <v>0.678</v>
      </c>
      <c r="E62" s="19">
        <v>1.5</v>
      </c>
      <c r="F62" s="19">
        <v>0</v>
      </c>
      <c r="G62" s="51">
        <f>+E62+F62*E62/100</f>
        <v>1.5</v>
      </c>
    </row>
    <row r="63" spans="1:7" ht="12.75">
      <c r="A63" s="50"/>
      <c r="B63" s="19"/>
      <c r="C63" s="19" t="s">
        <v>118</v>
      </c>
      <c r="D63" s="19">
        <v>1.496</v>
      </c>
      <c r="E63" s="19">
        <v>1.5</v>
      </c>
      <c r="F63" s="19">
        <v>0</v>
      </c>
      <c r="G63" s="51">
        <f>+E63+F63*E63/100</f>
        <v>1.5</v>
      </c>
    </row>
    <row r="64" spans="1:7" ht="12.75">
      <c r="A64" s="50"/>
      <c r="B64" s="19"/>
      <c r="C64" s="19" t="s">
        <v>119</v>
      </c>
      <c r="D64" s="19">
        <v>1.356</v>
      </c>
      <c r="E64" s="19">
        <v>1.5</v>
      </c>
      <c r="F64" s="19">
        <v>0</v>
      </c>
      <c r="G64" s="51">
        <f>+E64+F64*E64/100</f>
        <v>1.5</v>
      </c>
    </row>
    <row r="65" spans="1:7" ht="12.75">
      <c r="A65" s="50"/>
      <c r="B65" s="19"/>
      <c r="C65" s="19" t="s">
        <v>233</v>
      </c>
      <c r="D65" s="19" t="s">
        <v>234</v>
      </c>
      <c r="E65" s="19"/>
      <c r="F65" s="19"/>
      <c r="G65" s="51"/>
    </row>
    <row r="66" spans="1:7" ht="12.75">
      <c r="A66" s="50"/>
      <c r="B66" s="19" t="s">
        <v>14</v>
      </c>
      <c r="C66" s="19" t="s">
        <v>116</v>
      </c>
      <c r="D66" s="19">
        <v>0.968</v>
      </c>
      <c r="E66" s="19">
        <v>1.1</v>
      </c>
      <c r="F66" s="19">
        <v>20</v>
      </c>
      <c r="G66" s="51">
        <f>+E66+F66*E66/100</f>
        <v>1.32</v>
      </c>
    </row>
    <row r="67" spans="1:7" ht="12.75">
      <c r="A67" s="50"/>
      <c r="B67" s="19"/>
      <c r="C67" s="19" t="s">
        <v>117</v>
      </c>
      <c r="D67" s="19">
        <v>0.532</v>
      </c>
      <c r="E67" s="19">
        <v>1.1</v>
      </c>
      <c r="F67" s="19">
        <v>20</v>
      </c>
      <c r="G67" s="51">
        <f>+E67+F67*E67/100</f>
        <v>1.32</v>
      </c>
    </row>
    <row r="68" spans="1:11" ht="12.75">
      <c r="A68" s="50"/>
      <c r="B68" s="19"/>
      <c r="C68" s="19" t="s">
        <v>118</v>
      </c>
      <c r="D68" s="19">
        <v>1.172</v>
      </c>
      <c r="E68" s="19">
        <v>1.1</v>
      </c>
      <c r="F68" s="19">
        <v>20</v>
      </c>
      <c r="G68" s="51">
        <f>+E68+F68*E68/100</f>
        <v>1.32</v>
      </c>
      <c r="J68" s="85"/>
      <c r="K68" s="85"/>
    </row>
    <row r="69" spans="1:11" ht="12.75">
      <c r="A69" s="50"/>
      <c r="B69" s="19"/>
      <c r="C69" s="19" t="s">
        <v>119</v>
      </c>
      <c r="D69" s="19">
        <v>1.064</v>
      </c>
      <c r="E69" s="19">
        <v>1.1</v>
      </c>
      <c r="F69" s="19">
        <v>20</v>
      </c>
      <c r="G69" s="51">
        <f>+E69+F69*E69/100</f>
        <v>1.32</v>
      </c>
      <c r="J69" s="85"/>
      <c r="K69" s="85"/>
    </row>
    <row r="70" spans="1:11" ht="12.75">
      <c r="A70" s="50"/>
      <c r="B70" s="19"/>
      <c r="C70" s="19" t="s">
        <v>233</v>
      </c>
      <c r="D70" s="19" t="s">
        <v>234</v>
      </c>
      <c r="E70" s="19"/>
      <c r="F70" s="19"/>
      <c r="G70" s="91"/>
      <c r="J70" s="85"/>
      <c r="K70" s="85"/>
    </row>
    <row r="71" spans="1:11" ht="12.75">
      <c r="A71" s="50"/>
      <c r="B71" s="19" t="s">
        <v>63</v>
      </c>
      <c r="C71" s="19" t="s">
        <v>116</v>
      </c>
      <c r="D71" s="19">
        <f>D41+D46+D51+D56+D61+D66</f>
        <v>3.298</v>
      </c>
      <c r="E71" s="44">
        <f>+E41+E46+E51+E56+E61+E66</f>
        <v>8.7</v>
      </c>
      <c r="F71" s="87" t="s">
        <v>235</v>
      </c>
      <c r="G71" s="44">
        <f>+G41+G46+G51+G56+G61+G66</f>
        <v>9.22</v>
      </c>
      <c r="J71" s="85"/>
      <c r="K71" s="85"/>
    </row>
    <row r="72" spans="1:11" ht="12.75">
      <c r="A72" s="50"/>
      <c r="B72" s="19"/>
      <c r="C72" s="19" t="s">
        <v>117</v>
      </c>
      <c r="D72" s="19">
        <f>D42+D47+D52+D57+D62+D67</f>
        <v>1.8490000000000002</v>
      </c>
      <c r="E72" s="44">
        <f>+E42+E47+E52+E57+E62+E67</f>
        <v>8.7</v>
      </c>
      <c r="F72" s="87" t="s">
        <v>235</v>
      </c>
      <c r="G72" s="44">
        <f>+G42+G47+G52+G57+G62+G67</f>
        <v>9.22</v>
      </c>
      <c r="J72" s="85"/>
      <c r="K72" s="85"/>
    </row>
    <row r="73" spans="1:11" ht="12.75">
      <c r="A73" s="50"/>
      <c r="B73" s="19"/>
      <c r="C73" s="19" t="s">
        <v>118</v>
      </c>
      <c r="D73" s="19">
        <f>D43+D48+D53+D58+D63+D68</f>
        <v>4.1579999999999995</v>
      </c>
      <c r="E73" s="44">
        <f>+E43+E48+E53+E58+E63+E68</f>
        <v>8.7</v>
      </c>
      <c r="F73" s="87" t="s">
        <v>235</v>
      </c>
      <c r="G73" s="44">
        <f>+G43+G48+G53+G58+G63+G68</f>
        <v>9.22</v>
      </c>
      <c r="J73" s="85"/>
      <c r="K73" s="85"/>
    </row>
    <row r="74" spans="1:11" ht="12.75">
      <c r="A74" s="83"/>
      <c r="B74" s="24"/>
      <c r="C74" s="24" t="s">
        <v>119</v>
      </c>
      <c r="D74" s="24">
        <f>D44+D49+D54+D59+D64+D69</f>
        <v>3.801</v>
      </c>
      <c r="E74" s="84">
        <f>+E44+E49+E54+E59+E64+E69</f>
        <v>8.7</v>
      </c>
      <c r="F74" s="87" t="s">
        <v>235</v>
      </c>
      <c r="G74" s="44">
        <f>+G44+G49+G54+G59+G64+G69</f>
        <v>9.22</v>
      </c>
      <c r="J74" s="85"/>
      <c r="K74" s="85"/>
    </row>
    <row r="75" spans="1:11" ht="12.75">
      <c r="A75" s="83"/>
      <c r="B75" s="24"/>
      <c r="C75" s="19" t="s">
        <v>233</v>
      </c>
      <c r="D75" s="24" t="s">
        <v>234</v>
      </c>
      <c r="E75" s="84"/>
      <c r="F75" s="88"/>
      <c r="G75" s="44"/>
      <c r="J75" s="85"/>
      <c r="K75" s="85"/>
    </row>
    <row r="76" spans="1:11" ht="12.75">
      <c r="A76" s="50"/>
      <c r="B76" s="44" t="s">
        <v>238</v>
      </c>
      <c r="C76" s="44" t="s">
        <v>116</v>
      </c>
      <c r="D76" s="84">
        <f>D71-0</f>
        <v>3.298</v>
      </c>
      <c r="E76" s="84"/>
      <c r="F76" s="92"/>
      <c r="G76" s="44"/>
      <c r="I76" s="1"/>
      <c r="J76" s="85"/>
      <c r="K76" s="85"/>
    </row>
    <row r="77" spans="1:11" ht="12.75">
      <c r="A77" s="50"/>
      <c r="B77" s="44"/>
      <c r="C77" s="44" t="s">
        <v>117</v>
      </c>
      <c r="D77" s="84">
        <f>D72-0</f>
        <v>1.8490000000000002</v>
      </c>
      <c r="E77" s="84"/>
      <c r="F77" s="92"/>
      <c r="G77" s="44"/>
      <c r="H77" s="1"/>
      <c r="I77" s="1"/>
      <c r="J77" s="85"/>
      <c r="K77" s="85"/>
    </row>
    <row r="78" spans="1:11" ht="12.75">
      <c r="A78" s="50"/>
      <c r="B78" s="44"/>
      <c r="C78" s="44" t="s">
        <v>118</v>
      </c>
      <c r="D78" s="93">
        <f>D73-(D91/1000)</f>
        <v>4.1371899999999995</v>
      </c>
      <c r="E78" s="84"/>
      <c r="F78" s="92"/>
      <c r="G78" s="44"/>
      <c r="H78" s="12"/>
      <c r="I78" s="1"/>
      <c r="J78" s="85"/>
      <c r="K78" s="85"/>
    </row>
    <row r="79" spans="1:11" ht="12.75">
      <c r="A79" s="83"/>
      <c r="B79" s="84"/>
      <c r="C79" s="84" t="s">
        <v>119</v>
      </c>
      <c r="D79" s="93">
        <f>D74-(D92/1000)</f>
        <v>3.78091</v>
      </c>
      <c r="E79" s="84"/>
      <c r="F79" s="92"/>
      <c r="G79" s="84"/>
      <c r="H79" s="12"/>
      <c r="I79" s="1"/>
      <c r="J79" s="85"/>
      <c r="K79" s="85"/>
    </row>
    <row r="80" spans="1:9" ht="13.5" thickBot="1">
      <c r="A80" s="52"/>
      <c r="B80" s="54"/>
      <c r="C80" s="54" t="s">
        <v>233</v>
      </c>
      <c r="D80" s="54">
        <v>15.167</v>
      </c>
      <c r="E80" s="54"/>
      <c r="F80" s="54"/>
      <c r="G80" s="54"/>
      <c r="H80" s="1">
        <v>10</v>
      </c>
      <c r="I80" s="1" t="s">
        <v>213</v>
      </c>
    </row>
    <row r="81" spans="1:7" ht="12.75">
      <c r="A81" s="19" t="s">
        <v>208</v>
      </c>
      <c r="B81" s="19" t="s">
        <v>239</v>
      </c>
      <c r="C81" s="81" t="s">
        <v>118</v>
      </c>
      <c r="D81" s="94">
        <v>4.46</v>
      </c>
      <c r="E81" s="81">
        <v>8</v>
      </c>
      <c r="F81" s="81" t="s">
        <v>230</v>
      </c>
      <c r="G81" s="81"/>
    </row>
    <row r="82" spans="1:7" ht="12.75">
      <c r="A82" s="19"/>
      <c r="B82" s="19"/>
      <c r="C82" s="19" t="s">
        <v>119</v>
      </c>
      <c r="D82" s="95">
        <v>4.36</v>
      </c>
      <c r="E82" s="19">
        <v>8</v>
      </c>
      <c r="F82" s="19" t="s">
        <v>230</v>
      </c>
      <c r="G82" s="19"/>
    </row>
    <row r="83" spans="1:7" ht="12.75">
      <c r="A83" s="19"/>
      <c r="B83" s="19" t="s">
        <v>240</v>
      </c>
      <c r="C83" s="19" t="s">
        <v>118</v>
      </c>
      <c r="D83" s="95">
        <v>3.2</v>
      </c>
      <c r="E83" s="19"/>
      <c r="F83" s="19" t="s">
        <v>230</v>
      </c>
      <c r="G83" s="19"/>
    </row>
    <row r="84" spans="1:7" ht="12.75">
      <c r="A84" s="19"/>
      <c r="B84" s="19"/>
      <c r="C84" s="19" t="s">
        <v>119</v>
      </c>
      <c r="D84" s="95">
        <v>3.11</v>
      </c>
      <c r="E84" s="19"/>
      <c r="F84" s="19" t="s">
        <v>230</v>
      </c>
      <c r="G84" s="19"/>
    </row>
    <row r="85" spans="1:7" ht="12.75">
      <c r="A85" s="19"/>
      <c r="B85" s="19" t="s">
        <v>209</v>
      </c>
      <c r="C85" s="19" t="s">
        <v>118</v>
      </c>
      <c r="D85" s="95">
        <v>11.64</v>
      </c>
      <c r="E85" s="19">
        <v>12</v>
      </c>
      <c r="F85" s="19" t="s">
        <v>230</v>
      </c>
      <c r="G85" s="19"/>
    </row>
    <row r="86" spans="1:7" ht="12.75">
      <c r="A86" s="19"/>
      <c r="B86" s="19"/>
      <c r="C86" s="19" t="s">
        <v>119</v>
      </c>
      <c r="D86" s="95">
        <v>11.14</v>
      </c>
      <c r="E86" s="19">
        <v>12</v>
      </c>
      <c r="F86" s="19" t="s">
        <v>230</v>
      </c>
      <c r="G86" s="19"/>
    </row>
    <row r="87" spans="1:7" ht="12.75">
      <c r="A87" s="19"/>
      <c r="B87" s="19" t="s">
        <v>210</v>
      </c>
      <c r="C87" s="19" t="s">
        <v>118</v>
      </c>
      <c r="D87" s="95">
        <v>1.51</v>
      </c>
      <c r="E87" s="19">
        <v>2</v>
      </c>
      <c r="F87" s="19" t="s">
        <v>230</v>
      </c>
      <c r="G87" s="19"/>
    </row>
    <row r="88" spans="1:7" ht="12.75">
      <c r="A88" s="19"/>
      <c r="B88" s="19"/>
      <c r="C88" s="19" t="s">
        <v>119</v>
      </c>
      <c r="D88" s="95">
        <v>1.48</v>
      </c>
      <c r="E88" s="19">
        <v>2</v>
      </c>
      <c r="F88" s="19" t="s">
        <v>230</v>
      </c>
      <c r="G88" s="19"/>
    </row>
    <row r="89" spans="1:7" ht="12.75">
      <c r="A89" s="19"/>
      <c r="B89" s="19" t="s">
        <v>211</v>
      </c>
      <c r="C89" s="19" t="s">
        <v>118</v>
      </c>
      <c r="D89" s="95">
        <v>0</v>
      </c>
      <c r="E89" s="19">
        <v>0</v>
      </c>
      <c r="F89" s="19" t="s">
        <v>230</v>
      </c>
      <c r="G89" s="19"/>
    </row>
    <row r="90" spans="1:7" ht="12.75">
      <c r="A90" s="19"/>
      <c r="B90" s="19"/>
      <c r="C90" s="19" t="s">
        <v>119</v>
      </c>
      <c r="D90" s="95">
        <v>0</v>
      </c>
      <c r="E90" s="19">
        <v>0</v>
      </c>
      <c r="F90" s="19" t="s">
        <v>230</v>
      </c>
      <c r="G90" s="19"/>
    </row>
    <row r="91" spans="1:7" ht="12.75">
      <c r="A91" s="19"/>
      <c r="B91" s="19" t="s">
        <v>58</v>
      </c>
      <c r="C91" s="19" t="s">
        <v>118</v>
      </c>
      <c r="D91" s="95">
        <f>D81+D83+D85+D87+D89</f>
        <v>20.810000000000002</v>
      </c>
      <c r="E91" s="19">
        <f>E81+E85+E87+E89</f>
        <v>22</v>
      </c>
      <c r="F91" s="19" t="s">
        <v>230</v>
      </c>
      <c r="G91" s="19"/>
    </row>
    <row r="92" spans="1:7" ht="13.5" thickBot="1">
      <c r="A92" s="53"/>
      <c r="B92" s="53"/>
      <c r="C92" s="53" t="s">
        <v>119</v>
      </c>
      <c r="D92" s="96">
        <f>D82+D84+D86+D88+D90</f>
        <v>20.09</v>
      </c>
      <c r="E92" s="53">
        <f>E82+E86+E88+E90</f>
        <v>22</v>
      </c>
      <c r="F92" s="53" t="s">
        <v>230</v>
      </c>
      <c r="G92" s="53"/>
    </row>
    <row r="93" spans="1:7" ht="12.75">
      <c r="A93" s="17"/>
      <c r="B93" s="17"/>
      <c r="C93" s="17"/>
      <c r="D93" s="17"/>
      <c r="E93" s="17"/>
      <c r="F93" s="17"/>
      <c r="G93" s="17"/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G15" sqref="G15"/>
    </sheetView>
  </sheetViews>
  <sheetFormatPr defaultColWidth="9.140625" defaultRowHeight="12.75"/>
  <cols>
    <col min="2" max="2" width="29.140625" style="0" customWidth="1"/>
    <col min="7" max="7" width="12.140625" style="0" customWidth="1"/>
  </cols>
  <sheetData>
    <row r="1" spans="1:7" ht="12.75">
      <c r="A1" s="16" t="s">
        <v>132</v>
      </c>
      <c r="B1" s="17"/>
      <c r="C1" s="17"/>
      <c r="D1" s="17"/>
      <c r="E1" s="17"/>
      <c r="F1" s="17" t="s">
        <v>139</v>
      </c>
      <c r="G1" s="17"/>
    </row>
    <row r="2" spans="1:7" ht="12.75">
      <c r="A2" s="17" t="s">
        <v>131</v>
      </c>
      <c r="B2" s="17"/>
      <c r="C2" s="17"/>
      <c r="D2" s="17"/>
      <c r="E2" s="17"/>
      <c r="F2" s="17"/>
      <c r="G2" s="17"/>
    </row>
    <row r="3" spans="1:7" ht="13.5" thickBot="1">
      <c r="A3" s="17"/>
      <c r="B3" s="17"/>
      <c r="C3" s="17"/>
      <c r="D3" s="17" t="s">
        <v>138</v>
      </c>
      <c r="E3" s="17"/>
      <c r="F3" s="17"/>
      <c r="G3" s="17"/>
    </row>
    <row r="4" spans="1:7" ht="13.5" thickBot="1">
      <c r="A4" s="46" t="s">
        <v>136</v>
      </c>
      <c r="B4" s="47" t="s">
        <v>115</v>
      </c>
      <c r="C4" s="47" t="s">
        <v>126</v>
      </c>
      <c r="D4" s="47" t="s">
        <v>127</v>
      </c>
      <c r="E4" s="47" t="s">
        <v>80</v>
      </c>
      <c r="F4" s="47" t="s">
        <v>129</v>
      </c>
      <c r="G4" s="49" t="s">
        <v>81</v>
      </c>
    </row>
    <row r="5" spans="1:7" ht="12.75">
      <c r="A5" s="46" t="s">
        <v>133</v>
      </c>
      <c r="B5" s="47" t="s">
        <v>134</v>
      </c>
      <c r="C5" s="47" t="s">
        <v>141</v>
      </c>
      <c r="D5" s="62">
        <v>67</v>
      </c>
      <c r="E5" s="48">
        <v>71</v>
      </c>
      <c r="F5" s="47" t="s">
        <v>162</v>
      </c>
      <c r="G5" s="49"/>
    </row>
    <row r="6" spans="1:7" ht="12.75">
      <c r="A6" s="50" t="s">
        <v>135</v>
      </c>
      <c r="B6" s="19" t="s">
        <v>104</v>
      </c>
      <c r="C6" s="19" t="s">
        <v>141</v>
      </c>
      <c r="D6" s="40">
        <v>10</v>
      </c>
      <c r="E6" s="44">
        <v>15</v>
      </c>
      <c r="F6" s="19" t="s">
        <v>162</v>
      </c>
      <c r="G6" s="51"/>
    </row>
    <row r="7" spans="1:7" ht="12.75">
      <c r="A7" s="50" t="s">
        <v>137</v>
      </c>
      <c r="B7" s="19" t="s">
        <v>109</v>
      </c>
      <c r="C7" s="19" t="s">
        <v>141</v>
      </c>
      <c r="D7" s="19"/>
      <c r="E7" s="44">
        <v>0</v>
      </c>
      <c r="F7" s="19" t="s">
        <v>162</v>
      </c>
      <c r="G7" s="51"/>
    </row>
    <row r="8" spans="1:7" ht="13.5" thickBot="1">
      <c r="A8" s="52" t="s">
        <v>58</v>
      </c>
      <c r="B8" s="53"/>
      <c r="C8" s="53"/>
      <c r="D8" s="53"/>
      <c r="E8" s="54">
        <f>SUM(E5:E7)</f>
        <v>86</v>
      </c>
      <c r="F8" s="53"/>
      <c r="G8" s="55"/>
    </row>
    <row r="9" spans="1:10" ht="12.75">
      <c r="A9" s="43"/>
      <c r="B9" s="43"/>
      <c r="C9" s="43"/>
      <c r="D9" s="43"/>
      <c r="E9" s="43"/>
      <c r="F9" s="78" t="s">
        <v>163</v>
      </c>
      <c r="G9" s="43"/>
      <c r="H9" s="14"/>
      <c r="I9" s="14"/>
      <c r="J9" s="14"/>
    </row>
    <row r="10" spans="1:10" ht="12.75">
      <c r="A10" s="43"/>
      <c r="B10" s="43"/>
      <c r="C10" s="43"/>
      <c r="D10" s="43"/>
      <c r="E10" s="43"/>
      <c r="F10" s="43"/>
      <c r="G10" s="43"/>
      <c r="H10" s="14"/>
      <c r="I10" s="14"/>
      <c r="J10" s="14"/>
    </row>
    <row r="11" spans="1:10" ht="12.75">
      <c r="A11" s="43"/>
      <c r="B11" s="43"/>
      <c r="C11" s="43"/>
      <c r="D11" s="43"/>
      <c r="E11" s="43"/>
      <c r="F11" s="43"/>
      <c r="G11" s="43"/>
      <c r="H11" s="14"/>
      <c r="I11" s="14"/>
      <c r="J11" s="14"/>
    </row>
    <row r="12" spans="1:10" ht="12.75">
      <c r="A12" s="43"/>
      <c r="B12" s="43"/>
      <c r="C12" s="43"/>
      <c r="D12" s="43"/>
      <c r="E12" s="43"/>
      <c r="F12" s="43"/>
      <c r="G12" s="43"/>
      <c r="H12" s="14"/>
      <c r="I12" s="14"/>
      <c r="J12" s="14"/>
    </row>
    <row r="13" spans="1:10" ht="12.75">
      <c r="A13" s="43"/>
      <c r="B13" s="43"/>
      <c r="C13" s="43"/>
      <c r="D13" s="43"/>
      <c r="E13" s="43"/>
      <c r="F13" s="43"/>
      <c r="G13" s="43"/>
      <c r="H13" s="14"/>
      <c r="I13" s="14"/>
      <c r="J13" s="14"/>
    </row>
    <row r="14" spans="1:10" ht="12.75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2.75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2.75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2.75">
      <c r="A17" s="14"/>
      <c r="B17" s="14"/>
      <c r="C17" s="14"/>
      <c r="D17" s="14"/>
      <c r="E17" s="14"/>
      <c r="F17" s="14"/>
      <c r="G17" s="14"/>
      <c r="H17" s="14"/>
      <c r="I17" s="14"/>
      <c r="J17" s="14"/>
    </row>
  </sheetData>
  <printOptions/>
  <pageMargins left="0.75" right="0.75" top="1" bottom="1" header="0.5" footer="0.5"/>
  <pageSetup horizontalDpi="360" verticalDpi="3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C15" sqref="C15"/>
    </sheetView>
  </sheetViews>
  <sheetFormatPr defaultColWidth="9.140625" defaultRowHeight="12.75"/>
  <cols>
    <col min="1" max="1" width="14.7109375" style="0" customWidth="1"/>
  </cols>
  <sheetData>
    <row r="1" spans="1:3" ht="12.75">
      <c r="A1" s="1" t="s">
        <v>142</v>
      </c>
      <c r="C1" t="s">
        <v>139</v>
      </c>
    </row>
    <row r="2" ht="12.75">
      <c r="A2" t="s">
        <v>144</v>
      </c>
    </row>
    <row r="3" ht="13.5" thickBot="1"/>
    <row r="4" spans="1:4" ht="13.5" thickBot="1">
      <c r="A4" s="69" t="s">
        <v>143</v>
      </c>
      <c r="B4" s="70" t="s">
        <v>126</v>
      </c>
      <c r="C4" s="70" t="s">
        <v>127</v>
      </c>
      <c r="D4" s="71" t="s">
        <v>80</v>
      </c>
    </row>
    <row r="5" spans="1:4" ht="12.75">
      <c r="A5" s="66" t="s">
        <v>145</v>
      </c>
      <c r="B5" s="67" t="s">
        <v>146</v>
      </c>
      <c r="C5" s="67">
        <v>80</v>
      </c>
      <c r="D5" s="68"/>
    </row>
    <row r="6" spans="1:4" ht="12.75">
      <c r="A6" s="64" t="s">
        <v>147</v>
      </c>
      <c r="B6" s="63" t="s">
        <v>146</v>
      </c>
      <c r="C6" s="63">
        <v>11</v>
      </c>
      <c r="D6" s="65"/>
    </row>
    <row r="7" spans="1:4" ht="12.75">
      <c r="A7" s="64" t="s">
        <v>148</v>
      </c>
      <c r="B7" s="63" t="s">
        <v>146</v>
      </c>
      <c r="C7" s="63">
        <v>1.5</v>
      </c>
      <c r="D7" s="65"/>
    </row>
    <row r="8" spans="1:4" ht="12.75">
      <c r="A8" s="64" t="s">
        <v>149</v>
      </c>
      <c r="B8" s="63" t="s">
        <v>146</v>
      </c>
      <c r="C8" s="63">
        <v>1.1</v>
      </c>
      <c r="D8" s="65"/>
    </row>
    <row r="9" spans="1:4" ht="13.5" thickBot="1">
      <c r="A9" s="72" t="s">
        <v>152</v>
      </c>
      <c r="B9" s="73" t="s">
        <v>146</v>
      </c>
      <c r="C9" s="73">
        <v>2</v>
      </c>
      <c r="D9" s="74"/>
    </row>
    <row r="10" spans="1:4" ht="13.5" thickBot="1">
      <c r="A10" s="69" t="s">
        <v>151</v>
      </c>
      <c r="B10" s="70"/>
      <c r="C10" s="70">
        <f>SUM(C5:C9)</f>
        <v>95.6</v>
      </c>
      <c r="D10" s="71">
        <v>100</v>
      </c>
    </row>
    <row r="11" spans="1:4" ht="12.75">
      <c r="A11" s="66" t="s">
        <v>145</v>
      </c>
      <c r="B11" s="67" t="s">
        <v>150</v>
      </c>
      <c r="C11" s="67">
        <v>79</v>
      </c>
      <c r="D11" s="68"/>
    </row>
    <row r="12" spans="1:4" ht="12.75">
      <c r="A12" s="64" t="s">
        <v>147</v>
      </c>
      <c r="B12" s="63" t="s">
        <v>150</v>
      </c>
      <c r="C12" s="63">
        <v>15.8</v>
      </c>
      <c r="D12" s="65"/>
    </row>
    <row r="13" spans="1:4" ht="12.75">
      <c r="A13" s="64" t="s">
        <v>148</v>
      </c>
      <c r="B13" s="63" t="s">
        <v>150</v>
      </c>
      <c r="C13" s="63">
        <v>1.5</v>
      </c>
      <c r="D13" s="65"/>
    </row>
    <row r="14" spans="1:4" ht="12.75">
      <c r="A14" s="64" t="s">
        <v>149</v>
      </c>
      <c r="B14" s="63" t="s">
        <v>150</v>
      </c>
      <c r="C14" s="63">
        <v>1.1</v>
      </c>
      <c r="D14" s="65"/>
    </row>
    <row r="15" spans="1:4" ht="13.5" thickBot="1">
      <c r="A15" s="72" t="s">
        <v>152</v>
      </c>
      <c r="B15" s="73" t="s">
        <v>150</v>
      </c>
      <c r="C15" s="73">
        <v>2</v>
      </c>
      <c r="D15" s="74"/>
    </row>
    <row r="16" spans="1:4" ht="13.5" thickBot="1">
      <c r="A16" s="69" t="s">
        <v>63</v>
      </c>
      <c r="B16" s="70"/>
      <c r="C16" s="70">
        <f>SUM(C11:C15)</f>
        <v>99.39999999999999</v>
      </c>
      <c r="D16" s="71">
        <v>100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C17" sqref="C17"/>
    </sheetView>
  </sheetViews>
  <sheetFormatPr defaultColWidth="9.140625" defaultRowHeight="12.75"/>
  <cols>
    <col min="1" max="1" width="25.421875" style="0" customWidth="1"/>
  </cols>
  <sheetData>
    <row r="1" spans="1:4" ht="12.75">
      <c r="A1" s="1" t="s">
        <v>214</v>
      </c>
      <c r="D1" t="s">
        <v>216</v>
      </c>
    </row>
    <row r="3" spans="1:2" ht="12.75">
      <c r="A3" t="s">
        <v>215</v>
      </c>
      <c r="B3" t="s">
        <v>242</v>
      </c>
    </row>
    <row r="4" spans="1:4" ht="12.75">
      <c r="A4" t="s">
        <v>217</v>
      </c>
      <c r="B4" t="s">
        <v>242</v>
      </c>
      <c r="D4" t="s">
        <v>223</v>
      </c>
    </row>
    <row r="5" spans="1:4" ht="12.75">
      <c r="A5" t="s">
        <v>218</v>
      </c>
      <c r="B5" t="s">
        <v>242</v>
      </c>
      <c r="D5" t="s">
        <v>224</v>
      </c>
    </row>
    <row r="6" spans="1:2" ht="12.75">
      <c r="A6" t="s">
        <v>225</v>
      </c>
      <c r="B6" t="s">
        <v>242</v>
      </c>
    </row>
    <row r="7" spans="1:2" ht="12.75">
      <c r="A7" t="s">
        <v>226</v>
      </c>
      <c r="B7" t="s">
        <v>242</v>
      </c>
    </row>
    <row r="8" spans="1:2" ht="12.75">
      <c r="A8" t="s">
        <v>219</v>
      </c>
      <c r="B8" t="s">
        <v>242</v>
      </c>
    </row>
    <row r="9" spans="1:2" ht="12.75">
      <c r="A9" t="s">
        <v>220</v>
      </c>
      <c r="B9" t="s">
        <v>242</v>
      </c>
    </row>
    <row r="10" spans="1:2" ht="12.75">
      <c r="A10" t="s">
        <v>221</v>
      </c>
      <c r="B10" t="s">
        <v>242</v>
      </c>
    </row>
    <row r="11" spans="1:2" ht="12.75">
      <c r="A11" t="s">
        <v>222</v>
      </c>
      <c r="B11" t="s">
        <v>242</v>
      </c>
    </row>
    <row r="12" spans="1:2" ht="12.75">
      <c r="A12" t="s">
        <v>227</v>
      </c>
      <c r="B12" t="s">
        <v>242</v>
      </c>
    </row>
    <row r="13" spans="1:2" ht="12.75">
      <c r="A13" t="s">
        <v>228</v>
      </c>
      <c r="B13" t="s">
        <v>242</v>
      </c>
    </row>
    <row r="14" spans="1:2" ht="12.75">
      <c r="A14" t="s">
        <v>229</v>
      </c>
      <c r="B14" t="s">
        <v>242</v>
      </c>
    </row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Cunningham</dc:creator>
  <cp:keywords/>
  <dc:description/>
  <cp:lastModifiedBy>Colin Cunningham</cp:lastModifiedBy>
  <cp:lastPrinted>1999-03-11T12:57:55Z</cp:lastPrinted>
  <dcterms:created xsi:type="dcterms:W3CDTF">1999-03-10T20:36:07Z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