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65" activeTab="4"/>
  </bookViews>
  <sheets>
    <sheet name="Summary (FOB)" sheetId="1" r:id="rId1"/>
    <sheet name="Detail (FOB)" sheetId="2" r:id="rId2"/>
    <sheet name="Summary (SVM)" sheetId="3" r:id="rId3"/>
    <sheet name="Thermal Load FOB" sheetId="4" r:id="rId4"/>
    <sheet name="Dissipation SVM" sheetId="5" r:id="rId5"/>
  </sheets>
  <definedNames/>
  <calcPr fullCalcOnLoad="1"/>
</workbook>
</file>

<file path=xl/comments1.xml><?xml version="1.0" encoding="utf-8"?>
<comments xmlns="http://schemas.openxmlformats.org/spreadsheetml/2006/main">
  <authors>
    <author>test2</author>
  </authors>
  <commentList>
    <comment ref="A40" authorId="0">
      <text>
        <r>
          <rPr>
            <b/>
            <sz val="8"/>
            <rFont val="Tahoma"/>
            <family val="0"/>
          </rPr>
          <t>CRC: Not in detailed estimates: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CRC: not in detailed estimates</t>
        </r>
      </text>
    </comment>
    <comment ref="A47" authorId="0">
      <text>
        <r>
          <rPr>
            <b/>
            <sz val="8"/>
            <rFont val="Tahoma"/>
            <family val="2"/>
          </rPr>
          <t>CRC: not in detailed estimates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CRC: Not in product tree</t>
        </r>
      </text>
    </comment>
    <comment ref="C30" authorId="0">
      <text>
        <r>
          <rPr>
            <b/>
            <sz val="8"/>
            <rFont val="Tahoma"/>
            <family val="2"/>
          </rPr>
          <t xml:space="preserve">CRC: Now SMECm
</t>
        </r>
      </text>
    </comment>
  </commentList>
</comments>
</file>

<file path=xl/comments2.xml><?xml version="1.0" encoding="utf-8"?>
<comments xmlns="http://schemas.openxmlformats.org/spreadsheetml/2006/main">
  <authors>
    <author>test2</author>
  </authors>
  <commentList>
    <comment ref="A35" authorId="0">
      <text>
        <r>
          <rPr>
            <b/>
            <sz val="8"/>
            <rFont val="Tahoma"/>
            <family val="0"/>
          </rPr>
          <t xml:space="preserve">CRC:
Inserted
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>CRC:
Added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<sst xmlns="http://schemas.openxmlformats.org/spreadsheetml/2006/main" count="476" uniqueCount="204">
  <si>
    <t>Photometer Hardware:</t>
  </si>
  <si>
    <t>Mirrors</t>
  </si>
  <si>
    <t>Est. Mass</t>
  </si>
  <si>
    <t>Temp</t>
  </si>
  <si>
    <t>Filters</t>
  </si>
  <si>
    <t>Detectors</t>
  </si>
  <si>
    <t>3 arrays</t>
  </si>
  <si>
    <t>Thermal Straps</t>
  </si>
  <si>
    <t>4-K</t>
  </si>
  <si>
    <t>2-K structure</t>
  </si>
  <si>
    <t>2-K cooler</t>
  </si>
  <si>
    <t>Cooler</t>
  </si>
  <si>
    <t>Baffles</t>
  </si>
  <si>
    <t>4-K Baffles</t>
  </si>
  <si>
    <t>2-K Baffles</t>
  </si>
  <si>
    <t>Harness</t>
  </si>
  <si>
    <t>2 arrays</t>
  </si>
  <si>
    <t>Mechanism</t>
  </si>
  <si>
    <t>Structure</t>
  </si>
  <si>
    <t>Motor</t>
  </si>
  <si>
    <t>Total Spect.</t>
  </si>
  <si>
    <t>Total Phot.</t>
  </si>
  <si>
    <t>Spect 4K</t>
  </si>
  <si>
    <t>Phot 4K</t>
  </si>
  <si>
    <t>Phot 2K</t>
  </si>
  <si>
    <t>Spect 2K</t>
  </si>
  <si>
    <t>Total with cont.</t>
  </si>
  <si>
    <t>With cont.</t>
  </si>
  <si>
    <t>With cont</t>
  </si>
  <si>
    <t>Structure Alloc.</t>
  </si>
  <si>
    <t>Total HW 4K</t>
  </si>
  <si>
    <t>Total HW 2K</t>
  </si>
  <si>
    <t>Total HW + Cover</t>
  </si>
  <si>
    <t>Total HW +cover</t>
  </si>
  <si>
    <t>Calibration source</t>
  </si>
  <si>
    <t>Source and mount</t>
  </si>
  <si>
    <t>Shutter</t>
  </si>
  <si>
    <t>Shutter mech and mount</t>
  </si>
  <si>
    <t>4-K Mass</t>
  </si>
  <si>
    <t>2-K Mass</t>
  </si>
  <si>
    <t>Size z</t>
  </si>
  <si>
    <t>Size y or Diam</t>
  </si>
  <si>
    <t>Area (cm2)</t>
  </si>
  <si>
    <t>Volume (6:1)</t>
  </si>
  <si>
    <t>Raw Mass</t>
  </si>
  <si>
    <t>Mass estimate of new photometer spectrometer layout using mirror sizes+20% and aspect ratio of 6:1 for small mirrors and 12:1 for big ones.</t>
  </si>
  <si>
    <t>Adopted Mass</t>
  </si>
  <si>
    <t>Array Harness 800</t>
  </si>
  <si>
    <t>The rest of the harness 200</t>
  </si>
  <si>
    <t xml:space="preserve"> </t>
  </si>
  <si>
    <t>CIPM (M3)</t>
  </si>
  <si>
    <t>CBSM (M4)</t>
  </si>
  <si>
    <t>CRIM (M5)</t>
  </si>
  <si>
    <t>PFMR (M6)</t>
  </si>
  <si>
    <t>POPR-1 (M7)</t>
  </si>
  <si>
    <t>POPR-1 (M8)</t>
  </si>
  <si>
    <t>POPR-3 (M9)</t>
  </si>
  <si>
    <t>PFLW (Fold)</t>
  </si>
  <si>
    <t>PFSW (Fold)</t>
  </si>
  <si>
    <t>CFIL-1</t>
  </si>
  <si>
    <t>CFIL-2</t>
  </si>
  <si>
    <t>PFIL-3</t>
  </si>
  <si>
    <t>PDIC-1</t>
  </si>
  <si>
    <t>PDIC-2</t>
  </si>
  <si>
    <t>SPOM</t>
  </si>
  <si>
    <t>SIFM-A</t>
  </si>
  <si>
    <t>SCOL-A</t>
  </si>
  <si>
    <t>SCOL-B</t>
  </si>
  <si>
    <t>SFM1-A and SFM2-A</t>
  </si>
  <si>
    <t>SFM1-B and SFM2-B</t>
  </si>
  <si>
    <t>SRTP-A</t>
  </si>
  <si>
    <t>SRTP-B</t>
  </si>
  <si>
    <t>SCAM-A</t>
  </si>
  <si>
    <t>SCAM-B</t>
  </si>
  <si>
    <t>SBDI-1</t>
  </si>
  <si>
    <t>SBDI-2</t>
  </si>
  <si>
    <t>SFIL-3S</t>
  </si>
  <si>
    <t>SFIL-3L</t>
  </si>
  <si>
    <t>Rf Filters</t>
  </si>
  <si>
    <t>JFET Modules (300 dets)</t>
  </si>
  <si>
    <t>JFET Box</t>
  </si>
  <si>
    <t>2 Total</t>
  </si>
  <si>
    <t>4 Total</t>
  </si>
  <si>
    <t>Grand Total</t>
  </si>
  <si>
    <t>What we told ESA now including JFET Box</t>
  </si>
  <si>
    <t>Total cold FPU no contingency</t>
  </si>
  <si>
    <t>Total cold FPU with contingency</t>
  </si>
  <si>
    <t>BSM Mech and bracket</t>
  </si>
  <si>
    <t>Likely Structure+fasteners</t>
  </si>
  <si>
    <t>Cold FPU Likely total</t>
  </si>
  <si>
    <t>Mass estimate</t>
  </si>
  <si>
    <t>V1.0</t>
  </si>
  <si>
    <t>Bruce Swinyard &amp; Colin Cunningham</t>
  </si>
  <si>
    <t>Items</t>
  </si>
  <si>
    <t>Difference</t>
  </si>
  <si>
    <t>Instrument</t>
  </si>
  <si>
    <t>Photometer</t>
  </si>
  <si>
    <t>Cooler Straps</t>
  </si>
  <si>
    <t>BSM</t>
  </si>
  <si>
    <t>Spectrometer</t>
  </si>
  <si>
    <t>TOTAL</t>
  </si>
  <si>
    <t>Spectrometer hardware:</t>
  </si>
  <si>
    <t>Calibration Source</t>
  </si>
  <si>
    <t>Total Hardware</t>
  </si>
  <si>
    <t>Photometer Calibrator</t>
  </si>
  <si>
    <t>Array Harness 400</t>
  </si>
  <si>
    <t>Total</t>
  </si>
  <si>
    <t>Phot Structure</t>
  </si>
  <si>
    <t>Cover</t>
  </si>
  <si>
    <t>Detector Box</t>
  </si>
  <si>
    <t>Mounts, Clamps</t>
  </si>
  <si>
    <t>Spec. Cover</t>
  </si>
  <si>
    <t>Spec. detector box</t>
  </si>
  <si>
    <t>Mounts, clamps</t>
  </si>
  <si>
    <t>Includes Structure estimates: v0.11</t>
  </si>
  <si>
    <t>Common Structure</t>
  </si>
  <si>
    <t>Optical Bench</t>
  </si>
  <si>
    <t>Mounting</t>
  </si>
  <si>
    <t>RF seal</t>
  </si>
  <si>
    <t xml:space="preserve">Total Common </t>
  </si>
  <si>
    <t>Mounts,clamps</t>
  </si>
  <si>
    <t>Detector box</t>
  </si>
  <si>
    <t>Common</t>
  </si>
  <si>
    <t>JFET I/F structure</t>
  </si>
  <si>
    <t>Cooler I/F</t>
  </si>
  <si>
    <t>Allocation</t>
  </si>
  <si>
    <t>Inc Contingency</t>
  </si>
  <si>
    <t>Contingency %</t>
  </si>
  <si>
    <t>FTB</t>
  </si>
  <si>
    <t>4-11</t>
  </si>
  <si>
    <t>Strap Baffles</t>
  </si>
  <si>
    <t>Custodian:</t>
  </si>
  <si>
    <t>Colin Cunningham</t>
  </si>
  <si>
    <t>Request to ESA (8/6/00)</t>
  </si>
  <si>
    <t>Offer by ESA (8/6/00)</t>
  </si>
  <si>
    <t>All in grammes</t>
  </si>
  <si>
    <t>Note: Structure estimates: V0.11 by Berend Winter</t>
  </si>
  <si>
    <t>STRC</t>
  </si>
  <si>
    <t>MSSL</t>
  </si>
  <si>
    <t>BSM (&amp; support)</t>
  </si>
  <si>
    <t>OPT</t>
  </si>
  <si>
    <t>LAM</t>
  </si>
  <si>
    <t>FILT</t>
  </si>
  <si>
    <t>QMW</t>
  </si>
  <si>
    <t>COOL</t>
  </si>
  <si>
    <t>CEA</t>
  </si>
  <si>
    <t>DETP</t>
  </si>
  <si>
    <t>JPL</t>
  </si>
  <si>
    <t>DETS</t>
  </si>
  <si>
    <t>ATC</t>
  </si>
  <si>
    <t>SCAL</t>
  </si>
  <si>
    <t>GSFC</t>
  </si>
  <si>
    <t>PCAL</t>
  </si>
  <si>
    <t>SHUT</t>
  </si>
  <si>
    <t>USK</t>
  </si>
  <si>
    <t>RFFILT</t>
  </si>
  <si>
    <t>RF Filters &amp; Box</t>
  </si>
  <si>
    <t>FSFTB</t>
  </si>
  <si>
    <t>JPL/MSSL?</t>
  </si>
  <si>
    <t>Temp. K</t>
  </si>
  <si>
    <t>Work-package</t>
  </si>
  <si>
    <t>FTS</t>
  </si>
  <si>
    <t>Respons-ible</t>
  </si>
  <si>
    <t>Mass Estimate</t>
  </si>
  <si>
    <t>Mass Budget FOB</t>
  </si>
  <si>
    <t>Mass Budget SVM</t>
  </si>
  <si>
    <t>Digital Processing Unit</t>
  </si>
  <si>
    <t>DPU</t>
  </si>
  <si>
    <t>IFSI</t>
  </si>
  <si>
    <t>Detector Read-out &amp; Control Unit</t>
  </si>
  <si>
    <t>DRCU</t>
  </si>
  <si>
    <t>Warm Interconnect Harness</t>
  </si>
  <si>
    <t>WIH</t>
  </si>
  <si>
    <t>TOTAL FPU</t>
  </si>
  <si>
    <t>TOTAL FTB</t>
  </si>
  <si>
    <t>Allocations should be used as design targets. I will consider issuing contingency to each subsystem as designs mature, on a case by case basis. Any items added to the list will be allocated budgets which will come out of the contingency.</t>
  </si>
  <si>
    <t>Thermal Loads on FOB</t>
  </si>
  <si>
    <t>Stage</t>
  </si>
  <si>
    <t>Item</t>
  </si>
  <si>
    <t>Standby</t>
  </si>
  <si>
    <t>OFF</t>
  </si>
  <si>
    <t>PHOT</t>
  </si>
  <si>
    <t>SPEC</t>
  </si>
  <si>
    <t>Level 2</t>
  </si>
  <si>
    <t>Level 1</t>
  </si>
  <si>
    <t>Wires</t>
  </si>
  <si>
    <t>Radiation</t>
  </si>
  <si>
    <t>Mechanisms &amp; calibrators</t>
  </si>
  <si>
    <t>Level 0</t>
  </si>
  <si>
    <t>Dissipation</t>
  </si>
  <si>
    <t>Mode</t>
  </si>
  <si>
    <t>Estimate</t>
  </si>
  <si>
    <t>Loads in mW</t>
  </si>
  <si>
    <t>Contingency</t>
  </si>
  <si>
    <t>Cooler (average over 48 hours)</t>
  </si>
  <si>
    <t>Cooler Switch supports</t>
  </si>
  <si>
    <t>Needs completion: estimates and contingency</t>
  </si>
  <si>
    <t>Dissipation on SVM</t>
  </si>
  <si>
    <t>FSDRC</t>
  </si>
  <si>
    <t>Detector Read-out and Control Unit</t>
  </si>
  <si>
    <t>FSDPU</t>
  </si>
  <si>
    <t>Unit</t>
  </si>
  <si>
    <t>FSWIR</t>
  </si>
  <si>
    <t>Dissipation in W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</si>
</sst>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/>
    </xf>
    <xf numFmtId="1" fontId="7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" fontId="7" fillId="0" borderId="2" xfId="0" applyNumberFormat="1" applyFont="1" applyBorder="1" applyAlignment="1" quotePrefix="1">
      <alignment horizontal="right"/>
    </xf>
    <xf numFmtId="0" fontId="7" fillId="0" borderId="3" xfId="0" applyFont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1" fontId="6" fillId="3" borderId="7" xfId="0" applyNumberFormat="1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1" fontId="7" fillId="3" borderId="8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" fontId="7" fillId="3" borderId="2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/>
    </xf>
    <xf numFmtId="1" fontId="6" fillId="3" borderId="2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15" fontId="6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34">
      <selection activeCell="D63" sqref="D63"/>
    </sheetView>
  </sheetViews>
  <sheetFormatPr defaultColWidth="9.140625" defaultRowHeight="12.75"/>
  <cols>
    <col min="1" max="1" width="15.140625" style="0" customWidth="1"/>
    <col min="2" max="2" width="10.00390625" style="0" customWidth="1"/>
    <col min="3" max="3" width="7.8515625" style="0" customWidth="1"/>
    <col min="4" max="4" width="8.28125" style="0" customWidth="1"/>
    <col min="5" max="5" width="6.28125" style="0" customWidth="1"/>
    <col min="6" max="6" width="7.7109375" style="0" customWidth="1"/>
    <col min="8" max="8" width="9.421875" style="0" customWidth="1"/>
    <col min="9" max="9" width="10.7109375" style="0" customWidth="1"/>
    <col min="10" max="10" width="11.140625" style="0" customWidth="1"/>
  </cols>
  <sheetData>
    <row r="1" spans="1:10" ht="12.75">
      <c r="A1" s="16" t="s">
        <v>164</v>
      </c>
      <c r="B1" s="16" t="s">
        <v>91</v>
      </c>
      <c r="C1" s="16" t="s">
        <v>135</v>
      </c>
      <c r="D1" s="17"/>
      <c r="E1" s="58">
        <v>36685</v>
      </c>
      <c r="F1" s="57"/>
      <c r="G1" s="17" t="s">
        <v>131</v>
      </c>
      <c r="H1" s="17" t="s">
        <v>132</v>
      </c>
      <c r="I1" s="17"/>
      <c r="J1" s="17"/>
    </row>
    <row r="2" spans="1:10" ht="12.75">
      <c r="A2" s="17" t="s">
        <v>136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5" customFormat="1" ht="25.5" customHeight="1">
      <c r="A3" s="18" t="s">
        <v>93</v>
      </c>
      <c r="B3" s="18" t="s">
        <v>95</v>
      </c>
      <c r="C3" s="18" t="s">
        <v>160</v>
      </c>
      <c r="D3" s="18" t="s">
        <v>162</v>
      </c>
      <c r="E3" s="18" t="s">
        <v>159</v>
      </c>
      <c r="F3" s="18" t="s">
        <v>163</v>
      </c>
      <c r="G3" s="18" t="s">
        <v>125</v>
      </c>
      <c r="H3" s="18" t="s">
        <v>94</v>
      </c>
      <c r="I3" s="18" t="s">
        <v>127</v>
      </c>
      <c r="J3" s="18" t="s">
        <v>126</v>
      </c>
    </row>
    <row r="4" spans="1:10" ht="12.75">
      <c r="A4" s="19" t="s">
        <v>1</v>
      </c>
      <c r="B4" s="19" t="s">
        <v>96</v>
      </c>
      <c r="C4" s="19" t="s">
        <v>140</v>
      </c>
      <c r="D4" s="19" t="s">
        <v>141</v>
      </c>
      <c r="E4" s="19">
        <v>4</v>
      </c>
      <c r="F4" s="20">
        <f>SUM('Detail (FOB)'!I7:I12)</f>
        <v>1140.2547436519058</v>
      </c>
      <c r="G4" s="19">
        <v>1200</v>
      </c>
      <c r="H4" s="20">
        <f>+G4-F4</f>
        <v>59.745256348094244</v>
      </c>
      <c r="I4" s="20">
        <v>20</v>
      </c>
      <c r="J4" s="19">
        <f>+G4*(1+I4/100)</f>
        <v>1440</v>
      </c>
    </row>
    <row r="5" spans="1:10" ht="12.75">
      <c r="A5" s="19" t="s">
        <v>1</v>
      </c>
      <c r="B5" s="19" t="s">
        <v>96</v>
      </c>
      <c r="C5" s="19" t="s">
        <v>140</v>
      </c>
      <c r="D5" s="19" t="s">
        <v>141</v>
      </c>
      <c r="E5" s="19">
        <v>2</v>
      </c>
      <c r="F5" s="20">
        <f>SUM('Detail (FOB)'!I13:I15)</f>
        <v>510.5088</v>
      </c>
      <c r="G5" s="20">
        <v>520</v>
      </c>
      <c r="H5" s="20">
        <f aca="true" t="shared" si="0" ref="H5:H46">+G5-F5</f>
        <v>9.491199999999992</v>
      </c>
      <c r="I5" s="20">
        <v>20</v>
      </c>
      <c r="J5" s="19">
        <f>+G5*(1+I5/100)</f>
        <v>624</v>
      </c>
    </row>
    <row r="6" spans="1:10" ht="12.75">
      <c r="A6" s="19" t="s">
        <v>4</v>
      </c>
      <c r="B6" s="19" t="s">
        <v>96</v>
      </c>
      <c r="C6" s="19" t="s">
        <v>142</v>
      </c>
      <c r="D6" s="19" t="s">
        <v>143</v>
      </c>
      <c r="E6" s="19">
        <v>4</v>
      </c>
      <c r="F6" s="19">
        <f>SUM('Detail (FOB)'!B17:B19)</f>
        <v>100</v>
      </c>
      <c r="G6" s="19">
        <v>100</v>
      </c>
      <c r="H6" s="20">
        <f t="shared" si="0"/>
        <v>0</v>
      </c>
      <c r="I6" s="20">
        <v>20</v>
      </c>
      <c r="J6" s="19">
        <f>+G6*(1+I6/100)</f>
        <v>120</v>
      </c>
    </row>
    <row r="7" spans="1:10" ht="12.75">
      <c r="A7" s="19" t="s">
        <v>4</v>
      </c>
      <c r="B7" s="19" t="s">
        <v>96</v>
      </c>
      <c r="C7" s="19" t="s">
        <v>142</v>
      </c>
      <c r="D7" s="19" t="s">
        <v>143</v>
      </c>
      <c r="E7" s="19">
        <v>2</v>
      </c>
      <c r="F7" s="19">
        <f>SUM('Detail (FOB)'!B20:B22)</f>
        <v>150</v>
      </c>
      <c r="G7" s="19">
        <v>150</v>
      </c>
      <c r="H7" s="20">
        <f t="shared" si="0"/>
        <v>0</v>
      </c>
      <c r="I7" s="20">
        <v>20</v>
      </c>
      <c r="J7" s="19">
        <f>+G7*(1+I7/100)</f>
        <v>180</v>
      </c>
    </row>
    <row r="8" spans="1:10" ht="12.75">
      <c r="A8" s="19" t="s">
        <v>5</v>
      </c>
      <c r="B8" s="19" t="s">
        <v>96</v>
      </c>
      <c r="C8" s="19" t="s">
        <v>146</v>
      </c>
      <c r="D8" s="19" t="s">
        <v>147</v>
      </c>
      <c r="E8" s="19">
        <v>2</v>
      </c>
      <c r="F8" s="19">
        <f>SUM('Detail (FOB)'!B24)</f>
        <v>1500</v>
      </c>
      <c r="G8" s="19">
        <v>1500</v>
      </c>
      <c r="H8" s="20">
        <f t="shared" si="0"/>
        <v>0</v>
      </c>
      <c r="I8" s="20">
        <v>20</v>
      </c>
      <c r="J8" s="19">
        <f>+G8*(1+I8/100)</f>
        <v>1800</v>
      </c>
    </row>
    <row r="9" spans="1:10" ht="12.75">
      <c r="A9" s="19" t="s">
        <v>7</v>
      </c>
      <c r="B9" s="19" t="s">
        <v>96</v>
      </c>
      <c r="C9" s="19" t="s">
        <v>137</v>
      </c>
      <c r="D9" s="19" t="s">
        <v>138</v>
      </c>
      <c r="E9" s="19">
        <v>4</v>
      </c>
      <c r="F9" s="19">
        <f>SUM('Detail (FOB)'!B26)</f>
        <v>300</v>
      </c>
      <c r="G9" s="19">
        <v>300</v>
      </c>
      <c r="H9" s="20">
        <f t="shared" si="0"/>
        <v>0</v>
      </c>
      <c r="I9" s="20">
        <v>20</v>
      </c>
      <c r="J9" s="19">
        <f aca="true" t="shared" si="1" ref="J9:J22">+G9*(1+I9/100)</f>
        <v>360</v>
      </c>
    </row>
    <row r="10" spans="1:10" ht="12.75">
      <c r="A10" s="19" t="s">
        <v>7</v>
      </c>
      <c r="B10" s="19" t="s">
        <v>96</v>
      </c>
      <c r="C10" s="19" t="s">
        <v>137</v>
      </c>
      <c r="D10" s="19" t="s">
        <v>138</v>
      </c>
      <c r="E10" s="19">
        <v>2</v>
      </c>
      <c r="F10" s="19">
        <f>SUM('Detail (FOB)'!B27:B28)</f>
        <v>600</v>
      </c>
      <c r="G10" s="19">
        <v>600</v>
      </c>
      <c r="H10" s="20">
        <f t="shared" si="0"/>
        <v>0</v>
      </c>
      <c r="I10" s="20">
        <v>20</v>
      </c>
      <c r="J10" s="19">
        <f t="shared" si="1"/>
        <v>720</v>
      </c>
    </row>
    <row r="11" spans="1:10" ht="12.75">
      <c r="A11" s="19" t="s">
        <v>11</v>
      </c>
      <c r="B11" s="19" t="s">
        <v>96</v>
      </c>
      <c r="C11" s="19" t="s">
        <v>144</v>
      </c>
      <c r="D11" s="19" t="s">
        <v>145</v>
      </c>
      <c r="E11" s="19">
        <v>4</v>
      </c>
      <c r="F11" s="19">
        <f>SUM('Detail (FOB)'!B30)</f>
        <v>800</v>
      </c>
      <c r="G11" s="19">
        <v>800</v>
      </c>
      <c r="H11" s="20">
        <f t="shared" si="0"/>
        <v>0</v>
      </c>
      <c r="I11" s="20">
        <v>20</v>
      </c>
      <c r="J11" s="19">
        <f t="shared" si="1"/>
        <v>960</v>
      </c>
    </row>
    <row r="12" spans="1:10" ht="12.75">
      <c r="A12" s="19" t="s">
        <v>97</v>
      </c>
      <c r="B12" s="19" t="s">
        <v>96</v>
      </c>
      <c r="C12" s="19" t="s">
        <v>137</v>
      </c>
      <c r="D12" s="19" t="s">
        <v>138</v>
      </c>
      <c r="E12" s="19">
        <v>2</v>
      </c>
      <c r="F12" s="19">
        <f>SUM('Detail (FOB)'!B31)</f>
        <v>500</v>
      </c>
      <c r="G12" s="19">
        <v>500</v>
      </c>
      <c r="H12" s="20">
        <f t="shared" si="0"/>
        <v>0</v>
      </c>
      <c r="I12" s="20">
        <v>20</v>
      </c>
      <c r="J12" s="19">
        <f t="shared" si="1"/>
        <v>600</v>
      </c>
    </row>
    <row r="13" spans="1:10" ht="12.75">
      <c r="A13" s="19" t="s">
        <v>12</v>
      </c>
      <c r="B13" s="19" t="s">
        <v>96</v>
      </c>
      <c r="C13" s="19" t="s">
        <v>137</v>
      </c>
      <c r="D13" s="19" t="s">
        <v>138</v>
      </c>
      <c r="E13" s="19">
        <v>4</v>
      </c>
      <c r="F13" s="19">
        <f>SUM('Detail (FOB)'!B33)</f>
        <v>500</v>
      </c>
      <c r="G13" s="19">
        <v>500</v>
      </c>
      <c r="H13" s="20">
        <f t="shared" si="0"/>
        <v>0</v>
      </c>
      <c r="I13" s="20">
        <v>20</v>
      </c>
      <c r="J13" s="19">
        <f t="shared" si="1"/>
        <v>600</v>
      </c>
    </row>
    <row r="14" spans="1:10" ht="12.75">
      <c r="A14" s="19" t="s">
        <v>12</v>
      </c>
      <c r="B14" s="19" t="s">
        <v>96</v>
      </c>
      <c r="C14" s="19" t="s">
        <v>137</v>
      </c>
      <c r="D14" s="19" t="s">
        <v>138</v>
      </c>
      <c r="E14" s="19">
        <v>2</v>
      </c>
      <c r="F14" s="19">
        <f>SUM('Detail (FOB)'!B34)</f>
        <v>200</v>
      </c>
      <c r="G14" s="19">
        <v>200</v>
      </c>
      <c r="H14" s="20">
        <f t="shared" si="0"/>
        <v>0</v>
      </c>
      <c r="I14" s="20">
        <v>20</v>
      </c>
      <c r="J14" s="19">
        <f t="shared" si="1"/>
        <v>240</v>
      </c>
    </row>
    <row r="15" spans="1:10" ht="12.75">
      <c r="A15" s="19" t="s">
        <v>102</v>
      </c>
      <c r="B15" s="19" t="s">
        <v>96</v>
      </c>
      <c r="C15" s="19" t="s">
        <v>152</v>
      </c>
      <c r="D15" s="19" t="s">
        <v>151</v>
      </c>
      <c r="E15" s="19">
        <v>4</v>
      </c>
      <c r="F15" s="19">
        <f>SUM('Detail (FOB)'!B35)</f>
        <v>30</v>
      </c>
      <c r="G15" s="19">
        <v>30</v>
      </c>
      <c r="H15" s="20">
        <f t="shared" si="0"/>
        <v>0</v>
      </c>
      <c r="I15" s="20">
        <v>20</v>
      </c>
      <c r="J15" s="19">
        <f t="shared" si="1"/>
        <v>36</v>
      </c>
    </row>
    <row r="16" spans="1:10" ht="12.75">
      <c r="A16" s="19" t="s">
        <v>15</v>
      </c>
      <c r="B16" s="19" t="s">
        <v>96</v>
      </c>
      <c r="C16" s="19" t="s">
        <v>146</v>
      </c>
      <c r="D16" s="19" t="s">
        <v>147</v>
      </c>
      <c r="E16" s="19">
        <v>4</v>
      </c>
      <c r="F16" s="19">
        <f>SUM('Detail (FOB)'!B37:B38)</f>
        <v>500</v>
      </c>
      <c r="G16" s="19">
        <v>500</v>
      </c>
      <c r="H16" s="20">
        <f t="shared" si="0"/>
        <v>0</v>
      </c>
      <c r="I16" s="20">
        <v>20</v>
      </c>
      <c r="J16" s="19">
        <f t="shared" si="1"/>
        <v>600</v>
      </c>
    </row>
    <row r="17" spans="1:10" ht="12.75">
      <c r="A17" s="19" t="s">
        <v>139</v>
      </c>
      <c r="B17" s="19" t="s">
        <v>96</v>
      </c>
      <c r="C17" s="19" t="s">
        <v>98</v>
      </c>
      <c r="D17" s="19" t="s">
        <v>149</v>
      </c>
      <c r="E17" s="19">
        <v>4</v>
      </c>
      <c r="F17" s="19">
        <f>'Detail (FOB)'!B40</f>
        <v>1100</v>
      </c>
      <c r="G17" s="19">
        <v>1100</v>
      </c>
      <c r="H17" s="20">
        <f t="shared" si="0"/>
        <v>0</v>
      </c>
      <c r="I17" s="20">
        <v>20</v>
      </c>
      <c r="J17" s="19">
        <f t="shared" si="1"/>
        <v>1320</v>
      </c>
    </row>
    <row r="18" spans="1:10" ht="12.75">
      <c r="A18" s="19" t="s">
        <v>36</v>
      </c>
      <c r="B18" s="19" t="s">
        <v>96</v>
      </c>
      <c r="C18" s="19" t="s">
        <v>153</v>
      </c>
      <c r="D18" s="19" t="s">
        <v>154</v>
      </c>
      <c r="E18" s="19">
        <v>4</v>
      </c>
      <c r="F18" s="19">
        <f>SUM('Detail (FOB)'!B42)</f>
        <v>200</v>
      </c>
      <c r="G18" s="19">
        <v>200</v>
      </c>
      <c r="H18" s="20">
        <f t="shared" si="0"/>
        <v>0</v>
      </c>
      <c r="I18" s="20">
        <v>20</v>
      </c>
      <c r="J18" s="19">
        <f t="shared" si="1"/>
        <v>240</v>
      </c>
    </row>
    <row r="19" spans="1:10" ht="12.75">
      <c r="A19" s="19" t="s">
        <v>156</v>
      </c>
      <c r="B19" s="19" t="s">
        <v>96</v>
      </c>
      <c r="C19" s="19" t="s">
        <v>155</v>
      </c>
      <c r="D19" s="19" t="s">
        <v>147</v>
      </c>
      <c r="E19" s="19">
        <v>4</v>
      </c>
      <c r="F19" s="19">
        <f>+'Detail (FOB)'!B43</f>
        <v>1500</v>
      </c>
      <c r="G19" s="19">
        <v>1500</v>
      </c>
      <c r="H19" s="20">
        <f t="shared" si="0"/>
        <v>0</v>
      </c>
      <c r="I19" s="20">
        <v>20</v>
      </c>
      <c r="J19" s="19">
        <f t="shared" si="1"/>
        <v>1800</v>
      </c>
    </row>
    <row r="20" spans="1:10" ht="12.75">
      <c r="A20" s="19" t="s">
        <v>108</v>
      </c>
      <c r="B20" s="19" t="s">
        <v>96</v>
      </c>
      <c r="C20" s="19" t="s">
        <v>137</v>
      </c>
      <c r="D20" s="19" t="s">
        <v>138</v>
      </c>
      <c r="E20" s="19">
        <v>4</v>
      </c>
      <c r="F20" s="19">
        <f>+'Detail (FOB)'!B45</f>
        <v>7430</v>
      </c>
      <c r="G20" s="19">
        <v>7500</v>
      </c>
      <c r="H20" s="20">
        <f t="shared" si="0"/>
        <v>70</v>
      </c>
      <c r="I20" s="20">
        <v>20</v>
      </c>
      <c r="J20" s="19">
        <f t="shared" si="1"/>
        <v>9000</v>
      </c>
    </row>
    <row r="21" spans="1:10" ht="12.75">
      <c r="A21" s="19" t="s">
        <v>109</v>
      </c>
      <c r="B21" s="19" t="s">
        <v>96</v>
      </c>
      <c r="C21" s="19" t="s">
        <v>137</v>
      </c>
      <c r="D21" s="19" t="s">
        <v>138</v>
      </c>
      <c r="E21" s="19">
        <v>2</v>
      </c>
      <c r="F21" s="19">
        <f>+'Detail (FOB)'!B46</f>
        <v>1580</v>
      </c>
      <c r="G21" s="19">
        <v>1600</v>
      </c>
      <c r="H21" s="20">
        <f t="shared" si="0"/>
        <v>20</v>
      </c>
      <c r="I21" s="20">
        <v>20</v>
      </c>
      <c r="J21" s="19">
        <f t="shared" si="1"/>
        <v>1920</v>
      </c>
    </row>
    <row r="22" spans="1:10" ht="12.75">
      <c r="A22" s="19" t="s">
        <v>120</v>
      </c>
      <c r="B22" s="19" t="s">
        <v>96</v>
      </c>
      <c r="C22" s="19" t="s">
        <v>137</v>
      </c>
      <c r="D22" s="19" t="s">
        <v>138</v>
      </c>
      <c r="E22" s="19"/>
      <c r="F22" s="19">
        <f>+'Detail (FOB)'!B47</f>
        <v>1040</v>
      </c>
      <c r="G22" s="19">
        <v>1050</v>
      </c>
      <c r="H22" s="20">
        <f t="shared" si="0"/>
        <v>10</v>
      </c>
      <c r="I22" s="20">
        <v>20</v>
      </c>
      <c r="J22" s="19">
        <f t="shared" si="1"/>
        <v>1260</v>
      </c>
    </row>
    <row r="23" spans="1:10" ht="12.75">
      <c r="A23" s="19" t="s">
        <v>100</v>
      </c>
      <c r="B23" s="19" t="s">
        <v>96</v>
      </c>
      <c r="C23" s="19"/>
      <c r="D23" s="19"/>
      <c r="E23" s="19"/>
      <c r="F23" s="21">
        <f>SUM(F4:F22)</f>
        <v>19680.763543651905</v>
      </c>
      <c r="G23" s="21">
        <f>SUM(G4:G22)</f>
        <v>19850</v>
      </c>
      <c r="H23" s="20">
        <f t="shared" si="0"/>
        <v>169.2364563480951</v>
      </c>
      <c r="I23" s="20"/>
      <c r="J23" s="21">
        <f>SUM(J4:J22)</f>
        <v>23820</v>
      </c>
    </row>
    <row r="24" spans="1:10" ht="12.75">
      <c r="A24" s="17"/>
      <c r="B24" s="17"/>
      <c r="C24" s="17"/>
      <c r="D24" s="17"/>
      <c r="E24" s="17"/>
      <c r="F24" s="22"/>
      <c r="G24" s="17"/>
      <c r="H24" s="17"/>
      <c r="I24" s="17"/>
      <c r="J24" s="17"/>
    </row>
    <row r="25" spans="1:10" ht="12.75">
      <c r="A25" s="19" t="s">
        <v>1</v>
      </c>
      <c r="B25" s="19" t="s">
        <v>99</v>
      </c>
      <c r="C25" s="19" t="s">
        <v>140</v>
      </c>
      <c r="D25" s="19" t="s">
        <v>141</v>
      </c>
      <c r="E25" s="19">
        <v>4</v>
      </c>
      <c r="F25" s="20">
        <f>SUM('Detail (FOB)'!I52:I62)</f>
        <v>1078.3343181554756</v>
      </c>
      <c r="G25" s="19">
        <v>1100</v>
      </c>
      <c r="H25" s="20">
        <f t="shared" si="0"/>
        <v>21.665681844524443</v>
      </c>
      <c r="I25" s="20">
        <v>20</v>
      </c>
      <c r="J25" s="19">
        <f aca="true" t="shared" si="2" ref="J25:J34">+G25*(1+I25/100)</f>
        <v>1320</v>
      </c>
    </row>
    <row r="26" spans="1:10" ht="12.75">
      <c r="A26" s="19" t="s">
        <v>4</v>
      </c>
      <c r="B26" s="19" t="s">
        <v>99</v>
      </c>
      <c r="C26" s="19" t="s">
        <v>142</v>
      </c>
      <c r="D26" s="19" t="s">
        <v>143</v>
      </c>
      <c r="E26" s="19">
        <v>4</v>
      </c>
      <c r="F26" s="19">
        <f>SUM('Detail (FOB)'!B64:B67)</f>
        <v>200</v>
      </c>
      <c r="G26" s="19">
        <v>200</v>
      </c>
      <c r="H26" s="20">
        <f t="shared" si="0"/>
        <v>0</v>
      </c>
      <c r="I26" s="20">
        <v>20</v>
      </c>
      <c r="J26" s="19">
        <f t="shared" si="2"/>
        <v>240</v>
      </c>
    </row>
    <row r="27" spans="1:10" ht="12" customHeight="1">
      <c r="A27" s="19" t="s">
        <v>5</v>
      </c>
      <c r="B27" s="19" t="s">
        <v>99</v>
      </c>
      <c r="C27" s="19" t="s">
        <v>148</v>
      </c>
      <c r="D27" s="19" t="s">
        <v>147</v>
      </c>
      <c r="E27" s="19">
        <v>2</v>
      </c>
      <c r="F27" s="20">
        <f>SUM('Detail (FOB)'!B69)</f>
        <v>1000</v>
      </c>
      <c r="G27" s="19">
        <v>1000</v>
      </c>
      <c r="H27" s="20">
        <f t="shared" si="0"/>
        <v>0</v>
      </c>
      <c r="I27" s="20">
        <v>20</v>
      </c>
      <c r="J27" s="19">
        <f t="shared" si="2"/>
        <v>1200</v>
      </c>
    </row>
    <row r="28" spans="1:10" ht="12" customHeight="1">
      <c r="A28" s="19" t="s">
        <v>12</v>
      </c>
      <c r="B28" s="19" t="s">
        <v>99</v>
      </c>
      <c r="C28" s="19" t="s">
        <v>137</v>
      </c>
      <c r="D28" s="19" t="s">
        <v>138</v>
      </c>
      <c r="E28" s="19">
        <v>4</v>
      </c>
      <c r="F28" s="20">
        <f>SUM('Detail (FOB)'!B71)</f>
        <v>200</v>
      </c>
      <c r="G28" s="19">
        <v>200</v>
      </c>
      <c r="H28" s="20">
        <f t="shared" si="0"/>
        <v>0</v>
      </c>
      <c r="I28" s="20">
        <v>20</v>
      </c>
      <c r="J28" s="19">
        <f t="shared" si="2"/>
        <v>240</v>
      </c>
    </row>
    <row r="29" spans="1:10" ht="12" customHeight="1">
      <c r="A29" s="19" t="s">
        <v>15</v>
      </c>
      <c r="B29" s="19" t="s">
        <v>99</v>
      </c>
      <c r="C29" s="19" t="s">
        <v>148</v>
      </c>
      <c r="D29" s="19" t="s">
        <v>147</v>
      </c>
      <c r="E29" s="19">
        <v>4</v>
      </c>
      <c r="F29" s="20">
        <f>SUM('Detail (FOB)'!B73:B74)</f>
        <v>250</v>
      </c>
      <c r="G29" s="19">
        <v>250</v>
      </c>
      <c r="H29" s="20">
        <f t="shared" si="0"/>
        <v>0</v>
      </c>
      <c r="I29" s="20">
        <v>20</v>
      </c>
      <c r="J29" s="19">
        <f t="shared" si="2"/>
        <v>300</v>
      </c>
    </row>
    <row r="30" spans="1:10" ht="12.75">
      <c r="A30" s="19" t="s">
        <v>17</v>
      </c>
      <c r="B30" s="19" t="s">
        <v>99</v>
      </c>
      <c r="C30" s="19" t="s">
        <v>161</v>
      </c>
      <c r="D30" s="19" t="s">
        <v>141</v>
      </c>
      <c r="E30" s="19">
        <v>4</v>
      </c>
      <c r="F30" s="19">
        <f>SUM('Detail (FOB)'!B77:B78)</f>
        <v>1100</v>
      </c>
      <c r="G30" s="19">
        <v>1100</v>
      </c>
      <c r="H30" s="20">
        <f t="shared" si="0"/>
        <v>0</v>
      </c>
      <c r="I30" s="20">
        <v>20</v>
      </c>
      <c r="J30" s="19">
        <f t="shared" si="2"/>
        <v>1320</v>
      </c>
    </row>
    <row r="31" spans="1:10" ht="12.75">
      <c r="A31" s="19" t="s">
        <v>108</v>
      </c>
      <c r="B31" s="19" t="s">
        <v>99</v>
      </c>
      <c r="C31" s="19" t="s">
        <v>137</v>
      </c>
      <c r="D31" s="19" t="s">
        <v>138</v>
      </c>
      <c r="E31" s="19">
        <v>4</v>
      </c>
      <c r="F31" s="19">
        <f>+'Detail (FOB)'!B82</f>
        <v>5690</v>
      </c>
      <c r="G31" s="19">
        <v>5750</v>
      </c>
      <c r="H31" s="20">
        <f t="shared" si="0"/>
        <v>60</v>
      </c>
      <c r="I31" s="20">
        <v>20</v>
      </c>
      <c r="J31" s="19">
        <f t="shared" si="2"/>
        <v>6900</v>
      </c>
    </row>
    <row r="32" spans="1:10" ht="12.75">
      <c r="A32" s="19" t="s">
        <v>121</v>
      </c>
      <c r="B32" s="19" t="s">
        <v>99</v>
      </c>
      <c r="C32" s="19" t="s">
        <v>137</v>
      </c>
      <c r="D32" s="19" t="s">
        <v>138</v>
      </c>
      <c r="E32" s="19">
        <v>2</v>
      </c>
      <c r="F32" s="19">
        <f>+'Detail (FOB)'!B83</f>
        <v>1100</v>
      </c>
      <c r="G32" s="19">
        <v>1100</v>
      </c>
      <c r="H32" s="20">
        <f t="shared" si="0"/>
        <v>0</v>
      </c>
      <c r="I32" s="20">
        <v>20</v>
      </c>
      <c r="J32" s="19">
        <f t="shared" si="2"/>
        <v>1320</v>
      </c>
    </row>
    <row r="33" spans="1:10" ht="12.75">
      <c r="A33" s="19" t="s">
        <v>120</v>
      </c>
      <c r="B33" s="19" t="s">
        <v>99</v>
      </c>
      <c r="C33" s="19" t="s">
        <v>137</v>
      </c>
      <c r="D33" s="19" t="s">
        <v>138</v>
      </c>
      <c r="E33" s="19"/>
      <c r="F33" s="19">
        <f>+'Detail (FOB)'!B84</f>
        <v>1060</v>
      </c>
      <c r="G33" s="19">
        <v>1100</v>
      </c>
      <c r="H33" s="20">
        <f t="shared" si="0"/>
        <v>40</v>
      </c>
      <c r="I33" s="20">
        <v>20</v>
      </c>
      <c r="J33" s="19">
        <f t="shared" si="2"/>
        <v>1320</v>
      </c>
    </row>
    <row r="34" spans="1:10" ht="12.75">
      <c r="A34" s="19" t="s">
        <v>102</v>
      </c>
      <c r="B34" s="19" t="s">
        <v>99</v>
      </c>
      <c r="C34" s="19" t="s">
        <v>150</v>
      </c>
      <c r="D34" s="19" t="s">
        <v>151</v>
      </c>
      <c r="E34" s="19">
        <v>4</v>
      </c>
      <c r="F34" s="19">
        <f>SUM('Detail (FOB)'!B80)</f>
        <v>200</v>
      </c>
      <c r="G34" s="19">
        <v>200</v>
      </c>
      <c r="H34" s="20">
        <f t="shared" si="0"/>
        <v>0</v>
      </c>
      <c r="I34" s="20">
        <v>20</v>
      </c>
      <c r="J34" s="19">
        <f t="shared" si="2"/>
        <v>240</v>
      </c>
    </row>
    <row r="35" spans="1:10" ht="12.75">
      <c r="A35" s="19" t="s">
        <v>100</v>
      </c>
      <c r="B35" s="19" t="s">
        <v>99</v>
      </c>
      <c r="C35" s="19"/>
      <c r="D35" s="19"/>
      <c r="E35" s="19"/>
      <c r="F35" s="21">
        <f>SUM(F25:F34)</f>
        <v>11878.334318155476</v>
      </c>
      <c r="G35" s="21">
        <f>SUM(G25:G34)</f>
        <v>12000</v>
      </c>
      <c r="H35" s="20">
        <f t="shared" si="0"/>
        <v>121.66568184452444</v>
      </c>
      <c r="I35" s="20"/>
      <c r="J35" s="21">
        <f>SUM(J25:J34)</f>
        <v>14400</v>
      </c>
    </row>
    <row r="36" spans="1:10" ht="12.7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9" t="s">
        <v>116</v>
      </c>
      <c r="B37" s="19" t="s">
        <v>122</v>
      </c>
      <c r="C37" s="19" t="s">
        <v>137</v>
      </c>
      <c r="D37" s="19" t="s">
        <v>138</v>
      </c>
      <c r="E37" s="19">
        <v>4</v>
      </c>
      <c r="F37" s="20">
        <f>+'Detail (FOB)'!B88</f>
        <v>7100</v>
      </c>
      <c r="G37" s="19">
        <v>7100</v>
      </c>
      <c r="H37" s="20">
        <f t="shared" si="0"/>
        <v>0</v>
      </c>
      <c r="I37" s="20">
        <v>20</v>
      </c>
      <c r="J37" s="19">
        <f aca="true" t="shared" si="3" ref="J37:J47">+G37*(1+I37/100)</f>
        <v>8520</v>
      </c>
    </row>
    <row r="38" spans="1:10" ht="12.75">
      <c r="A38" s="19" t="s">
        <v>117</v>
      </c>
      <c r="B38" s="19" t="s">
        <v>122</v>
      </c>
      <c r="C38" s="19" t="s">
        <v>137</v>
      </c>
      <c r="D38" s="19" t="s">
        <v>138</v>
      </c>
      <c r="E38" s="19">
        <v>4</v>
      </c>
      <c r="F38" s="20">
        <f>+'Detail (FOB)'!B89</f>
        <v>570</v>
      </c>
      <c r="G38" s="19">
        <v>600</v>
      </c>
      <c r="H38" s="20">
        <f t="shared" si="0"/>
        <v>30</v>
      </c>
      <c r="I38" s="20">
        <v>20</v>
      </c>
      <c r="J38" s="19">
        <f t="shared" si="3"/>
        <v>720</v>
      </c>
    </row>
    <row r="39" spans="1:10" ht="12.75">
      <c r="A39" s="19" t="s">
        <v>118</v>
      </c>
      <c r="B39" s="19" t="s">
        <v>122</v>
      </c>
      <c r="C39" s="19" t="s">
        <v>137</v>
      </c>
      <c r="D39" s="19" t="s">
        <v>138</v>
      </c>
      <c r="E39" s="19">
        <v>4</v>
      </c>
      <c r="F39" s="20">
        <f>+'Detail (FOB)'!B90</f>
        <v>250</v>
      </c>
      <c r="G39" s="19">
        <v>250</v>
      </c>
      <c r="H39" s="20">
        <f t="shared" si="0"/>
        <v>0</v>
      </c>
      <c r="I39" s="20">
        <v>20</v>
      </c>
      <c r="J39" s="19">
        <f t="shared" si="3"/>
        <v>300</v>
      </c>
    </row>
    <row r="40" spans="1:10" ht="12.75">
      <c r="A40" s="19" t="s">
        <v>124</v>
      </c>
      <c r="B40" s="19" t="s">
        <v>122</v>
      </c>
      <c r="C40" s="19" t="s">
        <v>137</v>
      </c>
      <c r="D40" s="19" t="s">
        <v>138</v>
      </c>
      <c r="E40" s="19">
        <v>4</v>
      </c>
      <c r="F40" s="20">
        <v>100</v>
      </c>
      <c r="G40" s="19">
        <v>100</v>
      </c>
      <c r="H40" s="20">
        <f t="shared" si="0"/>
        <v>0</v>
      </c>
      <c r="I40" s="20">
        <v>20</v>
      </c>
      <c r="J40" s="19">
        <f t="shared" si="3"/>
        <v>120</v>
      </c>
    </row>
    <row r="41" spans="1:10" ht="12.75">
      <c r="A41" s="19" t="s">
        <v>130</v>
      </c>
      <c r="B41" s="19" t="s">
        <v>122</v>
      </c>
      <c r="C41" s="19" t="s">
        <v>137</v>
      </c>
      <c r="D41" s="19" t="s">
        <v>138</v>
      </c>
      <c r="E41" s="19">
        <v>4</v>
      </c>
      <c r="F41" s="20">
        <v>500</v>
      </c>
      <c r="G41" s="19">
        <v>500</v>
      </c>
      <c r="H41" s="20">
        <f>+G41-F41</f>
        <v>0</v>
      </c>
      <c r="I41" s="20">
        <v>20</v>
      </c>
      <c r="J41" s="19">
        <f t="shared" si="3"/>
        <v>600</v>
      </c>
    </row>
    <row r="42" spans="1:10" ht="13.5" thickBot="1">
      <c r="A42" s="19" t="s">
        <v>100</v>
      </c>
      <c r="B42" s="19" t="s">
        <v>122</v>
      </c>
      <c r="C42" s="19"/>
      <c r="D42" s="19"/>
      <c r="E42" s="19"/>
      <c r="F42" s="44">
        <f>SUM(F37:F41)</f>
        <v>8520</v>
      </c>
      <c r="G42" s="44">
        <f>SUM(G37:G41)</f>
        <v>8550</v>
      </c>
      <c r="H42" s="44">
        <f>SUM(H37:H41)</f>
        <v>30</v>
      </c>
      <c r="I42" s="20"/>
      <c r="J42" s="44">
        <f>SUM(J37:J41)</f>
        <v>10260</v>
      </c>
    </row>
    <row r="43" spans="1:10" ht="13.5" thickBot="1">
      <c r="A43" s="25" t="s">
        <v>173</v>
      </c>
      <c r="B43" s="26"/>
      <c r="C43" s="26"/>
      <c r="D43" s="26"/>
      <c r="E43" s="27"/>
      <c r="F43" s="28">
        <f>+F23+F35+F42</f>
        <v>40079.09786180738</v>
      </c>
      <c r="G43" s="28">
        <f>+G23+G35+G42</f>
        <v>40400</v>
      </c>
      <c r="H43" s="28">
        <f>+H23+H35+H42</f>
        <v>320.90213819261953</v>
      </c>
      <c r="I43" s="28"/>
      <c r="J43" s="28">
        <f>+J23+J35+J42</f>
        <v>48480</v>
      </c>
    </row>
    <row r="44" spans="1:10" ht="12.75">
      <c r="A44" s="29" t="s">
        <v>133</v>
      </c>
      <c r="B44" s="30"/>
      <c r="C44" s="31"/>
      <c r="D44" s="31"/>
      <c r="E44" s="32"/>
      <c r="F44" s="33"/>
      <c r="G44" s="34">
        <v>45000</v>
      </c>
      <c r="H44" s="29"/>
      <c r="I44" s="35">
        <v>20</v>
      </c>
      <c r="J44" s="34">
        <f>+G44*(1+I44/100)</f>
        <v>54000</v>
      </c>
    </row>
    <row r="45" spans="1:10" ht="12.75">
      <c r="A45" s="36" t="s">
        <v>134</v>
      </c>
      <c r="B45" s="37"/>
      <c r="C45" s="37"/>
      <c r="D45" s="37"/>
      <c r="E45" s="37"/>
      <c r="F45" s="38"/>
      <c r="G45" s="39">
        <v>42000</v>
      </c>
      <c r="H45" s="40"/>
      <c r="I45" s="41">
        <v>20</v>
      </c>
      <c r="J45" s="39">
        <f>+G45*(1+I45/100)</f>
        <v>50400</v>
      </c>
    </row>
    <row r="46" spans="1:10" ht="12.75">
      <c r="A46" s="19" t="s">
        <v>80</v>
      </c>
      <c r="B46" s="19" t="s">
        <v>128</v>
      </c>
      <c r="C46" s="19" t="s">
        <v>157</v>
      </c>
      <c r="D46" s="19" t="s">
        <v>147</v>
      </c>
      <c r="E46" s="19">
        <v>11</v>
      </c>
      <c r="F46" s="19">
        <f>SUM('Detail (FOB)'!B98:B99)</f>
        <v>5300</v>
      </c>
      <c r="G46" s="19">
        <v>5300</v>
      </c>
      <c r="H46" s="20">
        <f t="shared" si="0"/>
        <v>0</v>
      </c>
      <c r="I46" s="20">
        <v>20</v>
      </c>
      <c r="J46" s="19">
        <f t="shared" si="3"/>
        <v>6360</v>
      </c>
    </row>
    <row r="47" spans="1:10" ht="13.5" thickBot="1">
      <c r="A47" s="19" t="s">
        <v>123</v>
      </c>
      <c r="B47" s="19" t="s">
        <v>128</v>
      </c>
      <c r="C47" s="19" t="s">
        <v>157</v>
      </c>
      <c r="D47" s="19" t="s">
        <v>158</v>
      </c>
      <c r="E47" s="23" t="s">
        <v>129</v>
      </c>
      <c r="F47" s="19">
        <v>1000</v>
      </c>
      <c r="G47" s="19">
        <v>1200</v>
      </c>
      <c r="H47" s="20">
        <f>+G47-F47</f>
        <v>200</v>
      </c>
      <c r="I47" s="20">
        <v>20</v>
      </c>
      <c r="J47" s="19">
        <f t="shared" si="3"/>
        <v>1440</v>
      </c>
    </row>
    <row r="48" spans="1:10" ht="13.5" thickBot="1">
      <c r="A48" s="25" t="s">
        <v>174</v>
      </c>
      <c r="B48" s="26"/>
      <c r="C48" s="26"/>
      <c r="D48" s="26"/>
      <c r="E48" s="27"/>
      <c r="F48" s="28">
        <f>+SUM(F46:F47)</f>
        <v>6300</v>
      </c>
      <c r="G48" s="28">
        <f>+SUM(G46:G47)</f>
        <v>6500</v>
      </c>
      <c r="H48" s="28">
        <f>+SUM(H46:H47)</f>
        <v>200</v>
      </c>
      <c r="I48" s="28"/>
      <c r="J48" s="28">
        <f>+SUM(J46:J47)</f>
        <v>7800</v>
      </c>
    </row>
    <row r="49" spans="1:10" ht="12.75">
      <c r="A49" s="29" t="s">
        <v>133</v>
      </c>
      <c r="B49" s="30"/>
      <c r="C49" s="31"/>
      <c r="D49" s="31"/>
      <c r="E49" s="32"/>
      <c r="F49" s="33"/>
      <c r="G49" s="34">
        <v>6500</v>
      </c>
      <c r="H49" s="29"/>
      <c r="I49" s="35">
        <v>20</v>
      </c>
      <c r="J49" s="34">
        <f>+G49*(1+I49/100)</f>
        <v>7800</v>
      </c>
    </row>
    <row r="50" spans="1:10" ht="12.75">
      <c r="A50" s="36" t="s">
        <v>134</v>
      </c>
      <c r="B50" s="37"/>
      <c r="C50" s="37"/>
      <c r="D50" s="37"/>
      <c r="E50" s="37"/>
      <c r="F50" s="38"/>
      <c r="G50" s="39">
        <v>6500</v>
      </c>
      <c r="H50" s="40"/>
      <c r="I50" s="41">
        <v>20</v>
      </c>
      <c r="J50" s="39">
        <f>+G50*(1+I50/100)</f>
        <v>7800</v>
      </c>
    </row>
    <row r="51" spans="1:10" ht="12.75">
      <c r="A51" s="42"/>
      <c r="B51" s="43"/>
      <c r="C51" s="43"/>
      <c r="D51" s="43"/>
      <c r="E51" s="43"/>
      <c r="F51" s="43"/>
      <c r="G51" s="17"/>
      <c r="H51" s="17"/>
      <c r="I51" s="17"/>
      <c r="J51" s="17"/>
    </row>
    <row r="52" spans="1:10" ht="39" customHeight="1">
      <c r="A52" s="56" t="s">
        <v>175</v>
      </c>
      <c r="B52" s="57"/>
      <c r="C52" s="57"/>
      <c r="D52" s="57"/>
      <c r="E52" s="57"/>
      <c r="F52" s="57"/>
      <c r="G52" s="57"/>
      <c r="H52" s="57"/>
      <c r="I52" s="57"/>
      <c r="J52" s="57"/>
    </row>
    <row r="53" spans="1:6" ht="12.75">
      <c r="A53" s="13"/>
      <c r="E53" s="14"/>
      <c r="F53" s="14"/>
    </row>
    <row r="54" spans="1:6" ht="12.75">
      <c r="A54" s="13"/>
      <c r="B54" s="14"/>
      <c r="C54" s="14"/>
      <c r="D54" s="14"/>
      <c r="E54" s="14"/>
      <c r="F54" s="14"/>
    </row>
    <row r="55" spans="1:6" ht="12.75">
      <c r="A55" s="13"/>
      <c r="B55" s="14"/>
      <c r="C55" s="14"/>
      <c r="D55" s="14"/>
      <c r="E55" s="14"/>
      <c r="F55" s="14"/>
    </row>
    <row r="56" spans="1:6" ht="12.75">
      <c r="A56" s="13"/>
      <c r="E56" s="14"/>
      <c r="F56" s="14"/>
    </row>
    <row r="57" spans="1:6" ht="12.75">
      <c r="A57" s="14"/>
      <c r="B57" s="14"/>
      <c r="C57" s="14"/>
      <c r="D57" s="14"/>
      <c r="E57" s="14"/>
      <c r="F57" s="14"/>
    </row>
    <row r="58" spans="1:6" ht="12.75">
      <c r="A58" s="14"/>
      <c r="B58" s="14"/>
      <c r="C58" s="14"/>
      <c r="D58" s="14"/>
      <c r="E58" s="14"/>
      <c r="F58" s="14"/>
    </row>
    <row r="59" spans="1:6" ht="12.75">
      <c r="A59" s="14"/>
      <c r="B59" s="14"/>
      <c r="C59" s="14"/>
      <c r="D59" s="14"/>
      <c r="E59" s="14"/>
      <c r="F59" s="14"/>
    </row>
  </sheetData>
  <mergeCells count="2">
    <mergeCell ref="A52:J52"/>
    <mergeCell ref="E1:F1"/>
  </mergeCells>
  <printOptions/>
  <pageMargins left="0.75" right="0.75" top="1" bottom="1" header="0.5" footer="0.5"/>
  <pageSetup fitToHeight="1" fitToWidth="1" horizontalDpi="360" verticalDpi="36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I47">
      <selection activeCell="B104" sqref="B104"/>
    </sheetView>
  </sheetViews>
  <sheetFormatPr defaultColWidth="9.140625" defaultRowHeight="12.75" outlineLevelRow="2"/>
  <cols>
    <col min="1" max="1" width="22.140625" style="0" customWidth="1"/>
    <col min="4" max="4" width="15.140625" style="0" customWidth="1"/>
    <col min="5" max="5" width="17.28125" style="0" customWidth="1"/>
    <col min="7" max="7" width="16.57421875" style="0" customWidth="1"/>
    <col min="11" max="11" width="21.28125" style="0" customWidth="1"/>
    <col min="13" max="13" width="13.140625" style="0" customWidth="1"/>
  </cols>
  <sheetData>
    <row r="1" spans="1:6" ht="12.75">
      <c r="A1" s="9" t="s">
        <v>90</v>
      </c>
      <c r="B1" s="9" t="s">
        <v>91</v>
      </c>
      <c r="C1" s="9" t="s">
        <v>92</v>
      </c>
      <c r="D1" s="9"/>
      <c r="E1" s="9"/>
      <c r="F1" s="10">
        <v>36675</v>
      </c>
    </row>
    <row r="2" spans="1:6" ht="12.75">
      <c r="A2" s="9" t="s">
        <v>114</v>
      </c>
      <c r="B2" s="9"/>
      <c r="C2" s="9"/>
      <c r="D2" s="9"/>
      <c r="E2" s="9"/>
      <c r="F2" s="10"/>
    </row>
    <row r="3" spans="1:8" ht="24.75" customHeight="1">
      <c r="A3" s="59" t="s">
        <v>45</v>
      </c>
      <c r="B3" s="60"/>
      <c r="C3" s="60"/>
      <c r="D3" s="60"/>
      <c r="E3" s="60"/>
      <c r="F3" s="60"/>
      <c r="G3" s="60"/>
      <c r="H3" s="60"/>
    </row>
    <row r="4" spans="1:4" ht="12.75">
      <c r="A4" s="1" t="s">
        <v>0</v>
      </c>
      <c r="C4">
        <v>3.141592654</v>
      </c>
      <c r="D4">
        <v>2.7</v>
      </c>
    </row>
    <row r="6" spans="1:9" ht="12.75">
      <c r="A6" s="1" t="s">
        <v>1</v>
      </c>
      <c r="B6" s="1" t="s">
        <v>2</v>
      </c>
      <c r="C6" s="1" t="s">
        <v>3</v>
      </c>
      <c r="D6" t="s">
        <v>41</v>
      </c>
      <c r="E6" t="s">
        <v>40</v>
      </c>
      <c r="F6" t="s">
        <v>42</v>
      </c>
      <c r="G6" t="s">
        <v>43</v>
      </c>
      <c r="H6" t="s">
        <v>44</v>
      </c>
      <c r="I6" t="s">
        <v>46</v>
      </c>
    </row>
    <row r="7" spans="1:13" ht="12.75">
      <c r="A7" t="s">
        <v>50</v>
      </c>
      <c r="B7" s="2">
        <f>H7/2</f>
        <v>211.7016</v>
      </c>
      <c r="C7">
        <v>4</v>
      </c>
      <c r="D7">
        <v>132</v>
      </c>
      <c r="E7">
        <v>54</v>
      </c>
      <c r="F7">
        <f>D7*E7/100</f>
        <v>71.28</v>
      </c>
      <c r="G7">
        <f>F7*D7/60</f>
        <v>156.816</v>
      </c>
      <c r="H7">
        <f>G7*D$4</f>
        <v>423.4032</v>
      </c>
      <c r="I7" s="2">
        <v>211.7016</v>
      </c>
      <c r="K7" t="s">
        <v>56</v>
      </c>
      <c r="L7" s="2">
        <v>316.10880000000003</v>
      </c>
      <c r="M7">
        <v>2</v>
      </c>
    </row>
    <row r="8" spans="1:13" ht="12.75" outlineLevel="2">
      <c r="A8" t="s">
        <v>51</v>
      </c>
      <c r="B8" s="2">
        <f>H8</f>
        <v>11.581167159705602</v>
      </c>
      <c r="C8">
        <v>4</v>
      </c>
      <c r="D8">
        <v>32</v>
      </c>
      <c r="F8">
        <f>C4*(D8/20)^2</f>
        <v>8.042477194240002</v>
      </c>
      <c r="G8">
        <f aca="true" t="shared" si="0" ref="G8:G15">F8*D8/60</f>
        <v>4.289321170261334</v>
      </c>
      <c r="H8">
        <f aca="true" t="shared" si="1" ref="H8:H15">G8*D$4</f>
        <v>11.581167159705602</v>
      </c>
      <c r="I8" s="2">
        <v>11.581167159705602</v>
      </c>
      <c r="K8" t="s">
        <v>57</v>
      </c>
      <c r="L8" s="2">
        <v>97.2</v>
      </c>
      <c r="M8">
        <v>2</v>
      </c>
    </row>
    <row r="9" spans="1:13" ht="12.75" outlineLevel="2">
      <c r="A9" t="s">
        <v>52</v>
      </c>
      <c r="B9" s="2">
        <f>H9/2</f>
        <v>495.739125</v>
      </c>
      <c r="C9">
        <v>4</v>
      </c>
      <c r="D9">
        <v>161</v>
      </c>
      <c r="E9">
        <v>85</v>
      </c>
      <c r="F9">
        <f aca="true" t="shared" si="2" ref="F9:F15">D9*E9/100</f>
        <v>136.85</v>
      </c>
      <c r="G9">
        <f t="shared" si="0"/>
        <v>367.21416666666664</v>
      </c>
      <c r="H9">
        <f t="shared" si="1"/>
        <v>991.47825</v>
      </c>
      <c r="I9" s="2">
        <v>495.739125</v>
      </c>
      <c r="K9" t="s">
        <v>58</v>
      </c>
      <c r="L9" s="2">
        <v>97.2</v>
      </c>
      <c r="M9">
        <v>2</v>
      </c>
    </row>
    <row r="10" spans="1:13" ht="12.75" outlineLevel="2">
      <c r="A10" t="s">
        <v>53</v>
      </c>
      <c r="B10" s="2">
        <f>H10</f>
        <v>31.60215</v>
      </c>
      <c r="C10">
        <v>4</v>
      </c>
      <c r="D10">
        <v>51</v>
      </c>
      <c r="E10">
        <v>27</v>
      </c>
      <c r="F10">
        <f t="shared" si="2"/>
        <v>13.77</v>
      </c>
      <c r="G10">
        <f t="shared" si="0"/>
        <v>11.7045</v>
      </c>
      <c r="H10">
        <f t="shared" si="1"/>
        <v>31.60215</v>
      </c>
      <c r="I10" s="2">
        <v>31.60215</v>
      </c>
      <c r="K10" t="s">
        <v>61</v>
      </c>
      <c r="L10">
        <v>50</v>
      </c>
      <c r="M10">
        <v>2</v>
      </c>
    </row>
    <row r="11" spans="1:13" ht="12.75" outlineLevel="2">
      <c r="A11" t="s">
        <v>54</v>
      </c>
      <c r="B11" s="2">
        <f>H11/2</f>
        <v>313.29</v>
      </c>
      <c r="C11">
        <v>4</v>
      </c>
      <c r="D11">
        <v>118</v>
      </c>
      <c r="E11">
        <v>100</v>
      </c>
      <c r="F11">
        <f t="shared" si="2"/>
        <v>118</v>
      </c>
      <c r="G11">
        <f t="shared" si="0"/>
        <v>232.06666666666666</v>
      </c>
      <c r="H11">
        <f t="shared" si="1"/>
        <v>626.58</v>
      </c>
      <c r="I11" s="2">
        <v>313.29</v>
      </c>
      <c r="K11" t="s">
        <v>62</v>
      </c>
      <c r="L11">
        <v>50</v>
      </c>
      <c r="M11">
        <v>2</v>
      </c>
    </row>
    <row r="12" spans="1:13" ht="12.75" outlineLevel="2">
      <c r="A12" t="s">
        <v>55</v>
      </c>
      <c r="B12" s="2">
        <f>H12</f>
        <v>76.34070149220001</v>
      </c>
      <c r="C12">
        <v>4</v>
      </c>
      <c r="D12">
        <v>60</v>
      </c>
      <c r="F12">
        <f>C4*(D12/20)^2</f>
        <v>28.274333886</v>
      </c>
      <c r="G12">
        <f t="shared" si="0"/>
        <v>28.274333886</v>
      </c>
      <c r="H12">
        <f t="shared" si="1"/>
        <v>76.34070149220001</v>
      </c>
      <c r="I12" s="2">
        <v>76.34070149220001</v>
      </c>
      <c r="K12" t="s">
        <v>63</v>
      </c>
      <c r="L12">
        <v>50</v>
      </c>
      <c r="M12">
        <v>2</v>
      </c>
    </row>
    <row r="13" spans="1:13" ht="12.75" outlineLevel="2">
      <c r="A13" t="s">
        <v>56</v>
      </c>
      <c r="B13" s="2">
        <f>H13/2</f>
        <v>316.10880000000003</v>
      </c>
      <c r="C13">
        <v>2</v>
      </c>
      <c r="D13">
        <v>112</v>
      </c>
      <c r="E13">
        <v>112</v>
      </c>
      <c r="F13">
        <f t="shared" si="2"/>
        <v>125.44</v>
      </c>
      <c r="G13">
        <f t="shared" si="0"/>
        <v>234.15466666666666</v>
      </c>
      <c r="H13">
        <f t="shared" si="1"/>
        <v>632.2176000000001</v>
      </c>
      <c r="I13" s="2">
        <v>316.10880000000003</v>
      </c>
      <c r="K13" t="s">
        <v>6</v>
      </c>
      <c r="L13">
        <v>1500</v>
      </c>
      <c r="M13">
        <v>2</v>
      </c>
    </row>
    <row r="14" spans="1:13" ht="12.75" outlineLevel="2">
      <c r="A14" t="s">
        <v>57</v>
      </c>
      <c r="B14" s="2">
        <f>H14</f>
        <v>97.2</v>
      </c>
      <c r="C14">
        <v>2</v>
      </c>
      <c r="D14">
        <v>60</v>
      </c>
      <c r="E14">
        <v>60</v>
      </c>
      <c r="F14">
        <f t="shared" si="2"/>
        <v>36</v>
      </c>
      <c r="G14">
        <f t="shared" si="0"/>
        <v>36</v>
      </c>
      <c r="H14">
        <f t="shared" si="1"/>
        <v>97.2</v>
      </c>
      <c r="I14" s="2">
        <v>97.2</v>
      </c>
      <c r="K14" t="s">
        <v>9</v>
      </c>
      <c r="L14">
        <v>300</v>
      </c>
      <c r="M14">
        <v>2</v>
      </c>
    </row>
    <row r="15" spans="1:13" ht="12.75" outlineLevel="2">
      <c r="A15" t="s">
        <v>58</v>
      </c>
      <c r="B15" s="2">
        <f>H15</f>
        <v>97.2</v>
      </c>
      <c r="C15">
        <v>2</v>
      </c>
      <c r="D15">
        <v>60</v>
      </c>
      <c r="E15">
        <v>60</v>
      </c>
      <c r="F15">
        <f t="shared" si="2"/>
        <v>36</v>
      </c>
      <c r="G15">
        <f t="shared" si="0"/>
        <v>36</v>
      </c>
      <c r="H15">
        <f t="shared" si="1"/>
        <v>97.2</v>
      </c>
      <c r="I15" s="2">
        <v>97.2</v>
      </c>
      <c r="K15" t="s">
        <v>10</v>
      </c>
      <c r="L15">
        <v>300</v>
      </c>
      <c r="M15">
        <v>2</v>
      </c>
    </row>
    <row r="16" spans="1:13" ht="12.75" outlineLevel="2">
      <c r="A16" s="1" t="s">
        <v>4</v>
      </c>
      <c r="I16" s="2">
        <f>SUM(I7:I15)</f>
        <v>1650.7635436519058</v>
      </c>
      <c r="K16" t="s">
        <v>7</v>
      </c>
      <c r="L16">
        <v>500</v>
      </c>
      <c r="M16">
        <v>2</v>
      </c>
    </row>
    <row r="17" spans="1:13" ht="12.75" outlineLevel="2">
      <c r="A17" t="s">
        <v>59</v>
      </c>
      <c r="B17">
        <v>50</v>
      </c>
      <c r="C17">
        <v>4</v>
      </c>
      <c r="K17" t="s">
        <v>14</v>
      </c>
      <c r="L17">
        <v>200</v>
      </c>
      <c r="M17">
        <v>2</v>
      </c>
    </row>
    <row r="18" spans="12:13" ht="12.75" outlineLevel="1">
      <c r="L18">
        <f>SUBTOTAL(9,L7:L17)</f>
        <v>3460.5088</v>
      </c>
      <c r="M18" s="4" t="s">
        <v>81</v>
      </c>
    </row>
    <row r="19" spans="1:13" ht="12.75" outlineLevel="2">
      <c r="A19" t="s">
        <v>60</v>
      </c>
      <c r="B19">
        <v>50</v>
      </c>
      <c r="C19">
        <v>4</v>
      </c>
      <c r="K19" t="s">
        <v>50</v>
      </c>
      <c r="L19" s="2">
        <v>211.7016</v>
      </c>
      <c r="M19">
        <v>4</v>
      </c>
    </row>
    <row r="20" spans="1:13" ht="12.75" outlineLevel="2">
      <c r="A20" t="s">
        <v>61</v>
      </c>
      <c r="B20">
        <v>50</v>
      </c>
      <c r="C20">
        <v>2</v>
      </c>
      <c r="K20" t="s">
        <v>51</v>
      </c>
      <c r="L20" s="2">
        <v>11.581167159705602</v>
      </c>
      <c r="M20">
        <v>4</v>
      </c>
    </row>
    <row r="21" spans="1:13" ht="12.75" outlineLevel="2">
      <c r="A21" t="s">
        <v>62</v>
      </c>
      <c r="B21">
        <v>50</v>
      </c>
      <c r="C21">
        <v>2</v>
      </c>
      <c r="K21" t="s">
        <v>52</v>
      </c>
      <c r="L21" s="2">
        <v>495.739125</v>
      </c>
      <c r="M21">
        <v>4</v>
      </c>
    </row>
    <row r="22" spans="1:13" ht="12.75" outlineLevel="2">
      <c r="A22" t="s">
        <v>63</v>
      </c>
      <c r="B22">
        <v>50</v>
      </c>
      <c r="C22">
        <v>2</v>
      </c>
      <c r="K22" t="s">
        <v>53</v>
      </c>
      <c r="L22" s="2">
        <v>31.60215</v>
      </c>
      <c r="M22">
        <v>4</v>
      </c>
    </row>
    <row r="23" spans="1:13" ht="12.75" outlineLevel="2">
      <c r="A23" s="1" t="s">
        <v>5</v>
      </c>
      <c r="K23" t="s">
        <v>54</v>
      </c>
      <c r="L23" s="2">
        <v>313.29</v>
      </c>
      <c r="M23">
        <v>4</v>
      </c>
    </row>
    <row r="24" spans="1:13" ht="12.75" outlineLevel="2">
      <c r="A24" t="s">
        <v>6</v>
      </c>
      <c r="B24">
        <v>1500</v>
      </c>
      <c r="C24">
        <v>2</v>
      </c>
      <c r="K24" t="s">
        <v>55</v>
      </c>
      <c r="L24" s="2">
        <v>76.34070149220001</v>
      </c>
      <c r="M24">
        <v>4</v>
      </c>
    </row>
    <row r="25" spans="1:13" ht="12.75" outlineLevel="2">
      <c r="A25" s="1" t="s">
        <v>7</v>
      </c>
      <c r="K25" t="s">
        <v>59</v>
      </c>
      <c r="L25">
        <v>50</v>
      </c>
      <c r="M25">
        <v>4</v>
      </c>
    </row>
    <row r="26" spans="1:13" ht="12.75" outlineLevel="2">
      <c r="A26" t="s">
        <v>8</v>
      </c>
      <c r="B26">
        <v>300</v>
      </c>
      <c r="C26">
        <v>4</v>
      </c>
      <c r="K26" t="s">
        <v>60</v>
      </c>
      <c r="L26">
        <v>50</v>
      </c>
      <c r="M26">
        <v>4</v>
      </c>
    </row>
    <row r="27" spans="1:13" ht="12.75" outlineLevel="2">
      <c r="A27" t="s">
        <v>9</v>
      </c>
      <c r="B27">
        <v>300</v>
      </c>
      <c r="C27">
        <v>2</v>
      </c>
      <c r="K27" t="s">
        <v>8</v>
      </c>
      <c r="L27">
        <v>300</v>
      </c>
      <c r="M27">
        <v>4</v>
      </c>
    </row>
    <row r="28" spans="1:13" ht="12.75" outlineLevel="2">
      <c r="A28" t="s">
        <v>10</v>
      </c>
      <c r="B28">
        <v>300</v>
      </c>
      <c r="C28">
        <v>2</v>
      </c>
      <c r="K28" t="s">
        <v>11</v>
      </c>
      <c r="L28">
        <v>800</v>
      </c>
      <c r="M28">
        <v>4</v>
      </c>
    </row>
    <row r="29" spans="1:13" ht="12.75" outlineLevel="2">
      <c r="A29" s="1" t="s">
        <v>11</v>
      </c>
      <c r="K29" t="s">
        <v>13</v>
      </c>
      <c r="L29">
        <v>500</v>
      </c>
      <c r="M29">
        <v>4</v>
      </c>
    </row>
    <row r="30" spans="1:13" ht="12.75" outlineLevel="2">
      <c r="A30" t="s">
        <v>11</v>
      </c>
      <c r="B30">
        <v>800</v>
      </c>
      <c r="C30">
        <v>4</v>
      </c>
      <c r="K30" t="s">
        <v>47</v>
      </c>
      <c r="L30">
        <v>400</v>
      </c>
      <c r="M30">
        <v>4</v>
      </c>
    </row>
    <row r="31" spans="1:13" ht="12.75" outlineLevel="2">
      <c r="A31" t="s">
        <v>7</v>
      </c>
      <c r="B31">
        <v>500</v>
      </c>
      <c r="C31">
        <v>2</v>
      </c>
      <c r="K31" t="s">
        <v>48</v>
      </c>
      <c r="L31">
        <v>100</v>
      </c>
      <c r="M31">
        <v>4</v>
      </c>
    </row>
    <row r="32" spans="1:13" ht="12.75" outlineLevel="2">
      <c r="A32" s="1" t="s">
        <v>12</v>
      </c>
      <c r="K32" t="s">
        <v>87</v>
      </c>
      <c r="L32">
        <v>1600</v>
      </c>
      <c r="M32">
        <v>4</v>
      </c>
    </row>
    <row r="33" spans="1:13" ht="12.75" outlineLevel="2">
      <c r="A33" t="s">
        <v>13</v>
      </c>
      <c r="B33">
        <v>500</v>
      </c>
      <c r="C33">
        <v>4</v>
      </c>
      <c r="K33" t="s">
        <v>37</v>
      </c>
      <c r="L33">
        <v>200</v>
      </c>
      <c r="M33">
        <v>4</v>
      </c>
    </row>
    <row r="34" spans="1:13" ht="12.75" outlineLevel="2">
      <c r="A34" t="s">
        <v>14</v>
      </c>
      <c r="B34">
        <v>200</v>
      </c>
      <c r="C34">
        <v>2</v>
      </c>
      <c r="K34" s="1" t="s">
        <v>78</v>
      </c>
      <c r="L34">
        <v>1000</v>
      </c>
      <c r="M34">
        <v>4</v>
      </c>
    </row>
    <row r="35" spans="1:11" ht="12.75" outlineLevel="2">
      <c r="A35" s="1" t="s">
        <v>104</v>
      </c>
      <c r="B35">
        <v>30</v>
      </c>
      <c r="C35">
        <v>4</v>
      </c>
      <c r="K35" s="1"/>
    </row>
    <row r="36" spans="1:13" ht="12.75" outlineLevel="1">
      <c r="A36" s="1" t="s">
        <v>15</v>
      </c>
      <c r="K36" s="1"/>
      <c r="L36">
        <f>SUBTOTAL(9,L7:L34)</f>
        <v>9600.763543651905</v>
      </c>
      <c r="M36" s="5" t="s">
        <v>83</v>
      </c>
    </row>
    <row r="37" spans="1:11" ht="12.75" outlineLevel="1">
      <c r="A37" t="s">
        <v>47</v>
      </c>
      <c r="B37">
        <v>400</v>
      </c>
      <c r="C37">
        <v>4</v>
      </c>
      <c r="K37" s="1"/>
    </row>
    <row r="38" spans="1:11" ht="12.75" outlineLevel="1">
      <c r="A38" t="s">
        <v>48</v>
      </c>
      <c r="B38">
        <v>100</v>
      </c>
      <c r="C38">
        <v>4</v>
      </c>
      <c r="K38" s="1"/>
    </row>
    <row r="39" spans="1:11" ht="12.75" outlineLevel="1">
      <c r="A39" s="1" t="s">
        <v>98</v>
      </c>
      <c r="K39" s="1"/>
    </row>
    <row r="40" spans="1:11" ht="12.75" outlineLevel="1">
      <c r="A40" t="s">
        <v>87</v>
      </c>
      <c r="B40">
        <f>600+500</f>
        <v>1100</v>
      </c>
      <c r="C40">
        <v>4</v>
      </c>
      <c r="K40" s="1"/>
    </row>
    <row r="41" spans="1:11" ht="12.75" outlineLevel="1">
      <c r="A41" s="1" t="s">
        <v>36</v>
      </c>
      <c r="K41" s="1"/>
    </row>
    <row r="42" spans="1:11" ht="12.75" outlineLevel="1">
      <c r="A42" t="s">
        <v>37</v>
      </c>
      <c r="B42">
        <v>200</v>
      </c>
      <c r="C42">
        <v>4</v>
      </c>
      <c r="K42" s="1"/>
    </row>
    <row r="43" spans="1:11" ht="12.75" outlineLevel="1">
      <c r="A43" s="1" t="s">
        <v>78</v>
      </c>
      <c r="B43">
        <v>1500</v>
      </c>
      <c r="C43">
        <v>4</v>
      </c>
      <c r="K43" s="1"/>
    </row>
    <row r="44" spans="1:11" ht="12.75" outlineLevel="1">
      <c r="A44" s="1" t="s">
        <v>107</v>
      </c>
      <c r="K44" s="1"/>
    </row>
    <row r="45" spans="1:11" ht="12.75" outlineLevel="1">
      <c r="A45" s="12" t="s">
        <v>108</v>
      </c>
      <c r="B45">
        <v>7430</v>
      </c>
      <c r="C45">
        <v>4</v>
      </c>
      <c r="K45" s="1"/>
    </row>
    <row r="46" spans="1:11" ht="12.75" outlineLevel="1">
      <c r="A46" s="12" t="s">
        <v>109</v>
      </c>
      <c r="B46">
        <v>1580</v>
      </c>
      <c r="C46">
        <v>2</v>
      </c>
      <c r="K46" s="1"/>
    </row>
    <row r="47" spans="1:11" ht="12.75" outlineLevel="1">
      <c r="A47" s="12" t="s">
        <v>110</v>
      </c>
      <c r="B47">
        <v>1040</v>
      </c>
      <c r="K47" s="1"/>
    </row>
    <row r="48" spans="1:2" ht="12.75">
      <c r="A48" s="1" t="s">
        <v>21</v>
      </c>
      <c r="B48" s="2">
        <f>SUM(B4:B47)</f>
        <v>19680.763543651905</v>
      </c>
    </row>
    <row r="49" ht="12.75">
      <c r="B49">
        <f>SUBTOTAL(9,B7:B47)</f>
        <v>19680.763543651905</v>
      </c>
    </row>
    <row r="50" ht="12.75">
      <c r="A50" s="1" t="s">
        <v>101</v>
      </c>
    </row>
    <row r="51" spans="1:13" ht="12.75">
      <c r="A51" s="1" t="s">
        <v>1</v>
      </c>
      <c r="B51" s="1" t="s">
        <v>2</v>
      </c>
      <c r="C51" s="1" t="s">
        <v>3</v>
      </c>
      <c r="D51" t="s">
        <v>41</v>
      </c>
      <c r="E51" t="s">
        <v>40</v>
      </c>
      <c r="F51" t="s">
        <v>42</v>
      </c>
      <c r="G51" t="s">
        <v>43</v>
      </c>
      <c r="H51" t="s">
        <v>44</v>
      </c>
      <c r="I51" t="s">
        <v>46</v>
      </c>
      <c r="K51" t="s">
        <v>1</v>
      </c>
      <c r="L51" t="s">
        <v>2</v>
      </c>
      <c r="M51" t="s">
        <v>3</v>
      </c>
    </row>
    <row r="52" spans="1:13" ht="12.75" outlineLevel="2">
      <c r="A52" t="s">
        <v>64</v>
      </c>
      <c r="B52" s="2">
        <f aca="true" t="shared" si="3" ref="B52:B62">G52*D$4</f>
        <v>6.534</v>
      </c>
      <c r="C52">
        <v>4</v>
      </c>
      <c r="D52">
        <v>22</v>
      </c>
      <c r="E52">
        <v>30</v>
      </c>
      <c r="F52">
        <f>D52*E52/100</f>
        <v>6.6</v>
      </c>
      <c r="G52">
        <f>F52*D52/60</f>
        <v>2.42</v>
      </c>
      <c r="H52">
        <f aca="true" t="shared" si="4" ref="H52:H62">G52*D$4</f>
        <v>6.534</v>
      </c>
      <c r="I52" s="2">
        <v>6.534</v>
      </c>
      <c r="K52" t="s">
        <v>76</v>
      </c>
      <c r="L52">
        <v>50</v>
      </c>
      <c r="M52">
        <v>2</v>
      </c>
    </row>
    <row r="53" spans="1:13" ht="12.75" outlineLevel="2">
      <c r="A53" t="s">
        <v>65</v>
      </c>
      <c r="B53" s="2">
        <f t="shared" si="3"/>
        <v>32.206233442021876</v>
      </c>
      <c r="C53">
        <v>4</v>
      </c>
      <c r="D53">
        <v>45</v>
      </c>
      <c r="F53">
        <f>C$4*(D53/20)^2</f>
        <v>15.904312810875</v>
      </c>
      <c r="G53">
        <f aca="true" t="shared" si="5" ref="G53:G62">F53*D53/60</f>
        <v>11.92823460815625</v>
      </c>
      <c r="H53">
        <f t="shared" si="4"/>
        <v>32.206233442021876</v>
      </c>
      <c r="I53" s="2">
        <v>32.206233442021876</v>
      </c>
      <c r="K53" t="s">
        <v>77</v>
      </c>
      <c r="L53">
        <v>50</v>
      </c>
      <c r="M53">
        <v>2</v>
      </c>
    </row>
    <row r="54" spans="1:13" ht="12.75" outlineLevel="2">
      <c r="A54" t="s">
        <v>66</v>
      </c>
      <c r="B54" s="2">
        <f t="shared" si="3"/>
        <v>167.7205211783634</v>
      </c>
      <c r="C54">
        <v>4</v>
      </c>
      <c r="D54">
        <v>78</v>
      </c>
      <c r="E54" t="s">
        <v>49</v>
      </c>
      <c r="F54">
        <f>C$4*(D54/20)^2</f>
        <v>47.783624267339995</v>
      </c>
      <c r="G54">
        <f t="shared" si="5"/>
        <v>62.118711547542</v>
      </c>
      <c r="H54">
        <f t="shared" si="4"/>
        <v>167.7205211783634</v>
      </c>
      <c r="I54" s="2">
        <v>167.7205211783634</v>
      </c>
      <c r="K54" t="s">
        <v>16</v>
      </c>
      <c r="L54">
        <v>1000</v>
      </c>
      <c r="M54">
        <v>2</v>
      </c>
    </row>
    <row r="55" spans="1:13" ht="12.75" outlineLevel="2">
      <c r="A55" t="s">
        <v>67</v>
      </c>
      <c r="B55" s="2">
        <f t="shared" si="3"/>
        <v>167.7205211783634</v>
      </c>
      <c r="C55">
        <v>4</v>
      </c>
      <c r="D55">
        <v>78</v>
      </c>
      <c r="E55" t="s">
        <v>49</v>
      </c>
      <c r="F55">
        <f>C$4*(D55/20)^2</f>
        <v>47.783624267339995</v>
      </c>
      <c r="G55">
        <f t="shared" si="5"/>
        <v>62.118711547542</v>
      </c>
      <c r="H55">
        <f t="shared" si="4"/>
        <v>167.7205211783634</v>
      </c>
      <c r="I55" s="2">
        <v>167.7205211783634</v>
      </c>
      <c r="K55" t="s">
        <v>14</v>
      </c>
      <c r="L55">
        <v>200</v>
      </c>
      <c r="M55">
        <v>2</v>
      </c>
    </row>
    <row r="56" spans="2:13" ht="12.75" outlineLevel="1">
      <c r="B56" s="2"/>
      <c r="I56" s="2"/>
      <c r="L56">
        <f>SUBTOTAL(9,L52:L55)</f>
        <v>1300</v>
      </c>
      <c r="M56" s="4" t="s">
        <v>81</v>
      </c>
    </row>
    <row r="57" spans="1:13" ht="12.75" outlineLevel="2">
      <c r="A57" t="s">
        <v>68</v>
      </c>
      <c r="B57" s="2">
        <f t="shared" si="3"/>
        <v>89.10000000000001</v>
      </c>
      <c r="C57">
        <v>4</v>
      </c>
      <c r="D57">
        <v>60</v>
      </c>
      <c r="E57">
        <v>55</v>
      </c>
      <c r="F57">
        <f>D57*E57/100</f>
        <v>33</v>
      </c>
      <c r="G57">
        <f t="shared" si="5"/>
        <v>33</v>
      </c>
      <c r="H57">
        <f t="shared" si="4"/>
        <v>89.10000000000001</v>
      </c>
      <c r="I57" s="2">
        <v>89.1</v>
      </c>
      <c r="K57" t="s">
        <v>64</v>
      </c>
      <c r="L57">
        <v>6.534</v>
      </c>
      <c r="M57">
        <v>4</v>
      </c>
    </row>
    <row r="58" spans="1:13" ht="12.75" outlineLevel="2">
      <c r="A58" t="s">
        <v>69</v>
      </c>
      <c r="B58" s="2">
        <f t="shared" si="3"/>
        <v>89.10000000000001</v>
      </c>
      <c r="C58">
        <v>4</v>
      </c>
      <c r="D58">
        <v>60</v>
      </c>
      <c r="E58">
        <v>55</v>
      </c>
      <c r="F58">
        <f>D58*E58/100</f>
        <v>33</v>
      </c>
      <c r="G58">
        <f t="shared" si="5"/>
        <v>33</v>
      </c>
      <c r="H58">
        <f t="shared" si="4"/>
        <v>89.10000000000001</v>
      </c>
      <c r="I58" s="2">
        <v>89.1</v>
      </c>
      <c r="K58" t="s">
        <v>65</v>
      </c>
      <c r="L58">
        <v>32.206233442021876</v>
      </c>
      <c r="M58">
        <v>4</v>
      </c>
    </row>
    <row r="59" spans="1:13" ht="12.75" outlineLevel="2">
      <c r="A59" t="s">
        <v>70</v>
      </c>
      <c r="B59" s="2">
        <f t="shared" si="3"/>
        <v>95.25599999999999</v>
      </c>
      <c r="C59">
        <v>4</v>
      </c>
      <c r="D59">
        <v>42</v>
      </c>
      <c r="E59">
        <v>120</v>
      </c>
      <c r="F59">
        <f>D59*E59/100</f>
        <v>50.4</v>
      </c>
      <c r="G59">
        <f t="shared" si="5"/>
        <v>35.279999999999994</v>
      </c>
      <c r="H59">
        <f t="shared" si="4"/>
        <v>95.25599999999999</v>
      </c>
      <c r="I59" s="2">
        <v>95.25599999999999</v>
      </c>
      <c r="K59" t="s">
        <v>66</v>
      </c>
      <c r="L59">
        <v>167.7205211783634</v>
      </c>
      <c r="M59">
        <v>4</v>
      </c>
    </row>
    <row r="60" spans="1:13" ht="12.75" outlineLevel="2">
      <c r="A60" t="s">
        <v>71</v>
      </c>
      <c r="B60" s="2">
        <f t="shared" si="3"/>
        <v>95.25599999999999</v>
      </c>
      <c r="C60">
        <v>4</v>
      </c>
      <c r="D60">
        <v>42</v>
      </c>
      <c r="E60">
        <v>120</v>
      </c>
      <c r="F60">
        <f>D60*E60/100</f>
        <v>50.4</v>
      </c>
      <c r="G60">
        <f t="shared" si="5"/>
        <v>35.279999999999994</v>
      </c>
      <c r="H60">
        <f t="shared" si="4"/>
        <v>95.25599999999999</v>
      </c>
      <c r="I60" s="2">
        <v>95.25599999999999</v>
      </c>
      <c r="K60" t="s">
        <v>67</v>
      </c>
      <c r="L60">
        <v>167.7205211783634</v>
      </c>
      <c r="M60">
        <v>4</v>
      </c>
    </row>
    <row r="61" spans="1:13" ht="12.75" outlineLevel="2">
      <c r="A61" t="s">
        <v>72</v>
      </c>
      <c r="B61" s="2">
        <f t="shared" si="3"/>
        <v>167.7205211783634</v>
      </c>
      <c r="C61">
        <v>4</v>
      </c>
      <c r="D61">
        <v>78</v>
      </c>
      <c r="E61" t="s">
        <v>49</v>
      </c>
      <c r="F61">
        <f>C$4*(D61/20)^2</f>
        <v>47.783624267339995</v>
      </c>
      <c r="G61">
        <f t="shared" si="5"/>
        <v>62.118711547542</v>
      </c>
      <c r="H61">
        <f t="shared" si="4"/>
        <v>167.7205211783634</v>
      </c>
      <c r="I61" s="2">
        <v>167.7205211783634</v>
      </c>
      <c r="K61" t="s">
        <v>68</v>
      </c>
      <c r="L61">
        <v>89.1</v>
      </c>
      <c r="M61">
        <v>4</v>
      </c>
    </row>
    <row r="62" spans="1:13" ht="12.75" outlineLevel="2">
      <c r="A62" t="s">
        <v>73</v>
      </c>
      <c r="B62" s="2">
        <f t="shared" si="3"/>
        <v>167.7205211783634</v>
      </c>
      <c r="C62">
        <v>4</v>
      </c>
      <c r="D62">
        <v>78</v>
      </c>
      <c r="F62">
        <f>C$4*(D62/20)^2</f>
        <v>47.783624267339995</v>
      </c>
      <c r="G62">
        <f t="shared" si="5"/>
        <v>62.118711547542</v>
      </c>
      <c r="H62">
        <f t="shared" si="4"/>
        <v>167.7205211783634</v>
      </c>
      <c r="I62" s="2">
        <v>167.7205211783634</v>
      </c>
      <c r="K62" t="s">
        <v>69</v>
      </c>
      <c r="L62">
        <v>89.1</v>
      </c>
      <c r="M62">
        <v>4</v>
      </c>
    </row>
    <row r="63" spans="1:13" ht="12.75" outlineLevel="2">
      <c r="A63" s="1" t="s">
        <v>4</v>
      </c>
      <c r="I63" s="2">
        <f>SUM(I52:I62)</f>
        <v>1078.3343181554756</v>
      </c>
      <c r="K63" t="s">
        <v>70</v>
      </c>
      <c r="L63">
        <v>95.25599999999999</v>
      </c>
      <c r="M63">
        <v>4</v>
      </c>
    </row>
    <row r="64" spans="1:13" ht="12.75" outlineLevel="2">
      <c r="A64" t="s">
        <v>74</v>
      </c>
      <c r="B64">
        <v>50</v>
      </c>
      <c r="C64">
        <v>4</v>
      </c>
      <c r="K64" t="s">
        <v>71</v>
      </c>
      <c r="L64">
        <v>95.25599999999999</v>
      </c>
      <c r="M64">
        <v>4</v>
      </c>
    </row>
    <row r="65" spans="1:13" ht="12.75" outlineLevel="2">
      <c r="A65" t="s">
        <v>75</v>
      </c>
      <c r="B65">
        <v>50</v>
      </c>
      <c r="C65">
        <v>4</v>
      </c>
      <c r="K65" t="s">
        <v>72</v>
      </c>
      <c r="L65">
        <v>167.7205211783634</v>
      </c>
      <c r="M65">
        <v>4</v>
      </c>
    </row>
    <row r="66" spans="1:13" ht="12.75" outlineLevel="2">
      <c r="A66" t="s">
        <v>76</v>
      </c>
      <c r="B66">
        <v>50</v>
      </c>
      <c r="C66">
        <v>2</v>
      </c>
      <c r="K66" t="s">
        <v>73</v>
      </c>
      <c r="L66">
        <v>167.7205211783634</v>
      </c>
      <c r="M66">
        <v>4</v>
      </c>
    </row>
    <row r="67" spans="1:13" ht="12.75" outlineLevel="2">
      <c r="A67" t="s">
        <v>77</v>
      </c>
      <c r="B67">
        <v>50</v>
      </c>
      <c r="C67">
        <v>2</v>
      </c>
      <c r="K67" t="s">
        <v>74</v>
      </c>
      <c r="L67">
        <v>50</v>
      </c>
      <c r="M67">
        <v>4</v>
      </c>
    </row>
    <row r="68" spans="1:13" ht="12.75" outlineLevel="2">
      <c r="A68" s="1" t="s">
        <v>5</v>
      </c>
      <c r="K68" t="s">
        <v>75</v>
      </c>
      <c r="L68">
        <v>50</v>
      </c>
      <c r="M68">
        <v>4</v>
      </c>
    </row>
    <row r="69" spans="1:13" ht="12.75" outlineLevel="2">
      <c r="A69" t="s">
        <v>16</v>
      </c>
      <c r="B69">
        <v>1000</v>
      </c>
      <c r="C69">
        <v>2</v>
      </c>
      <c r="K69" t="s">
        <v>18</v>
      </c>
      <c r="L69">
        <v>600</v>
      </c>
      <c r="M69">
        <v>4</v>
      </c>
    </row>
    <row r="70" spans="1:13" ht="12.75" outlineLevel="2">
      <c r="A70" s="1" t="s">
        <v>12</v>
      </c>
      <c r="K70" t="s">
        <v>19</v>
      </c>
      <c r="L70">
        <v>500</v>
      </c>
      <c r="M70">
        <v>4</v>
      </c>
    </row>
    <row r="71" spans="1:13" ht="12.75" outlineLevel="2">
      <c r="A71" t="s">
        <v>14</v>
      </c>
      <c r="B71">
        <v>200</v>
      </c>
      <c r="C71">
        <v>2</v>
      </c>
      <c r="K71" t="s">
        <v>35</v>
      </c>
      <c r="L71">
        <v>200</v>
      </c>
      <c r="M71">
        <v>4</v>
      </c>
    </row>
    <row r="72" ht="12.75" outlineLevel="2">
      <c r="A72" s="1" t="s">
        <v>15</v>
      </c>
    </row>
    <row r="73" spans="1:3" ht="12.75" outlineLevel="2">
      <c r="A73" t="s">
        <v>105</v>
      </c>
      <c r="B73">
        <v>200</v>
      </c>
      <c r="C73">
        <v>4</v>
      </c>
    </row>
    <row r="74" spans="1:3" ht="12.75" outlineLevel="2">
      <c r="A74" t="s">
        <v>48</v>
      </c>
      <c r="B74">
        <v>50</v>
      </c>
      <c r="C74">
        <v>4</v>
      </c>
    </row>
    <row r="75" spans="12:13" ht="12.75" outlineLevel="1">
      <c r="L75">
        <f>SUBTOTAL(9,L57:L71)</f>
        <v>2478.3343181554756</v>
      </c>
      <c r="M75" s="5" t="s">
        <v>82</v>
      </c>
    </row>
    <row r="76" spans="1:13" ht="12.75" outlineLevel="1">
      <c r="A76" s="1" t="s">
        <v>17</v>
      </c>
      <c r="L76">
        <f>SUBTOTAL(9,L52:L75)</f>
        <v>3778.3343181554756</v>
      </c>
      <c r="M76" s="5" t="s">
        <v>83</v>
      </c>
    </row>
    <row r="77" spans="1:3" ht="12.75" outlineLevel="1">
      <c r="A77" t="s">
        <v>18</v>
      </c>
      <c r="B77">
        <v>600</v>
      </c>
      <c r="C77">
        <v>4</v>
      </c>
    </row>
    <row r="78" spans="1:3" ht="12.75" outlineLevel="1">
      <c r="A78" t="s">
        <v>19</v>
      </c>
      <c r="B78">
        <v>500</v>
      </c>
      <c r="C78">
        <v>4</v>
      </c>
    </row>
    <row r="79" ht="12.75" outlineLevel="1">
      <c r="A79" s="1" t="s">
        <v>34</v>
      </c>
    </row>
    <row r="80" spans="1:3" ht="12.75" outlineLevel="1">
      <c r="A80" t="s">
        <v>35</v>
      </c>
      <c r="B80">
        <v>200</v>
      </c>
      <c r="C80">
        <v>4</v>
      </c>
    </row>
    <row r="81" ht="12.75" outlineLevel="1">
      <c r="A81" s="1" t="s">
        <v>18</v>
      </c>
    </row>
    <row r="82" spans="1:3" ht="12.75" outlineLevel="1">
      <c r="A82" t="s">
        <v>111</v>
      </c>
      <c r="B82">
        <v>5690</v>
      </c>
      <c r="C82">
        <v>4</v>
      </c>
    </row>
    <row r="83" spans="1:3" ht="12.75" outlineLevel="1">
      <c r="A83" t="s">
        <v>112</v>
      </c>
      <c r="B83">
        <v>1100</v>
      </c>
      <c r="C83">
        <v>2</v>
      </c>
    </row>
    <row r="84" spans="1:2" ht="12.75" outlineLevel="1">
      <c r="A84" t="s">
        <v>113</v>
      </c>
      <c r="B84">
        <v>1060</v>
      </c>
    </row>
    <row r="85" spans="1:2" ht="12.75">
      <c r="A85" s="1" t="s">
        <v>20</v>
      </c>
      <c r="B85" s="2">
        <f>SUM(B52:B84)</f>
        <v>11878.334318155476</v>
      </c>
    </row>
    <row r="86" ht="12.75">
      <c r="B86">
        <f>SUBTOTAL(9,B52:B84)</f>
        <v>11878.334318155476</v>
      </c>
    </row>
    <row r="87" ht="12.75">
      <c r="A87" s="1" t="s">
        <v>115</v>
      </c>
    </row>
    <row r="88" spans="1:3" ht="12.75">
      <c r="A88" s="12" t="s">
        <v>116</v>
      </c>
      <c r="B88">
        <v>7100</v>
      </c>
      <c r="C88">
        <v>4</v>
      </c>
    </row>
    <row r="89" spans="1:3" ht="12.75">
      <c r="A89" s="12" t="s">
        <v>117</v>
      </c>
      <c r="B89" s="2">
        <v>570</v>
      </c>
      <c r="C89" s="12">
        <v>4</v>
      </c>
    </row>
    <row r="90" spans="1:3" ht="12.75">
      <c r="A90" t="s">
        <v>118</v>
      </c>
      <c r="B90">
        <v>250</v>
      </c>
      <c r="C90">
        <v>4</v>
      </c>
    </row>
    <row r="91" spans="1:7" ht="12.75">
      <c r="A91" s="1" t="s">
        <v>119</v>
      </c>
      <c r="B91">
        <f>SUM(B88:B90)</f>
        <v>7920</v>
      </c>
      <c r="F91" s="1"/>
      <c r="G91" s="1"/>
    </row>
    <row r="92" spans="2:12" ht="12.75">
      <c r="B92">
        <f>SUBTOTAL(9,B88:B90)</f>
        <v>7920</v>
      </c>
      <c r="G92" s="2"/>
      <c r="L92" s="11"/>
    </row>
    <row r="93" ht="12.75">
      <c r="G93" s="2"/>
    </row>
    <row r="94" ht="12.75">
      <c r="I94" s="2"/>
    </row>
    <row r="95" spans="1:8" ht="12.75">
      <c r="A95" s="1" t="s">
        <v>103</v>
      </c>
      <c r="B95" s="8">
        <f>+B49+B86+B92</f>
        <v>39479.09786180738</v>
      </c>
      <c r="F95" s="1" t="s">
        <v>38</v>
      </c>
      <c r="H95" s="1" t="s">
        <v>39</v>
      </c>
    </row>
    <row r="96" spans="1:8" ht="12.75">
      <c r="A96" s="1" t="s">
        <v>27</v>
      </c>
      <c r="B96" s="2">
        <f>B95*1.2</f>
        <v>47374.917434168856</v>
      </c>
      <c r="E96" s="1" t="s">
        <v>23</v>
      </c>
      <c r="F96">
        <v>6140.254743651905</v>
      </c>
      <c r="G96" s="1" t="s">
        <v>24</v>
      </c>
      <c r="H96">
        <v>3460.5088</v>
      </c>
    </row>
    <row r="97" spans="5:8" ht="12.75">
      <c r="E97" s="1" t="s">
        <v>22</v>
      </c>
      <c r="F97">
        <v>2478.3343181554756</v>
      </c>
      <c r="G97" s="1" t="s">
        <v>25</v>
      </c>
      <c r="H97">
        <v>1300</v>
      </c>
    </row>
    <row r="98" spans="1:8" ht="12.75">
      <c r="A98" s="1" t="s">
        <v>79</v>
      </c>
      <c r="B98">
        <v>3800</v>
      </c>
      <c r="E98" s="1" t="s">
        <v>30</v>
      </c>
      <c r="F98">
        <f>F96+F97</f>
        <v>8618.58906180738</v>
      </c>
      <c r="G98" s="1" t="s">
        <v>31</v>
      </c>
      <c r="H98">
        <f>H96+H97</f>
        <v>4760.5088</v>
      </c>
    </row>
    <row r="99" spans="1:8" ht="12.75">
      <c r="A99" s="1" t="s">
        <v>80</v>
      </c>
      <c r="B99">
        <v>1500</v>
      </c>
      <c r="E99" s="1" t="s">
        <v>32</v>
      </c>
      <c r="F99" s="2">
        <f>F98+G93</f>
        <v>8618.58906180738</v>
      </c>
      <c r="G99" s="1" t="s">
        <v>33</v>
      </c>
      <c r="H99" s="2">
        <f>H98+G92</f>
        <v>4760.5088</v>
      </c>
    </row>
    <row r="100" spans="2:8" ht="12.75">
      <c r="B100">
        <f>SUM(B98:B99)</f>
        <v>5300</v>
      </c>
      <c r="E100" s="1" t="s">
        <v>26</v>
      </c>
      <c r="F100" s="2">
        <f>F99*1.2</f>
        <v>10342.306874168857</v>
      </c>
      <c r="G100" s="1"/>
      <c r="H100">
        <f>H99*1.2</f>
        <v>5712.610559999999</v>
      </c>
    </row>
    <row r="101" spans="1:2" ht="12.75">
      <c r="A101" s="1" t="s">
        <v>28</v>
      </c>
      <c r="B101">
        <f>B100*1.2</f>
        <v>6360</v>
      </c>
    </row>
    <row r="104" spans="1:2" ht="25.5">
      <c r="A104" s="3" t="s">
        <v>84</v>
      </c>
      <c r="B104">
        <f>34000+B100</f>
        <v>39300</v>
      </c>
    </row>
    <row r="105" spans="1:2" ht="12.75">
      <c r="A105" s="1" t="s">
        <v>28</v>
      </c>
      <c r="B105">
        <f>B104*1.2</f>
        <v>47160</v>
      </c>
    </row>
    <row r="107" spans="1:5" ht="25.5">
      <c r="A107" s="1" t="s">
        <v>29</v>
      </c>
      <c r="B107" s="6">
        <f>B104-(B95+B98)</f>
        <v>-3979.0978618073786</v>
      </c>
      <c r="D107" s="3" t="s">
        <v>85</v>
      </c>
      <c r="E107" s="2">
        <f>B107+B95</f>
        <v>35500</v>
      </c>
    </row>
    <row r="108" spans="1:5" ht="38.25">
      <c r="A108" s="1" t="s">
        <v>28</v>
      </c>
      <c r="B108" s="6">
        <f>B105-(B96+B99)</f>
        <v>-1714.9174341688558</v>
      </c>
      <c r="D108" s="3" t="s">
        <v>86</v>
      </c>
      <c r="E108">
        <f>E107*1.2</f>
        <v>42600</v>
      </c>
    </row>
    <row r="111" spans="1:5" ht="25.5">
      <c r="A111" s="3" t="s">
        <v>88</v>
      </c>
      <c r="B111">
        <v>25000</v>
      </c>
      <c r="D111" s="3" t="s">
        <v>89</v>
      </c>
      <c r="E111" s="7">
        <f>B111+B95</f>
        <v>64479.09786180738</v>
      </c>
    </row>
  </sheetData>
  <mergeCells count="1">
    <mergeCell ref="A3:H3"/>
  </mergeCells>
  <printOptions/>
  <pageMargins left="0.75" right="0.75" top="1" bottom="1" header="0.5" footer="0.5"/>
  <pageSetup horizontalDpi="360" verticalDpi="360" orientation="landscape" paperSize="9" scale="77" r:id="rId3"/>
  <rowBreaks count="1" manualBreakCount="1">
    <brk id="8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11" sqref="B11"/>
    </sheetView>
  </sheetViews>
  <sheetFormatPr defaultColWidth="9.140625" defaultRowHeight="12.75"/>
  <cols>
    <col min="1" max="1" width="24.57421875" style="0" customWidth="1"/>
    <col min="2" max="2" width="10.28125" style="0" customWidth="1"/>
    <col min="7" max="7" width="11.421875" style="0" customWidth="1"/>
    <col min="8" max="8" width="12.140625" style="0" customWidth="1"/>
    <col min="9" max="9" width="11.8515625" style="0" customWidth="1"/>
    <col min="10" max="10" width="11.00390625" style="0" customWidth="1"/>
  </cols>
  <sheetData>
    <row r="1" spans="1:10" ht="12.75">
      <c r="A1" s="16" t="s">
        <v>165</v>
      </c>
      <c r="B1" s="16" t="s">
        <v>91</v>
      </c>
      <c r="C1" s="16" t="s">
        <v>135</v>
      </c>
      <c r="D1" s="17"/>
      <c r="E1" s="58"/>
      <c r="F1" s="57"/>
      <c r="G1" s="17" t="s">
        <v>131</v>
      </c>
      <c r="H1" s="17" t="s">
        <v>132</v>
      </c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8" ht="22.5">
      <c r="A3" s="18" t="s">
        <v>93</v>
      </c>
      <c r="B3" s="18" t="s">
        <v>160</v>
      </c>
      <c r="C3" s="18" t="s">
        <v>162</v>
      </c>
      <c r="D3" s="18" t="s">
        <v>163</v>
      </c>
      <c r="E3" s="18" t="s">
        <v>125</v>
      </c>
      <c r="F3" s="18" t="s">
        <v>94</v>
      </c>
      <c r="G3" s="18" t="s">
        <v>127</v>
      </c>
      <c r="H3" s="18" t="s">
        <v>126</v>
      </c>
    </row>
    <row r="4" spans="1:8" ht="12.75">
      <c r="A4" s="19" t="s">
        <v>166</v>
      </c>
      <c r="B4" s="19" t="s">
        <v>167</v>
      </c>
      <c r="C4" s="19" t="s">
        <v>168</v>
      </c>
      <c r="D4" s="20">
        <v>10000</v>
      </c>
      <c r="E4" s="19">
        <v>10000</v>
      </c>
      <c r="F4" s="20">
        <f>+E4-D4</f>
        <v>0</v>
      </c>
      <c r="G4" s="20">
        <v>20</v>
      </c>
      <c r="H4" s="19">
        <f>+E4*(1+G4/100)</f>
        <v>12000</v>
      </c>
    </row>
    <row r="5" spans="1:8" ht="12.75">
      <c r="A5" s="19" t="s">
        <v>169</v>
      </c>
      <c r="B5" s="19" t="s">
        <v>170</v>
      </c>
      <c r="C5" s="19" t="s">
        <v>145</v>
      </c>
      <c r="D5" s="20">
        <v>18000</v>
      </c>
      <c r="E5" s="20">
        <v>18000</v>
      </c>
      <c r="F5" s="20">
        <f>+E5-D5</f>
        <v>0</v>
      </c>
      <c r="G5" s="20">
        <v>20</v>
      </c>
      <c r="H5" s="19">
        <f>+E5*(1+G5/100)</f>
        <v>21600</v>
      </c>
    </row>
    <row r="6" spans="1:8" ht="12.75">
      <c r="A6" s="19" t="s">
        <v>171</v>
      </c>
      <c r="B6" s="19" t="s">
        <v>172</v>
      </c>
      <c r="C6" s="19" t="s">
        <v>145</v>
      </c>
      <c r="D6" s="19">
        <v>2000</v>
      </c>
      <c r="E6" s="19">
        <v>2000</v>
      </c>
      <c r="F6" s="20">
        <f>+E6-D6</f>
        <v>0</v>
      </c>
      <c r="G6" s="20">
        <v>20</v>
      </c>
      <c r="H6" s="19">
        <f>+E6*(1+G6/100)</f>
        <v>2400</v>
      </c>
    </row>
    <row r="7" spans="1:8" ht="12.75">
      <c r="A7" s="36" t="s">
        <v>100</v>
      </c>
      <c r="B7" s="37"/>
      <c r="C7" s="38"/>
      <c r="D7" s="45">
        <f>SUM(D4:D6)</f>
        <v>30000</v>
      </c>
      <c r="E7" s="45">
        <f>SUM(E4:E6)</f>
        <v>30000</v>
      </c>
      <c r="F7" s="41"/>
      <c r="G7" s="41"/>
      <c r="H7" s="45">
        <f>SUM(H4:H6)</f>
        <v>36000</v>
      </c>
    </row>
    <row r="8" spans="1:8" ht="12.75">
      <c r="A8" s="36" t="s">
        <v>133</v>
      </c>
      <c r="B8" s="31"/>
      <c r="C8" s="31"/>
      <c r="D8" s="31"/>
      <c r="E8" s="34">
        <v>30000</v>
      </c>
      <c r="F8" s="33"/>
      <c r="G8" s="35"/>
      <c r="H8" s="29"/>
    </row>
    <row r="9" spans="1:8" ht="12.75">
      <c r="A9" s="36" t="s">
        <v>134</v>
      </c>
      <c r="B9" s="37"/>
      <c r="C9" s="37"/>
      <c r="D9" s="37"/>
      <c r="E9" s="39">
        <v>30000</v>
      </c>
      <c r="F9" s="38"/>
      <c r="G9" s="41"/>
      <c r="H9" s="40"/>
    </row>
  </sheetData>
  <mergeCells count="1">
    <mergeCell ref="E1:F1"/>
  </mergeCells>
  <printOptions/>
  <pageMargins left="0.75" right="0.7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A1" sqref="A1:G14"/>
    </sheetView>
  </sheetViews>
  <sheetFormatPr defaultColWidth="9.140625" defaultRowHeight="12.75"/>
  <cols>
    <col min="1" max="1" width="7.28125" style="17" customWidth="1"/>
    <col min="2" max="2" width="19.7109375" style="17" customWidth="1"/>
    <col min="3" max="5" width="9.140625" style="17" customWidth="1"/>
    <col min="6" max="6" width="11.140625" style="17" customWidth="1"/>
    <col min="7" max="7" width="13.7109375" style="17" customWidth="1"/>
  </cols>
  <sheetData>
    <row r="1" spans="1:6" ht="12.75">
      <c r="A1" s="16" t="s">
        <v>176</v>
      </c>
      <c r="F1" s="17" t="s">
        <v>91</v>
      </c>
    </row>
    <row r="2" ht="12.75">
      <c r="A2" s="17" t="s">
        <v>196</v>
      </c>
    </row>
    <row r="3" ht="12.75">
      <c r="D3" s="17" t="s">
        <v>192</v>
      </c>
    </row>
    <row r="4" spans="1:7" ht="12.75">
      <c r="A4" s="19" t="s">
        <v>177</v>
      </c>
      <c r="B4" s="19" t="s">
        <v>178</v>
      </c>
      <c r="C4" s="19" t="s">
        <v>190</v>
      </c>
      <c r="D4" s="19" t="s">
        <v>191</v>
      </c>
      <c r="E4" s="19" t="s">
        <v>125</v>
      </c>
      <c r="F4" s="19" t="s">
        <v>193</v>
      </c>
      <c r="G4" s="19" t="s">
        <v>126</v>
      </c>
    </row>
    <row r="5" spans="1:7" ht="13.5" thickBot="1">
      <c r="A5" s="24"/>
      <c r="B5" s="24"/>
      <c r="C5" s="24"/>
      <c r="D5" s="24"/>
      <c r="E5" s="24" t="s">
        <v>179</v>
      </c>
      <c r="F5" s="24"/>
      <c r="G5" s="24"/>
    </row>
    <row r="6" spans="1:7" ht="12.75">
      <c r="A6" s="46" t="s">
        <v>183</v>
      </c>
      <c r="B6" s="47" t="s">
        <v>80</v>
      </c>
      <c r="C6" s="47" t="s">
        <v>179</v>
      </c>
      <c r="D6" s="47"/>
      <c r="E6" s="48">
        <v>33</v>
      </c>
      <c r="F6" s="47"/>
      <c r="G6" s="49"/>
    </row>
    <row r="7" spans="1:7" ht="12.75">
      <c r="A7" s="50"/>
      <c r="B7" s="19"/>
      <c r="C7" s="19" t="s">
        <v>180</v>
      </c>
      <c r="D7" s="19"/>
      <c r="E7" s="44">
        <v>0</v>
      </c>
      <c r="F7" s="19"/>
      <c r="G7" s="51"/>
    </row>
    <row r="8" spans="1:7" ht="12.75">
      <c r="A8" s="50"/>
      <c r="B8" s="19"/>
      <c r="C8" s="19" t="s">
        <v>181</v>
      </c>
      <c r="D8" s="19"/>
      <c r="E8" s="44">
        <v>33</v>
      </c>
      <c r="F8" s="19"/>
      <c r="G8" s="51"/>
    </row>
    <row r="9" spans="1:7" ht="13.5" thickBot="1">
      <c r="A9" s="52"/>
      <c r="B9" s="53"/>
      <c r="C9" s="53" t="s">
        <v>182</v>
      </c>
      <c r="D9" s="53"/>
      <c r="E9" s="54">
        <v>9.4</v>
      </c>
      <c r="F9" s="53"/>
      <c r="G9" s="55"/>
    </row>
    <row r="10" spans="1:7" ht="12.75">
      <c r="A10" s="46" t="s">
        <v>184</v>
      </c>
      <c r="B10" s="47" t="s">
        <v>185</v>
      </c>
      <c r="C10" s="47" t="s">
        <v>179</v>
      </c>
      <c r="D10" s="47"/>
      <c r="E10" s="47">
        <v>1.1</v>
      </c>
      <c r="F10" s="47"/>
      <c r="G10" s="49"/>
    </row>
    <row r="11" spans="1:7" ht="12.75">
      <c r="A11" s="50"/>
      <c r="B11" s="19"/>
      <c r="C11" s="19" t="s">
        <v>180</v>
      </c>
      <c r="D11" s="19"/>
      <c r="E11" s="19">
        <v>1.1</v>
      </c>
      <c r="F11" s="19"/>
      <c r="G11" s="51"/>
    </row>
    <row r="12" spans="1:7" ht="12.75">
      <c r="A12" s="50"/>
      <c r="B12" s="19"/>
      <c r="C12" s="19" t="s">
        <v>181</v>
      </c>
      <c r="D12" s="19"/>
      <c r="E12" s="19">
        <v>1.1</v>
      </c>
      <c r="F12" s="19"/>
      <c r="G12" s="51"/>
    </row>
    <row r="13" spans="1:7" ht="12.75">
      <c r="A13" s="50"/>
      <c r="B13" s="19"/>
      <c r="C13" s="19" t="s">
        <v>182</v>
      </c>
      <c r="D13" s="19"/>
      <c r="E13" s="19">
        <v>1.1</v>
      </c>
      <c r="F13" s="19"/>
      <c r="G13" s="51"/>
    </row>
    <row r="14" spans="1:7" ht="12.75">
      <c r="A14" s="50"/>
      <c r="B14" s="19" t="s">
        <v>186</v>
      </c>
      <c r="C14" s="19" t="s">
        <v>179</v>
      </c>
      <c r="D14" s="19"/>
      <c r="E14" s="19">
        <v>0.6</v>
      </c>
      <c r="F14" s="19"/>
      <c r="G14" s="51"/>
    </row>
    <row r="15" spans="1:7" ht="12.75">
      <c r="A15" s="50"/>
      <c r="B15" s="19"/>
      <c r="C15" s="19" t="s">
        <v>180</v>
      </c>
      <c r="D15" s="19"/>
      <c r="E15" s="19">
        <v>0.6</v>
      </c>
      <c r="F15" s="19"/>
      <c r="G15" s="51"/>
    </row>
    <row r="16" spans="1:7" ht="12.75">
      <c r="A16" s="50"/>
      <c r="B16" s="19"/>
      <c r="C16" s="19" t="s">
        <v>181</v>
      </c>
      <c r="D16" s="19"/>
      <c r="E16" s="19">
        <v>0.6</v>
      </c>
      <c r="F16" s="19"/>
      <c r="G16" s="51"/>
    </row>
    <row r="17" spans="1:7" ht="12.75">
      <c r="A17" s="50"/>
      <c r="B17" s="19"/>
      <c r="C17" s="19" t="s">
        <v>182</v>
      </c>
      <c r="D17" s="19"/>
      <c r="E17" s="19">
        <v>0.6</v>
      </c>
      <c r="F17" s="19"/>
      <c r="G17" s="51"/>
    </row>
    <row r="18" spans="1:7" ht="12.75">
      <c r="A18" s="50"/>
      <c r="B18" s="19" t="s">
        <v>187</v>
      </c>
      <c r="C18" s="19" t="s">
        <v>179</v>
      </c>
      <c r="D18" s="19"/>
      <c r="E18" s="19">
        <v>0</v>
      </c>
      <c r="F18" s="19"/>
      <c r="G18" s="51"/>
    </row>
    <row r="19" spans="1:7" ht="12.75">
      <c r="A19" s="50"/>
      <c r="B19" s="19"/>
      <c r="C19" s="19" t="s">
        <v>180</v>
      </c>
      <c r="D19" s="19"/>
      <c r="E19" s="19">
        <v>0</v>
      </c>
      <c r="F19" s="19"/>
      <c r="G19" s="51"/>
    </row>
    <row r="20" spans="1:7" ht="12.75">
      <c r="A20" s="50"/>
      <c r="B20" s="19"/>
      <c r="C20" s="19" t="s">
        <v>181</v>
      </c>
      <c r="D20" s="19"/>
      <c r="E20" s="19">
        <v>4.1</v>
      </c>
      <c r="F20" s="19"/>
      <c r="G20" s="51"/>
    </row>
    <row r="21" spans="1:7" ht="12.75">
      <c r="A21" s="50"/>
      <c r="B21" s="19"/>
      <c r="C21" s="19" t="s">
        <v>182</v>
      </c>
      <c r="D21" s="19"/>
      <c r="E21" s="19">
        <v>7.4</v>
      </c>
      <c r="F21" s="19"/>
      <c r="G21" s="51"/>
    </row>
    <row r="22" spans="1:7" ht="12.75">
      <c r="A22" s="50"/>
      <c r="B22" s="19" t="s">
        <v>18</v>
      </c>
      <c r="C22" s="19" t="s">
        <v>179</v>
      </c>
      <c r="D22" s="19"/>
      <c r="E22" s="19">
        <v>6</v>
      </c>
      <c r="F22" s="19"/>
      <c r="G22" s="51"/>
    </row>
    <row r="23" spans="1:7" ht="12.75">
      <c r="A23" s="50"/>
      <c r="B23" s="19"/>
      <c r="C23" s="19" t="s">
        <v>180</v>
      </c>
      <c r="D23" s="19"/>
      <c r="E23" s="19">
        <v>6</v>
      </c>
      <c r="F23" s="19"/>
      <c r="G23" s="51"/>
    </row>
    <row r="24" spans="1:7" ht="12.75">
      <c r="A24" s="50"/>
      <c r="B24" s="19"/>
      <c r="C24" s="19" t="s">
        <v>181</v>
      </c>
      <c r="D24" s="19"/>
      <c r="E24" s="19">
        <v>6</v>
      </c>
      <c r="F24" s="19"/>
      <c r="G24" s="51"/>
    </row>
    <row r="25" spans="1:7" ht="12.75">
      <c r="A25" s="50"/>
      <c r="B25" s="19"/>
      <c r="C25" s="19" t="s">
        <v>182</v>
      </c>
      <c r="D25" s="19"/>
      <c r="E25" s="19">
        <v>6</v>
      </c>
      <c r="F25" s="19"/>
      <c r="G25" s="51"/>
    </row>
    <row r="26" spans="1:7" ht="12.75">
      <c r="A26" s="50"/>
      <c r="B26" s="19" t="s">
        <v>106</v>
      </c>
      <c r="C26" s="19" t="s">
        <v>179</v>
      </c>
      <c r="D26" s="19"/>
      <c r="E26" s="44">
        <f>+E10+E14+E18+E22</f>
        <v>7.7</v>
      </c>
      <c r="F26" s="19"/>
      <c r="G26" s="51"/>
    </row>
    <row r="27" spans="1:7" ht="12.75">
      <c r="A27" s="50"/>
      <c r="B27" s="19"/>
      <c r="C27" s="19" t="s">
        <v>180</v>
      </c>
      <c r="D27" s="19"/>
      <c r="E27" s="44">
        <f>+E11+E15+E19+E23</f>
        <v>7.7</v>
      </c>
      <c r="F27" s="19"/>
      <c r="G27" s="51"/>
    </row>
    <row r="28" spans="1:7" ht="12.75">
      <c r="A28" s="50"/>
      <c r="B28" s="19"/>
      <c r="C28" s="19" t="s">
        <v>181</v>
      </c>
      <c r="D28" s="19"/>
      <c r="E28" s="44">
        <f>+E12+E16+E20+E24</f>
        <v>11.8</v>
      </c>
      <c r="F28" s="19"/>
      <c r="G28" s="51"/>
    </row>
    <row r="29" spans="1:7" ht="13.5" thickBot="1">
      <c r="A29" s="52"/>
      <c r="B29" s="53"/>
      <c r="C29" s="53" t="s">
        <v>182</v>
      </c>
      <c r="D29" s="53"/>
      <c r="E29" s="54">
        <f>+E13+E17+E21+E25</f>
        <v>15.100000000000001</v>
      </c>
      <c r="F29" s="53"/>
      <c r="G29" s="55"/>
    </row>
    <row r="30" spans="1:7" ht="12.75">
      <c r="A30" s="46" t="s">
        <v>188</v>
      </c>
      <c r="B30" s="47" t="s">
        <v>185</v>
      </c>
      <c r="C30" s="47" t="s">
        <v>179</v>
      </c>
      <c r="D30" s="47"/>
      <c r="E30" s="47">
        <v>0.1</v>
      </c>
      <c r="F30" s="47"/>
      <c r="G30" s="49"/>
    </row>
    <row r="31" spans="1:7" ht="12.75">
      <c r="A31" s="50"/>
      <c r="B31" s="19"/>
      <c r="C31" s="19" t="s">
        <v>180</v>
      </c>
      <c r="D31" s="19"/>
      <c r="E31" s="19">
        <v>0.1</v>
      </c>
      <c r="F31" s="19"/>
      <c r="G31" s="51"/>
    </row>
    <row r="32" spans="1:7" ht="12.75">
      <c r="A32" s="50"/>
      <c r="B32" s="19"/>
      <c r="C32" s="19" t="s">
        <v>181</v>
      </c>
      <c r="D32" s="19"/>
      <c r="E32" s="19">
        <v>0.1</v>
      </c>
      <c r="F32" s="19"/>
      <c r="G32" s="51"/>
    </row>
    <row r="33" spans="1:7" ht="12.75">
      <c r="A33" s="50"/>
      <c r="B33" s="19"/>
      <c r="C33" s="19" t="s">
        <v>182</v>
      </c>
      <c r="D33" s="19"/>
      <c r="E33" s="19">
        <v>0.1</v>
      </c>
      <c r="F33" s="19"/>
      <c r="G33" s="51"/>
    </row>
    <row r="34" spans="1:7" ht="12.75">
      <c r="A34" s="50"/>
      <c r="B34" s="19" t="s">
        <v>189</v>
      </c>
      <c r="C34" s="19" t="s">
        <v>179</v>
      </c>
      <c r="D34" s="19"/>
      <c r="E34" s="19">
        <v>0</v>
      </c>
      <c r="F34" s="19"/>
      <c r="G34" s="51"/>
    </row>
    <row r="35" spans="1:7" ht="12.75">
      <c r="A35" s="50"/>
      <c r="B35" s="19"/>
      <c r="C35" s="19" t="s">
        <v>180</v>
      </c>
      <c r="D35" s="19"/>
      <c r="E35" s="19">
        <v>0</v>
      </c>
      <c r="F35" s="19"/>
      <c r="G35" s="51"/>
    </row>
    <row r="36" spans="1:7" ht="12.75">
      <c r="A36" s="50"/>
      <c r="B36" s="19"/>
      <c r="C36" s="19" t="s">
        <v>181</v>
      </c>
      <c r="D36" s="19"/>
      <c r="E36" s="19">
        <v>0</v>
      </c>
      <c r="F36" s="19"/>
      <c r="G36" s="51"/>
    </row>
    <row r="37" spans="1:7" ht="12.75">
      <c r="A37" s="50"/>
      <c r="B37" s="19"/>
      <c r="C37" s="19" t="s">
        <v>182</v>
      </c>
      <c r="D37" s="19"/>
      <c r="E37" s="19">
        <v>0</v>
      </c>
      <c r="F37" s="19"/>
      <c r="G37" s="51"/>
    </row>
    <row r="38" spans="1:7" ht="12.75">
      <c r="A38" s="50"/>
      <c r="B38" s="19" t="s">
        <v>194</v>
      </c>
      <c r="C38" s="19" t="s">
        <v>179</v>
      </c>
      <c r="D38" s="19"/>
      <c r="E38" s="19">
        <v>3</v>
      </c>
      <c r="F38" s="19"/>
      <c r="G38" s="51"/>
    </row>
    <row r="39" spans="1:7" ht="12.75">
      <c r="A39" s="50"/>
      <c r="B39" s="19"/>
      <c r="C39" s="19" t="s">
        <v>180</v>
      </c>
      <c r="D39" s="19"/>
      <c r="E39" s="19">
        <v>3</v>
      </c>
      <c r="F39" s="19"/>
      <c r="G39" s="51"/>
    </row>
    <row r="40" spans="1:7" ht="12.75">
      <c r="A40" s="50"/>
      <c r="B40" s="19"/>
      <c r="C40" s="19" t="s">
        <v>181</v>
      </c>
      <c r="D40" s="19"/>
      <c r="E40" s="19">
        <v>3</v>
      </c>
      <c r="F40" s="19"/>
      <c r="G40" s="51"/>
    </row>
    <row r="41" spans="1:7" ht="12.75">
      <c r="A41" s="50"/>
      <c r="B41" s="19"/>
      <c r="C41" s="19" t="s">
        <v>182</v>
      </c>
      <c r="D41" s="19"/>
      <c r="E41" s="19">
        <v>3</v>
      </c>
      <c r="F41" s="19"/>
      <c r="G41" s="51"/>
    </row>
    <row r="42" spans="1:7" ht="12.75">
      <c r="A42" s="50"/>
      <c r="B42" s="19" t="s">
        <v>195</v>
      </c>
      <c r="C42" s="19" t="s">
        <v>179</v>
      </c>
      <c r="D42" s="19">
        <v>0.8</v>
      </c>
      <c r="E42" s="19">
        <v>1</v>
      </c>
      <c r="F42" s="19"/>
      <c r="G42" s="51"/>
    </row>
    <row r="43" spans="1:7" ht="12.75">
      <c r="A43" s="50"/>
      <c r="B43" s="19"/>
      <c r="C43" s="19" t="s">
        <v>180</v>
      </c>
      <c r="D43" s="19">
        <v>0.8</v>
      </c>
      <c r="E43" s="19">
        <v>1</v>
      </c>
      <c r="F43" s="19"/>
      <c r="G43" s="51"/>
    </row>
    <row r="44" spans="1:7" ht="12.75">
      <c r="A44" s="50"/>
      <c r="B44" s="19"/>
      <c r="C44" s="19" t="s">
        <v>181</v>
      </c>
      <c r="D44" s="19">
        <v>0.8</v>
      </c>
      <c r="E44" s="19">
        <v>1</v>
      </c>
      <c r="F44" s="19"/>
      <c r="G44" s="51"/>
    </row>
    <row r="45" spans="1:7" ht="12.75">
      <c r="A45" s="50"/>
      <c r="B45" s="19"/>
      <c r="C45" s="19" t="s">
        <v>182</v>
      </c>
      <c r="D45" s="19">
        <v>0.8</v>
      </c>
      <c r="E45" s="19">
        <v>1</v>
      </c>
      <c r="F45" s="19"/>
      <c r="G45" s="51"/>
    </row>
    <row r="46" spans="1:7" ht="12.75">
      <c r="A46" s="50"/>
      <c r="B46" s="19" t="s">
        <v>18</v>
      </c>
      <c r="C46" s="19" t="s">
        <v>179</v>
      </c>
      <c r="D46" s="19"/>
      <c r="E46" s="19">
        <v>1</v>
      </c>
      <c r="F46" s="19"/>
      <c r="G46" s="51"/>
    </row>
    <row r="47" spans="1:7" ht="12.75">
      <c r="A47" s="50"/>
      <c r="B47" s="19"/>
      <c r="C47" s="19" t="s">
        <v>180</v>
      </c>
      <c r="D47" s="19"/>
      <c r="E47" s="19">
        <v>1</v>
      </c>
      <c r="F47" s="19"/>
      <c r="G47" s="51"/>
    </row>
    <row r="48" spans="1:7" ht="12.75">
      <c r="A48" s="50"/>
      <c r="B48" s="19"/>
      <c r="C48" s="19" t="s">
        <v>181</v>
      </c>
      <c r="D48" s="19"/>
      <c r="E48" s="19">
        <v>1</v>
      </c>
      <c r="F48" s="19"/>
      <c r="G48" s="51"/>
    </row>
    <row r="49" spans="1:7" ht="12.75">
      <c r="A49" s="50"/>
      <c r="B49" s="19"/>
      <c r="C49" s="19" t="s">
        <v>182</v>
      </c>
      <c r="D49" s="19"/>
      <c r="E49" s="19">
        <v>1</v>
      </c>
      <c r="F49" s="19"/>
      <c r="G49" s="51"/>
    </row>
    <row r="50" spans="1:7" ht="12.75">
      <c r="A50" s="50"/>
      <c r="B50" s="19" t="s">
        <v>106</v>
      </c>
      <c r="C50" s="19" t="s">
        <v>179</v>
      </c>
      <c r="D50" s="19"/>
      <c r="E50" s="44">
        <f>+E30+E34+E38+E42+E46</f>
        <v>5.1</v>
      </c>
      <c r="F50" s="19"/>
      <c r="G50" s="51"/>
    </row>
    <row r="51" spans="1:7" ht="12.75">
      <c r="A51" s="50"/>
      <c r="B51" s="19"/>
      <c r="C51" s="19" t="s">
        <v>180</v>
      </c>
      <c r="D51" s="19"/>
      <c r="E51" s="44">
        <f>+E31+E35+E39+E43+E47</f>
        <v>5.1</v>
      </c>
      <c r="F51" s="19"/>
      <c r="G51" s="51"/>
    </row>
    <row r="52" spans="1:7" ht="12.75">
      <c r="A52" s="50"/>
      <c r="B52" s="19"/>
      <c r="C52" s="19" t="s">
        <v>181</v>
      </c>
      <c r="D52" s="19"/>
      <c r="E52" s="44">
        <f>+E32+E36+E40+E44+E48</f>
        <v>5.1</v>
      </c>
      <c r="F52" s="19"/>
      <c r="G52" s="51"/>
    </row>
    <row r="53" spans="1:7" ht="13.5" thickBot="1">
      <c r="A53" s="52"/>
      <c r="B53" s="53"/>
      <c r="C53" s="53" t="s">
        <v>182</v>
      </c>
      <c r="D53" s="53"/>
      <c r="E53" s="54">
        <f>+E33+E37+E41+E45+E49</f>
        <v>5.1</v>
      </c>
      <c r="F53" s="53"/>
      <c r="G53" s="55"/>
    </row>
  </sheetData>
  <printOptions/>
  <pageMargins left="0.75" right="0.75" top="1" bottom="1" header="0.5" footer="0.5"/>
  <pageSetup fitToHeight="1" fitToWidth="1" horizontalDpi="360" verticalDpi="36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29.140625" style="0" customWidth="1"/>
    <col min="7" max="7" width="12.140625" style="0" customWidth="1"/>
  </cols>
  <sheetData>
    <row r="1" spans="1:7" ht="12.75">
      <c r="A1" s="16" t="s">
        <v>197</v>
      </c>
      <c r="B1" s="17"/>
      <c r="C1" s="17"/>
      <c r="D1" s="17"/>
      <c r="E1" s="17"/>
      <c r="F1" s="17" t="s">
        <v>91</v>
      </c>
      <c r="G1" s="17"/>
    </row>
    <row r="2" spans="1:7" ht="12.75">
      <c r="A2" s="17" t="s">
        <v>196</v>
      </c>
      <c r="B2" s="17"/>
      <c r="C2" s="17"/>
      <c r="D2" s="17"/>
      <c r="E2" s="17"/>
      <c r="F2" s="17"/>
      <c r="G2" s="17"/>
    </row>
    <row r="3" spans="1:7" ht="13.5" thickBot="1">
      <c r="A3" s="17"/>
      <c r="B3" s="17"/>
      <c r="C3" s="17"/>
      <c r="D3" s="17" t="s">
        <v>203</v>
      </c>
      <c r="E3" s="17"/>
      <c r="F3" s="17"/>
      <c r="G3" s="17"/>
    </row>
    <row r="4" spans="1:7" ht="13.5" thickBot="1">
      <c r="A4" s="46" t="s">
        <v>201</v>
      </c>
      <c r="B4" s="47" t="s">
        <v>178</v>
      </c>
      <c r="C4" s="47" t="s">
        <v>190</v>
      </c>
      <c r="D4" s="47" t="s">
        <v>191</v>
      </c>
      <c r="E4" s="47" t="s">
        <v>125</v>
      </c>
      <c r="F4" s="47" t="s">
        <v>193</v>
      </c>
      <c r="G4" s="49" t="s">
        <v>126</v>
      </c>
    </row>
    <row r="5" spans="1:7" ht="12.75">
      <c r="A5" s="46" t="s">
        <v>198</v>
      </c>
      <c r="B5" s="47" t="s">
        <v>199</v>
      </c>
      <c r="C5" s="47"/>
      <c r="D5" s="47"/>
      <c r="E5" s="48">
        <v>71</v>
      </c>
      <c r="F5" s="47"/>
      <c r="G5" s="49"/>
    </row>
    <row r="6" spans="1:7" ht="12.75">
      <c r="A6" s="50" t="s">
        <v>200</v>
      </c>
      <c r="B6" s="19" t="s">
        <v>166</v>
      </c>
      <c r="C6" s="19"/>
      <c r="D6" s="19"/>
      <c r="E6" s="44">
        <v>10</v>
      </c>
      <c r="F6" s="19"/>
      <c r="G6" s="51"/>
    </row>
    <row r="7" spans="1:7" ht="12.75">
      <c r="A7" s="50" t="s">
        <v>202</v>
      </c>
      <c r="B7" s="19" t="s">
        <v>171</v>
      </c>
      <c r="C7" s="19"/>
      <c r="D7" s="19"/>
      <c r="E7" s="44">
        <v>0</v>
      </c>
      <c r="F7" s="19"/>
      <c r="G7" s="51"/>
    </row>
    <row r="8" spans="1:7" ht="13.5" thickBot="1">
      <c r="A8" s="52" t="s">
        <v>100</v>
      </c>
      <c r="B8" s="53"/>
      <c r="C8" s="53"/>
      <c r="D8" s="53"/>
      <c r="E8" s="54">
        <f>SUM(E5:E7)</f>
        <v>81</v>
      </c>
      <c r="F8" s="53"/>
      <c r="G8" s="55"/>
    </row>
    <row r="9" spans="1:10" ht="12.75">
      <c r="A9" s="43"/>
      <c r="B9" s="43"/>
      <c r="C9" s="43"/>
      <c r="D9" s="43"/>
      <c r="E9" s="43"/>
      <c r="F9" s="43"/>
      <c r="G9" s="43"/>
      <c r="H9" s="14"/>
      <c r="I9" s="14"/>
      <c r="J9" s="14"/>
    </row>
    <row r="10" spans="1:10" ht="12.75">
      <c r="A10" s="43"/>
      <c r="B10" s="43"/>
      <c r="C10" s="43"/>
      <c r="D10" s="43"/>
      <c r="E10" s="43"/>
      <c r="F10" s="43"/>
      <c r="G10" s="43"/>
      <c r="H10" s="14"/>
      <c r="I10" s="14"/>
      <c r="J10" s="14"/>
    </row>
    <row r="11" spans="1:10" ht="12.75">
      <c r="A11" s="43"/>
      <c r="B11" s="43"/>
      <c r="C11" s="43"/>
      <c r="D11" s="43"/>
      <c r="E11" s="43"/>
      <c r="F11" s="43"/>
      <c r="G11" s="43"/>
      <c r="H11" s="14"/>
      <c r="I11" s="14"/>
      <c r="J11" s="14"/>
    </row>
    <row r="12" spans="1:10" ht="12.75">
      <c r="A12" s="43"/>
      <c r="B12" s="43"/>
      <c r="C12" s="43"/>
      <c r="D12" s="43"/>
      <c r="E12" s="43"/>
      <c r="F12" s="43"/>
      <c r="G12" s="43"/>
      <c r="H12" s="14"/>
      <c r="I12" s="14"/>
      <c r="J12" s="14"/>
    </row>
    <row r="13" spans="1:10" ht="12.75">
      <c r="A13" s="43"/>
      <c r="B13" s="43"/>
      <c r="C13" s="43"/>
      <c r="D13" s="43"/>
      <c r="E13" s="43"/>
      <c r="F13" s="43"/>
      <c r="G13" s="43"/>
      <c r="H13" s="14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Cunningham</dc:creator>
  <cp:keywords/>
  <dc:description/>
  <cp:lastModifiedBy>Ken J King</cp:lastModifiedBy>
  <cp:lastPrinted>2000-06-16T14:50:11Z</cp:lastPrinted>
  <dcterms:created xsi:type="dcterms:W3CDTF">1999-03-10T20:36:07Z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